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portatil\Downloads\"/>
    </mc:Choice>
  </mc:AlternateContent>
  <xr:revisionPtr revIDLastSave="0" documentId="13_ncr:1_{B57B55D8-F9DC-4E3B-BCE8-CF7A0F01A9FE}" xr6:coauthVersionLast="37" xr6:coauthVersionMax="37" xr10:uidLastSave="{00000000-0000-0000-0000-000000000000}"/>
  <bookViews>
    <workbookView xWindow="0" yWindow="0" windowWidth="28800" windowHeight="12330" xr2:uid="{00000000-000D-0000-FFFF-FFFF00000000}"/>
  </bookViews>
  <sheets>
    <sheet name="Hoja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99" i="1" l="1"/>
  <c r="X1399" i="1"/>
  <c r="W1399" i="1"/>
  <c r="V1399" i="1"/>
  <c r="U1399" i="1"/>
  <c r="T1399" i="1"/>
  <c r="M1391" i="1"/>
  <c r="M1390" i="1"/>
  <c r="M1381" i="1"/>
  <c r="M1377" i="1"/>
  <c r="M1373" i="1"/>
  <c r="M1364" i="1"/>
  <c r="M1363" i="1"/>
  <c r="M1362" i="1"/>
  <c r="M1361" i="1"/>
  <c r="M1360" i="1"/>
  <c r="M1359" i="1"/>
  <c r="M1358" i="1"/>
  <c r="M1357" i="1"/>
  <c r="M1356" i="1"/>
  <c r="M1355" i="1"/>
  <c r="M1354" i="1"/>
  <c r="M1353" i="1"/>
  <c r="M1352" i="1"/>
  <c r="M1351" i="1"/>
  <c r="M1350" i="1"/>
  <c r="M1349" i="1"/>
  <c r="M1348" i="1"/>
  <c r="M1347" i="1"/>
  <c r="M1345" i="1"/>
  <c r="M1344" i="1"/>
  <c r="M1343" i="1"/>
  <c r="M1336" i="1"/>
  <c r="M1335" i="1"/>
  <c r="M1334" i="1"/>
  <c r="M1333" i="1"/>
  <c r="M1321" i="1"/>
  <c r="M1320" i="1"/>
  <c r="M1319" i="1"/>
  <c r="M1318" i="1"/>
  <c r="M1317" i="1"/>
  <c r="M1316" i="1"/>
  <c r="M1314" i="1"/>
  <c r="M1313" i="1"/>
  <c r="M1312" i="1"/>
  <c r="M1306" i="1"/>
  <c r="M1302" i="1"/>
  <c r="M1297" i="1"/>
  <c r="M1296" i="1"/>
  <c r="M129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Q1235" i="1"/>
  <c r="Q1234" i="1"/>
  <c r="Q1233" i="1"/>
  <c r="Q1232" i="1"/>
  <c r="Q1231" i="1"/>
  <c r="Z1230" i="1"/>
  <c r="S1230" i="1"/>
  <c r="Q1230" i="1" s="1"/>
  <c r="Q1229" i="1"/>
  <c r="Q1228" i="1"/>
  <c r="Q1227" i="1"/>
  <c r="S1225" i="1"/>
  <c r="S1224" i="1"/>
  <c r="S1223" i="1"/>
  <c r="S1222" i="1"/>
  <c r="S1221" i="1"/>
  <c r="Q1220" i="1"/>
  <c r="Q1219" i="1"/>
  <c r="AE1218" i="1"/>
  <c r="Q1218" i="1"/>
  <c r="Q1217" i="1"/>
  <c r="Q1216" i="1"/>
  <c r="Q1215" i="1"/>
  <c r="Q1214" i="1"/>
  <c r="Q1213" i="1"/>
  <c r="Q1212" i="1"/>
  <c r="Q1211" i="1"/>
  <c r="S1210" i="1"/>
  <c r="Q1210" i="1" s="1"/>
  <c r="AM1209" i="1"/>
  <c r="AN1209" i="1" s="1"/>
  <c r="Q1209" i="1"/>
  <c r="AE1208" i="1"/>
  <c r="S1208" i="1"/>
  <c r="Q1208" i="1" s="1"/>
  <c r="Q1207" i="1"/>
  <c r="AM1206" i="1"/>
  <c r="AN1206" i="1" s="1"/>
  <c r="Q1206" i="1"/>
  <c r="Q1205" i="1"/>
  <c r="Q1204" i="1"/>
  <c r="AE1203" i="1"/>
  <c r="S1203" i="1"/>
  <c r="Q1203" i="1" s="1"/>
  <c r="Q1202" i="1"/>
  <c r="Q1201" i="1"/>
  <c r="Q1200" i="1"/>
  <c r="AM1199" i="1"/>
  <c r="AN1199" i="1" s="1"/>
  <c r="Q1199" i="1"/>
  <c r="Q1198" i="1"/>
  <c r="Q1197" i="1"/>
  <c r="AM1196" i="1"/>
  <c r="AN1196" i="1" s="1"/>
  <c r="Q1196" i="1"/>
  <c r="S1195" i="1"/>
  <c r="S1194" i="1"/>
  <c r="S1193" i="1"/>
  <c r="S1192" i="1"/>
  <c r="AM1191" i="1"/>
  <c r="AN1191" i="1" s="1"/>
  <c r="Z1191" i="1"/>
  <c r="S1191" i="1"/>
  <c r="AM1190" i="1"/>
  <c r="AN1190" i="1" s="1"/>
  <c r="AM1189" i="1"/>
  <c r="AN1189" i="1" s="1"/>
  <c r="AM1188" i="1"/>
  <c r="AN1188" i="1" s="1"/>
  <c r="AM1187" i="1"/>
  <c r="AN1187" i="1" s="1"/>
  <c r="AE1187" i="1"/>
  <c r="S1187" i="1"/>
  <c r="AM1186" i="1"/>
  <c r="AN1186" i="1" s="1"/>
  <c r="AN1185" i="1"/>
  <c r="S1185" i="1"/>
  <c r="AM1184" i="1"/>
  <c r="AN1184" i="1" s="1"/>
  <c r="AM1183" i="1"/>
  <c r="AN1183" i="1" s="1"/>
  <c r="AM1182" i="1"/>
  <c r="AN1182" i="1" s="1"/>
  <c r="AM1181" i="1"/>
  <c r="AN1181" i="1" s="1"/>
  <c r="AE1181" i="1"/>
  <c r="S1181" i="1"/>
  <c r="Q1181" i="1" s="1"/>
  <c r="AM1180" i="1"/>
  <c r="AN1180" i="1" s="1"/>
  <c r="Q1180" i="1"/>
  <c r="AM1179" i="1"/>
  <c r="AN1179" i="1" s="1"/>
  <c r="AE1179" i="1"/>
  <c r="S1179" i="1"/>
  <c r="Q1179" i="1" s="1"/>
  <c r="AM1178" i="1"/>
  <c r="AN1178" i="1" s="1"/>
  <c r="AE1178" i="1"/>
  <c r="S1178" i="1"/>
  <c r="Q1178" i="1" s="1"/>
  <c r="AM1177" i="1"/>
  <c r="AN1177" i="1" s="1"/>
  <c r="Z1177" i="1"/>
  <c r="S1177" i="1"/>
  <c r="Q1177" i="1" s="1"/>
  <c r="AM1176" i="1"/>
  <c r="AN1176" i="1" s="1"/>
  <c r="Q1176" i="1"/>
  <c r="S1175" i="1"/>
  <c r="Q1175" i="1" s="1"/>
  <c r="AM1174" i="1"/>
  <c r="AN1174" i="1" s="1"/>
  <c r="S1174" i="1"/>
  <c r="AM1173" i="1"/>
  <c r="AN1173" i="1" s="1"/>
  <c r="AE1173" i="1"/>
  <c r="S1173" i="1"/>
  <c r="AM1172" i="1"/>
  <c r="AN1172" i="1" s="1"/>
  <c r="S1171" i="1"/>
  <c r="S1170" i="1"/>
  <c r="S1169" i="1"/>
  <c r="S1168" i="1"/>
  <c r="S1167" i="1"/>
  <c r="S1166" i="1"/>
  <c r="S1165" i="1"/>
  <c r="S1164" i="1"/>
  <c r="S1163" i="1"/>
  <c r="S1162" i="1"/>
  <c r="S1161" i="1"/>
  <c r="S1160" i="1"/>
  <c r="S1159" i="1"/>
  <c r="S1158" i="1"/>
  <c r="S1157" i="1"/>
  <c r="AM1156" i="1"/>
  <c r="AN1156" i="1" s="1"/>
  <c r="AE1156" i="1"/>
  <c r="S1156" i="1"/>
  <c r="AM1155" i="1"/>
  <c r="AN1155" i="1" s="1"/>
  <c r="AE1155" i="1"/>
  <c r="S1155" i="1"/>
  <c r="AM1154" i="1"/>
  <c r="AN1154" i="1" s="1"/>
  <c r="AE1154" i="1"/>
  <c r="S1154" i="1"/>
  <c r="AM1153" i="1"/>
  <c r="AN1153" i="1" s="1"/>
  <c r="AE1153" i="1"/>
  <c r="S1153" i="1"/>
  <c r="AM1152" i="1"/>
  <c r="AN1152" i="1" s="1"/>
  <c r="AE1152" i="1"/>
  <c r="S1152" i="1"/>
  <c r="AM1151" i="1"/>
  <c r="AN1151" i="1" s="1"/>
  <c r="AE1151" i="1"/>
  <c r="S1151" i="1"/>
  <c r="AM1150" i="1"/>
  <c r="AN1150" i="1" s="1"/>
  <c r="AE1150" i="1"/>
  <c r="S1150" i="1"/>
  <c r="AM1149" i="1"/>
  <c r="AN1149" i="1" s="1"/>
  <c r="AE1149" i="1"/>
  <c r="S1149" i="1"/>
  <c r="AM1148" i="1"/>
  <c r="AN1148" i="1" s="1"/>
  <c r="AE1148" i="1"/>
  <c r="S1148" i="1"/>
  <c r="AM1147" i="1"/>
  <c r="AN1147" i="1" s="1"/>
  <c r="AE1147" i="1"/>
  <c r="S1147" i="1"/>
  <c r="AM1146" i="1"/>
  <c r="AN1146" i="1" s="1"/>
  <c r="AE1146" i="1"/>
  <c r="S1146" i="1"/>
  <c r="S1145" i="1"/>
  <c r="S1144" i="1"/>
  <c r="AE1143" i="1"/>
  <c r="S1143" i="1"/>
  <c r="AM1142" i="1"/>
  <c r="AN1142" i="1" s="1"/>
  <c r="S1142" i="1"/>
  <c r="AM1140" i="1"/>
  <c r="AN1140" i="1" s="1"/>
  <c r="S1139" i="1"/>
  <c r="AM1138" i="1"/>
  <c r="AN1138" i="1" s="1"/>
  <c r="AE1138" i="1"/>
  <c r="S1138" i="1"/>
  <c r="AM1137" i="1"/>
  <c r="AL1137" i="1"/>
  <c r="S1137" i="1"/>
  <c r="AM1136" i="1"/>
  <c r="AN1136" i="1" s="1"/>
  <c r="S1136" i="1"/>
  <c r="AM1135" i="1"/>
  <c r="AN1135" i="1" s="1"/>
  <c r="AM1134" i="1"/>
  <c r="AN1134" i="1" s="1"/>
  <c r="AM1133" i="1"/>
  <c r="AN1133" i="1" s="1"/>
  <c r="S1132" i="1"/>
  <c r="AM1131" i="1"/>
  <c r="AN1131" i="1" s="1"/>
  <c r="S1130" i="1"/>
  <c r="S1129" i="1"/>
  <c r="S1128" i="1"/>
  <c r="S1127" i="1"/>
  <c r="AM1126" i="1"/>
  <c r="AN1126" i="1" s="1"/>
  <c r="S1125" i="1"/>
  <c r="AM1124" i="1"/>
  <c r="AN1124" i="1" s="1"/>
  <c r="S1123" i="1"/>
  <c r="S1122" i="1"/>
  <c r="S1121" i="1"/>
  <c r="S1120" i="1"/>
  <c r="S1119" i="1"/>
  <c r="S1117" i="1"/>
  <c r="S1109" i="1"/>
  <c r="S1108" i="1"/>
  <c r="S1107" i="1"/>
  <c r="S1106" i="1"/>
  <c r="AM1104" i="1"/>
  <c r="AL1104" i="1"/>
  <c r="S1104" i="1"/>
  <c r="AM1103" i="1"/>
  <c r="AN1103" i="1" s="1"/>
  <c r="AM1102" i="1"/>
  <c r="AN1102" i="1" s="1"/>
  <c r="AM1099" i="1"/>
  <c r="AL1099" i="1"/>
  <c r="AM1098" i="1"/>
  <c r="AL1098" i="1"/>
  <c r="AN1098" i="1" s="1"/>
  <c r="AM1097" i="1"/>
  <c r="AN1097" i="1" s="1"/>
  <c r="AM1096" i="1"/>
  <c r="AL1096" i="1"/>
  <c r="AM1095" i="1"/>
  <c r="AL1095" i="1"/>
  <c r="AM1094" i="1"/>
  <c r="AL1094" i="1"/>
  <c r="AM1093" i="1"/>
  <c r="AL1093" i="1"/>
  <c r="AM1092" i="1"/>
  <c r="AL1092" i="1"/>
  <c r="AM1091" i="1"/>
  <c r="AL1091" i="1"/>
  <c r="S1091" i="1"/>
  <c r="AM1090" i="1"/>
  <c r="AL1090" i="1"/>
  <c r="AM1089" i="1"/>
  <c r="AL1089" i="1"/>
  <c r="AM1088" i="1"/>
  <c r="AL1088" i="1"/>
  <c r="AM1087" i="1"/>
  <c r="AL1087" i="1"/>
  <c r="AM1086" i="1"/>
  <c r="AL1086" i="1"/>
  <c r="AM1085" i="1"/>
  <c r="AL1085" i="1"/>
  <c r="AM1084" i="1"/>
  <c r="AL1084" i="1"/>
  <c r="S1083" i="1"/>
  <c r="AM1082" i="1"/>
  <c r="AL1082" i="1"/>
  <c r="AM1081" i="1"/>
  <c r="AL1081" i="1"/>
  <c r="AM1080" i="1"/>
  <c r="AL1080" i="1"/>
  <c r="AM1079" i="1"/>
  <c r="AL1079" i="1"/>
  <c r="AM1078" i="1"/>
  <c r="AL1078" i="1"/>
  <c r="AM1077" i="1"/>
  <c r="AL1077" i="1"/>
  <c r="AM1076" i="1"/>
  <c r="AL1076" i="1"/>
  <c r="AM1075" i="1"/>
  <c r="AL1075" i="1"/>
  <c r="AM1074" i="1"/>
  <c r="AL1074" i="1"/>
  <c r="AM1073" i="1"/>
  <c r="AL1073" i="1"/>
  <c r="AM1072" i="1"/>
  <c r="AL1072" i="1"/>
  <c r="AM1071" i="1"/>
  <c r="AN1071" i="1" s="1"/>
  <c r="S1071" i="1"/>
  <c r="AM1070" i="1"/>
  <c r="AN1070" i="1" s="1"/>
  <c r="AM1069" i="1"/>
  <c r="AL1069" i="1"/>
  <c r="AM1068" i="1"/>
  <c r="AL1068" i="1"/>
  <c r="AM1067" i="1"/>
  <c r="AL1067" i="1"/>
  <c r="AM1066" i="1"/>
  <c r="AL1066" i="1"/>
  <c r="AM1065" i="1"/>
  <c r="AL1065" i="1"/>
  <c r="AM1064" i="1"/>
  <c r="AL1064" i="1"/>
  <c r="AM1063" i="1"/>
  <c r="AL1063" i="1"/>
  <c r="AM1062" i="1"/>
  <c r="AL1062" i="1"/>
  <c r="AM1061" i="1"/>
  <c r="AL1061" i="1"/>
  <c r="AM1060" i="1"/>
  <c r="AL1060" i="1"/>
  <c r="AM1059" i="1"/>
  <c r="AN1059" i="1" s="1"/>
  <c r="AM1058" i="1"/>
  <c r="AN1058" i="1" s="1"/>
  <c r="AM1057" i="1"/>
  <c r="AN1057" i="1" s="1"/>
  <c r="AM1056" i="1"/>
  <c r="AL1056" i="1"/>
  <c r="AM1055" i="1"/>
  <c r="AL1055" i="1"/>
  <c r="AM1054" i="1"/>
  <c r="AL1054" i="1"/>
  <c r="AM1053" i="1"/>
  <c r="AN1053" i="1" s="1"/>
  <c r="AL1053" i="1"/>
  <c r="S1050" i="1"/>
  <c r="S1049" i="1"/>
  <c r="AO1047" i="1"/>
  <c r="AM1047" i="1"/>
  <c r="AK1047" i="1"/>
  <c r="AE1047" i="1"/>
  <c r="B1047" i="1"/>
  <c r="AO1046" i="1"/>
  <c r="AM1046" i="1"/>
  <c r="AK1046" i="1"/>
  <c r="AE1046" i="1"/>
  <c r="B1046" i="1"/>
  <c r="AO1045" i="1"/>
  <c r="AM1045" i="1"/>
  <c r="AK1045" i="1"/>
  <c r="AE1045" i="1"/>
  <c r="B1045" i="1"/>
  <c r="AO1044" i="1"/>
  <c r="AM1044" i="1"/>
  <c r="AK1044" i="1"/>
  <c r="AE1044" i="1"/>
  <c r="B1044" i="1"/>
  <c r="AO1043" i="1"/>
  <c r="AM1043" i="1"/>
  <c r="AK1043" i="1"/>
  <c r="AE1043" i="1"/>
  <c r="B1043" i="1"/>
  <c r="AO1042" i="1"/>
  <c r="AM1042" i="1"/>
  <c r="AK1042" i="1"/>
  <c r="AE1042" i="1"/>
  <c r="B1042" i="1"/>
  <c r="AO1041" i="1"/>
  <c r="AM1041" i="1"/>
  <c r="AK1041" i="1"/>
  <c r="AE1041" i="1"/>
  <c r="B1041" i="1"/>
  <c r="AO1040" i="1"/>
  <c r="AM1040" i="1"/>
  <c r="AK1040" i="1"/>
  <c r="AE1040" i="1"/>
  <c r="B1040" i="1"/>
  <c r="AO1039" i="1"/>
  <c r="AM1039" i="1"/>
  <c r="AK1039" i="1"/>
  <c r="AE1039" i="1"/>
  <c r="B1039" i="1"/>
  <c r="AO1038" i="1"/>
  <c r="AM1038" i="1"/>
  <c r="AK1038" i="1"/>
  <c r="AE1038" i="1"/>
  <c r="B1038" i="1"/>
  <c r="AO1037" i="1"/>
  <c r="AM1037" i="1"/>
  <c r="AK1037" i="1"/>
  <c r="AE1037" i="1"/>
  <c r="B1037" i="1"/>
  <c r="AM1036" i="1"/>
  <c r="AK1036" i="1"/>
  <c r="S1036" i="1"/>
  <c r="AE1036" i="1" s="1"/>
  <c r="B1036" i="1"/>
  <c r="AM1035" i="1"/>
  <c r="AK1035" i="1"/>
  <c r="S1035" i="1"/>
  <c r="AE1035" i="1" s="1"/>
  <c r="B1035" i="1"/>
  <c r="AM1034" i="1"/>
  <c r="AK1034" i="1"/>
  <c r="S1034" i="1"/>
  <c r="AO1034" i="1" s="1"/>
  <c r="B1034" i="1"/>
  <c r="AM1033" i="1"/>
  <c r="AK1033" i="1"/>
  <c r="S1033" i="1"/>
  <c r="AE1033" i="1" s="1"/>
  <c r="B1033" i="1"/>
  <c r="AM1032" i="1"/>
  <c r="AK1032" i="1"/>
  <c r="S1032" i="1"/>
  <c r="AE1032" i="1" s="1"/>
  <c r="B1032" i="1"/>
  <c r="AM1031" i="1"/>
  <c r="AK1031" i="1"/>
  <c r="S1031" i="1"/>
  <c r="AO1031" i="1" s="1"/>
  <c r="B1031" i="1"/>
  <c r="AM1030" i="1"/>
  <c r="AK1030" i="1"/>
  <c r="S1030" i="1"/>
  <c r="AO1030" i="1" s="1"/>
  <c r="B1030" i="1"/>
  <c r="AM1029" i="1"/>
  <c r="AK1029" i="1"/>
  <c r="S1029" i="1"/>
  <c r="AO1029" i="1" s="1"/>
  <c r="B1029" i="1"/>
  <c r="AO1028" i="1"/>
  <c r="AM1028" i="1"/>
  <c r="AK1028" i="1"/>
  <c r="S1028" i="1"/>
  <c r="AE1028" i="1" s="1"/>
  <c r="B1028" i="1"/>
  <c r="AM1027" i="1"/>
  <c r="AK1027" i="1"/>
  <c r="S1027" i="1"/>
  <c r="AE1027" i="1" s="1"/>
  <c r="B1027" i="1"/>
  <c r="AM1026" i="1"/>
  <c r="AK1026" i="1"/>
  <c r="S1026" i="1"/>
  <c r="AO1026" i="1" s="1"/>
  <c r="B1026" i="1"/>
  <c r="AM1025" i="1"/>
  <c r="AK1025" i="1"/>
  <c r="S1025" i="1"/>
  <c r="AE1025" i="1" s="1"/>
  <c r="B1025" i="1"/>
  <c r="AM1024" i="1"/>
  <c r="AK1024" i="1"/>
  <c r="S1024" i="1"/>
  <c r="AE1024" i="1" s="1"/>
  <c r="B1024" i="1"/>
  <c r="AM1023" i="1"/>
  <c r="AK1023" i="1"/>
  <c r="S1023" i="1"/>
  <c r="AE1023" i="1" s="1"/>
  <c r="B1023" i="1"/>
  <c r="AO1022" i="1"/>
  <c r="AM1022" i="1"/>
  <c r="AK1022" i="1"/>
  <c r="AE1022" i="1"/>
  <c r="B1022" i="1"/>
  <c r="AM1021" i="1"/>
  <c r="AK1021" i="1"/>
  <c r="S1021" i="1"/>
  <c r="AO1021" i="1" s="1"/>
  <c r="B1021" i="1"/>
  <c r="AM1020" i="1"/>
  <c r="AK1020" i="1"/>
  <c r="S1020" i="1"/>
  <c r="AO1020" i="1" s="1"/>
  <c r="B1020" i="1"/>
  <c r="AM1019" i="1"/>
  <c r="AK1019" i="1"/>
  <c r="S1019" i="1"/>
  <c r="AO1019" i="1" s="1"/>
  <c r="B1019" i="1"/>
  <c r="AM1018" i="1"/>
  <c r="AK1018" i="1"/>
  <c r="S1018" i="1"/>
  <c r="AO1018" i="1" s="1"/>
  <c r="B1018" i="1"/>
  <c r="AM1017" i="1"/>
  <c r="AK1017" i="1"/>
  <c r="S1017" i="1"/>
  <c r="AO1017" i="1" s="1"/>
  <c r="B1017" i="1"/>
  <c r="AM1016" i="1"/>
  <c r="AK1016" i="1"/>
  <c r="S1016" i="1"/>
  <c r="AE1016" i="1" s="1"/>
  <c r="B1016" i="1"/>
  <c r="AM1015" i="1"/>
  <c r="AK1015" i="1"/>
  <c r="S1015" i="1"/>
  <c r="AO1015" i="1" s="1"/>
  <c r="B1015" i="1"/>
  <c r="AM1014" i="1"/>
  <c r="AK1014" i="1"/>
  <c r="S1014" i="1"/>
  <c r="AO1014" i="1" s="1"/>
  <c r="B1014" i="1"/>
  <c r="AM1013" i="1"/>
  <c r="AK1013" i="1"/>
  <c r="S1013" i="1"/>
  <c r="AO1013" i="1" s="1"/>
  <c r="B1013" i="1"/>
  <c r="AM1012" i="1"/>
  <c r="AK1012" i="1"/>
  <c r="S1012" i="1"/>
  <c r="AO1012" i="1" s="1"/>
  <c r="B1012" i="1"/>
  <c r="AM1011" i="1"/>
  <c r="AK1011" i="1"/>
  <c r="S1011" i="1"/>
  <c r="AO1011" i="1" s="1"/>
  <c r="B1011" i="1"/>
  <c r="AM1010" i="1"/>
  <c r="AK1010" i="1"/>
  <c r="S1010" i="1"/>
  <c r="AO1010" i="1" s="1"/>
  <c r="B1010" i="1"/>
  <c r="AM1009" i="1"/>
  <c r="AK1009" i="1"/>
  <c r="S1009" i="1"/>
  <c r="AO1009" i="1" s="1"/>
  <c r="B1009" i="1"/>
  <c r="AM1008" i="1"/>
  <c r="AK1008" i="1"/>
  <c r="S1008" i="1"/>
  <c r="AO1008" i="1" s="1"/>
  <c r="B1008" i="1"/>
  <c r="AM1007" i="1"/>
  <c r="AK1007" i="1"/>
  <c r="S1007" i="1"/>
  <c r="AO1007" i="1" s="1"/>
  <c r="B1007" i="1"/>
  <c r="AM1006" i="1"/>
  <c r="AK1006" i="1"/>
  <c r="S1006" i="1"/>
  <c r="AO1006" i="1" s="1"/>
  <c r="B1006" i="1"/>
  <c r="AM1005" i="1"/>
  <c r="AK1005" i="1"/>
  <c r="S1005" i="1"/>
  <c r="AO1005" i="1" s="1"/>
  <c r="B1005" i="1"/>
  <c r="AM1004" i="1"/>
  <c r="AK1004" i="1"/>
  <c r="S1004" i="1"/>
  <c r="AO1004" i="1" s="1"/>
  <c r="B1004" i="1"/>
  <c r="AM1003" i="1"/>
  <c r="AK1003" i="1"/>
  <c r="S1003" i="1"/>
  <c r="AO1003" i="1" s="1"/>
  <c r="B1003" i="1"/>
  <c r="AM1002" i="1"/>
  <c r="AK1002" i="1"/>
  <c r="S1002" i="1"/>
  <c r="AO1002" i="1" s="1"/>
  <c r="B1002" i="1"/>
  <c r="AM1001" i="1"/>
  <c r="AK1001" i="1"/>
  <c r="S1001" i="1"/>
  <c r="AO1001" i="1" s="1"/>
  <c r="B1001" i="1"/>
  <c r="AM1000" i="1"/>
  <c r="AK1000" i="1"/>
  <c r="S1000" i="1"/>
  <c r="AE1000" i="1" s="1"/>
  <c r="B1000" i="1"/>
  <c r="AM999" i="1"/>
  <c r="AK999" i="1"/>
  <c r="S999" i="1"/>
  <c r="AO999" i="1" s="1"/>
  <c r="B999" i="1"/>
  <c r="AM998" i="1"/>
  <c r="AK998" i="1"/>
  <c r="S998" i="1"/>
  <c r="AO998" i="1" s="1"/>
  <c r="B998" i="1"/>
  <c r="AM997" i="1"/>
  <c r="AK997" i="1"/>
  <c r="S997" i="1"/>
  <c r="AO997" i="1" s="1"/>
  <c r="B997" i="1"/>
  <c r="AM996" i="1"/>
  <c r="AK996" i="1"/>
  <c r="S996" i="1"/>
  <c r="AO996" i="1" s="1"/>
  <c r="B996" i="1"/>
  <c r="AM995" i="1"/>
  <c r="AK995" i="1"/>
  <c r="S995" i="1"/>
  <c r="AO995" i="1" s="1"/>
  <c r="B995" i="1"/>
  <c r="AM994" i="1"/>
  <c r="AK994" i="1"/>
  <c r="S994" i="1"/>
  <c r="AO994" i="1" s="1"/>
  <c r="B994" i="1"/>
  <c r="AM993" i="1"/>
  <c r="AK993" i="1"/>
  <c r="S993" i="1"/>
  <c r="AO993" i="1" s="1"/>
  <c r="B993" i="1"/>
  <c r="AM992" i="1"/>
  <c r="AK992" i="1"/>
  <c r="S992" i="1"/>
  <c r="AO992" i="1" s="1"/>
  <c r="B992" i="1"/>
  <c r="AM991" i="1"/>
  <c r="AK991" i="1"/>
  <c r="S991" i="1"/>
  <c r="AO991" i="1" s="1"/>
  <c r="B991" i="1"/>
  <c r="AM990" i="1"/>
  <c r="AK990" i="1"/>
  <c r="S990" i="1"/>
  <c r="AO990" i="1" s="1"/>
  <c r="B990" i="1"/>
  <c r="AM989" i="1"/>
  <c r="AK989" i="1"/>
  <c r="S989" i="1"/>
  <c r="AO989" i="1" s="1"/>
  <c r="B989" i="1"/>
  <c r="AM988" i="1"/>
  <c r="AK988" i="1"/>
  <c r="S988" i="1"/>
  <c r="AO988" i="1" s="1"/>
  <c r="B988" i="1"/>
  <c r="AM987" i="1"/>
  <c r="AK987" i="1"/>
  <c r="S987" i="1"/>
  <c r="AO987" i="1" s="1"/>
  <c r="B987" i="1"/>
  <c r="AM986" i="1"/>
  <c r="AK986" i="1"/>
  <c r="S986" i="1"/>
  <c r="AO986" i="1" s="1"/>
  <c r="B986" i="1"/>
  <c r="AM985" i="1"/>
  <c r="AK985" i="1"/>
  <c r="S985" i="1"/>
  <c r="AO985" i="1" s="1"/>
  <c r="B985" i="1"/>
  <c r="AM984" i="1"/>
  <c r="AK984" i="1"/>
  <c r="S984" i="1"/>
  <c r="AO984" i="1" s="1"/>
  <c r="B984" i="1"/>
  <c r="AM983" i="1"/>
  <c r="AK983" i="1"/>
  <c r="S983" i="1"/>
  <c r="AO983" i="1" s="1"/>
  <c r="B983" i="1"/>
  <c r="AM982" i="1"/>
  <c r="AK982" i="1"/>
  <c r="S982" i="1"/>
  <c r="AO982" i="1" s="1"/>
  <c r="B982" i="1"/>
  <c r="AM981" i="1"/>
  <c r="AK981" i="1"/>
  <c r="S981" i="1"/>
  <c r="AO981" i="1" s="1"/>
  <c r="B981" i="1"/>
  <c r="AM980" i="1"/>
  <c r="AK980" i="1"/>
  <c r="S980" i="1"/>
  <c r="AO980" i="1" s="1"/>
  <c r="B980" i="1"/>
  <c r="AM979" i="1"/>
  <c r="AK979" i="1"/>
  <c r="S979" i="1"/>
  <c r="AO979" i="1" s="1"/>
  <c r="B979" i="1"/>
  <c r="AM978" i="1"/>
  <c r="AK978" i="1"/>
  <c r="S978" i="1"/>
  <c r="AO978" i="1" s="1"/>
  <c r="B978" i="1"/>
  <c r="AM977" i="1"/>
  <c r="AK977" i="1"/>
  <c r="S977" i="1"/>
  <c r="AO977" i="1" s="1"/>
  <c r="B977" i="1"/>
  <c r="AM976" i="1"/>
  <c r="AK976" i="1"/>
  <c r="S976" i="1"/>
  <c r="AO976" i="1" s="1"/>
  <c r="B976" i="1"/>
  <c r="AO975" i="1"/>
  <c r="AM975" i="1"/>
  <c r="AK975" i="1"/>
  <c r="AE975" i="1"/>
  <c r="B975" i="1"/>
  <c r="AM974" i="1"/>
  <c r="AK974" i="1"/>
  <c r="S974" i="1"/>
  <c r="AO974" i="1" s="1"/>
  <c r="B974" i="1"/>
  <c r="AM973" i="1"/>
  <c r="AK973" i="1"/>
  <c r="S973" i="1"/>
  <c r="AE973" i="1" s="1"/>
  <c r="B973" i="1"/>
  <c r="AM972" i="1"/>
  <c r="AK972" i="1"/>
  <c r="S972" i="1"/>
  <c r="AE972" i="1" s="1"/>
  <c r="B972" i="1"/>
  <c r="AM971" i="1"/>
  <c r="AK971" i="1"/>
  <c r="S971" i="1"/>
  <c r="AO971" i="1" s="1"/>
  <c r="B971" i="1"/>
  <c r="AM970" i="1"/>
  <c r="AK970" i="1"/>
  <c r="S970" i="1"/>
  <c r="AO970" i="1" s="1"/>
  <c r="B970" i="1"/>
  <c r="AM969" i="1"/>
  <c r="AK969" i="1"/>
  <c r="S969" i="1"/>
  <c r="AE969" i="1" s="1"/>
  <c r="B969" i="1"/>
  <c r="AM968" i="1"/>
  <c r="AK968" i="1"/>
  <c r="S968" i="1"/>
  <c r="AE968" i="1" s="1"/>
  <c r="B968" i="1"/>
  <c r="AM967" i="1"/>
  <c r="AK967" i="1"/>
  <c r="S967" i="1"/>
  <c r="AO967" i="1" s="1"/>
  <c r="B967" i="1"/>
  <c r="AM966" i="1"/>
  <c r="AK966" i="1"/>
  <c r="S966" i="1"/>
  <c r="AO966" i="1" s="1"/>
  <c r="B966" i="1"/>
  <c r="AM965" i="1"/>
  <c r="AK965" i="1"/>
  <c r="S965" i="1"/>
  <c r="AE965" i="1" s="1"/>
  <c r="B965" i="1"/>
  <c r="AM964" i="1"/>
  <c r="AK964" i="1"/>
  <c r="S964" i="1"/>
  <c r="AE964" i="1" s="1"/>
  <c r="B964" i="1"/>
  <c r="AM963" i="1"/>
  <c r="AK963" i="1"/>
  <c r="S963" i="1"/>
  <c r="AO963" i="1" s="1"/>
  <c r="B963" i="1"/>
  <c r="AM962" i="1"/>
  <c r="AK962" i="1"/>
  <c r="S962" i="1"/>
  <c r="AO962" i="1" s="1"/>
  <c r="B962" i="1"/>
  <c r="AM961" i="1"/>
  <c r="AK961" i="1"/>
  <c r="S961" i="1"/>
  <c r="AE961" i="1" s="1"/>
  <c r="B961" i="1"/>
  <c r="AM960" i="1"/>
  <c r="AK960" i="1"/>
  <c r="S960" i="1"/>
  <c r="AE960" i="1" s="1"/>
  <c r="B960" i="1"/>
  <c r="AM959" i="1"/>
  <c r="AK959" i="1"/>
  <c r="S959" i="1"/>
  <c r="AO959" i="1" s="1"/>
  <c r="B959" i="1"/>
  <c r="AM958" i="1"/>
  <c r="AK958" i="1"/>
  <c r="S958" i="1"/>
  <c r="AE958" i="1" s="1"/>
  <c r="B958" i="1"/>
  <c r="AM957" i="1"/>
  <c r="AK957" i="1"/>
  <c r="S957" i="1"/>
  <c r="AE957" i="1" s="1"/>
  <c r="B957" i="1"/>
  <c r="AM956" i="1"/>
  <c r="AK956" i="1"/>
  <c r="S956" i="1"/>
  <c r="AE956" i="1" s="1"/>
  <c r="B956" i="1"/>
  <c r="AM955" i="1"/>
  <c r="AK955" i="1"/>
  <c r="S955" i="1"/>
  <c r="AO955" i="1" s="1"/>
  <c r="B955" i="1"/>
  <c r="AO954" i="1"/>
  <c r="AM954" i="1"/>
  <c r="AK954" i="1"/>
  <c r="AE954" i="1"/>
  <c r="B954" i="1"/>
  <c r="AO953" i="1"/>
  <c r="AM953" i="1"/>
  <c r="AK953" i="1"/>
  <c r="AE953" i="1"/>
  <c r="B953" i="1"/>
  <c r="AO952" i="1"/>
  <c r="AM952" i="1"/>
  <c r="AK952" i="1"/>
  <c r="AE952" i="1"/>
  <c r="B952" i="1"/>
  <c r="AO951" i="1"/>
  <c r="AM951" i="1"/>
  <c r="AK951" i="1"/>
  <c r="AE951" i="1"/>
  <c r="B951" i="1"/>
  <c r="AO950" i="1"/>
  <c r="AM950" i="1"/>
  <c r="AK950" i="1"/>
  <c r="AE950" i="1"/>
  <c r="B950" i="1"/>
  <c r="AO949" i="1"/>
  <c r="AM949" i="1"/>
  <c r="AK949" i="1"/>
  <c r="AE949" i="1"/>
  <c r="B949" i="1"/>
  <c r="AO948" i="1"/>
  <c r="AM948" i="1"/>
  <c r="AK948" i="1"/>
  <c r="AE948" i="1"/>
  <c r="B948" i="1"/>
  <c r="AO947" i="1"/>
  <c r="AM947" i="1"/>
  <c r="AK947" i="1"/>
  <c r="AE947" i="1"/>
  <c r="B947" i="1"/>
  <c r="AO946" i="1"/>
  <c r="AM946" i="1"/>
  <c r="AK946" i="1"/>
  <c r="AE946" i="1"/>
  <c r="B946" i="1"/>
  <c r="AO945" i="1"/>
  <c r="AM945" i="1"/>
  <c r="AK945" i="1"/>
  <c r="AE945" i="1"/>
  <c r="B945" i="1"/>
  <c r="AO944" i="1"/>
  <c r="AM944" i="1"/>
  <c r="AE944" i="1"/>
  <c r="Q944" i="1"/>
  <c r="B944" i="1"/>
  <c r="AO943" i="1"/>
  <c r="AM943" i="1"/>
  <c r="AK943" i="1"/>
  <c r="AE943" i="1"/>
  <c r="B943" i="1"/>
  <c r="AO942" i="1"/>
  <c r="AM942" i="1"/>
  <c r="AK942" i="1"/>
  <c r="AE942" i="1"/>
  <c r="B942" i="1"/>
  <c r="AO941" i="1"/>
  <c r="AM941" i="1"/>
  <c r="AK941" i="1"/>
  <c r="AE941" i="1"/>
  <c r="B941" i="1"/>
  <c r="AM940" i="1"/>
  <c r="Z940" i="1"/>
  <c r="S940" i="1"/>
  <c r="Q940" i="1" s="1"/>
  <c r="B940" i="1"/>
  <c r="AO939" i="1"/>
  <c r="AM939" i="1"/>
  <c r="AK939" i="1"/>
  <c r="AE939" i="1"/>
  <c r="B939" i="1"/>
  <c r="AM938" i="1"/>
  <c r="AK938" i="1"/>
  <c r="S938" i="1"/>
  <c r="AO938" i="1" s="1"/>
  <c r="B938" i="1"/>
  <c r="AM937" i="1"/>
  <c r="AK937" i="1"/>
  <c r="S937" i="1"/>
  <c r="AO937" i="1" s="1"/>
  <c r="B937" i="1"/>
  <c r="AM936" i="1"/>
  <c r="AK936" i="1"/>
  <c r="S936" i="1"/>
  <c r="AE936" i="1" s="1"/>
  <c r="B936" i="1"/>
  <c r="AM935" i="1"/>
  <c r="AK935" i="1"/>
  <c r="S935" i="1"/>
  <c r="AE935" i="1" s="1"/>
  <c r="B935" i="1"/>
  <c r="AO934" i="1"/>
  <c r="AM934" i="1"/>
  <c r="AK934" i="1"/>
  <c r="AE934" i="1"/>
  <c r="B934" i="1"/>
  <c r="AO933" i="1"/>
  <c r="AM933" i="1"/>
  <c r="AK933" i="1"/>
  <c r="AE933" i="1"/>
  <c r="B933" i="1"/>
  <c r="AO932" i="1"/>
  <c r="AM932" i="1"/>
  <c r="AK932" i="1"/>
  <c r="AE932" i="1"/>
  <c r="B932" i="1"/>
  <c r="AO931" i="1"/>
  <c r="AM931" i="1"/>
  <c r="AK931" i="1"/>
  <c r="AE931" i="1"/>
  <c r="B931" i="1"/>
  <c r="AO930" i="1"/>
  <c r="AM930" i="1"/>
  <c r="AK930" i="1"/>
  <c r="AE930" i="1"/>
  <c r="B930" i="1"/>
  <c r="AO929" i="1"/>
  <c r="AM929" i="1"/>
  <c r="AK929" i="1"/>
  <c r="AE929" i="1"/>
  <c r="B929" i="1"/>
  <c r="AO928" i="1"/>
  <c r="AM928" i="1"/>
  <c r="AK928" i="1"/>
  <c r="AE928" i="1"/>
  <c r="B928" i="1"/>
  <c r="AO927" i="1"/>
  <c r="AM927" i="1"/>
  <c r="AK927" i="1"/>
  <c r="AE927" i="1"/>
  <c r="B927" i="1"/>
  <c r="AO926" i="1"/>
  <c r="AM926" i="1"/>
  <c r="AK926" i="1"/>
  <c r="AE926" i="1"/>
  <c r="B926" i="1"/>
  <c r="AO925" i="1"/>
  <c r="AM925" i="1"/>
  <c r="AK925" i="1"/>
  <c r="AE925" i="1"/>
  <c r="B925" i="1"/>
  <c r="AM924" i="1"/>
  <c r="AK924" i="1"/>
  <c r="S924" i="1"/>
  <c r="AE924" i="1" s="1"/>
  <c r="B924" i="1"/>
  <c r="AM923" i="1"/>
  <c r="AK923" i="1"/>
  <c r="S923" i="1"/>
  <c r="AO923" i="1" s="1"/>
  <c r="B923" i="1"/>
  <c r="AM922" i="1"/>
  <c r="AK922" i="1"/>
  <c r="S922" i="1"/>
  <c r="AO922" i="1" s="1"/>
  <c r="B922" i="1"/>
  <c r="AM921" i="1"/>
  <c r="AK921" i="1"/>
  <c r="S921" i="1"/>
  <c r="AE921" i="1" s="1"/>
  <c r="B921" i="1"/>
  <c r="AM920" i="1"/>
  <c r="AK920" i="1"/>
  <c r="S920" i="1"/>
  <c r="AE920" i="1" s="1"/>
  <c r="B920" i="1"/>
  <c r="AM919" i="1"/>
  <c r="AK919" i="1"/>
  <c r="S919" i="1"/>
  <c r="AO919" i="1" s="1"/>
  <c r="B919" i="1"/>
  <c r="AM918" i="1"/>
  <c r="AK918" i="1"/>
  <c r="S918" i="1"/>
  <c r="AO918" i="1" s="1"/>
  <c r="B918" i="1"/>
  <c r="AM917" i="1"/>
  <c r="AK917" i="1"/>
  <c r="S917" i="1"/>
  <c r="AE917" i="1" s="1"/>
  <c r="B917" i="1"/>
  <c r="AM916" i="1"/>
  <c r="AK916" i="1"/>
  <c r="S916" i="1"/>
  <c r="AE916" i="1" s="1"/>
  <c r="B916" i="1"/>
  <c r="AM915" i="1"/>
  <c r="AK915" i="1"/>
  <c r="S915" i="1"/>
  <c r="AO915" i="1" s="1"/>
  <c r="B915" i="1"/>
  <c r="AM914" i="1"/>
  <c r="AK914" i="1"/>
  <c r="S914" i="1"/>
  <c r="AO914" i="1" s="1"/>
  <c r="B914" i="1"/>
  <c r="AM913" i="1"/>
  <c r="AK913" i="1"/>
  <c r="S913" i="1"/>
  <c r="AE913" i="1" s="1"/>
  <c r="B913" i="1"/>
  <c r="AM912" i="1"/>
  <c r="AK912" i="1"/>
  <c r="S912" i="1"/>
  <c r="AE912" i="1" s="1"/>
  <c r="B912" i="1"/>
  <c r="AM911" i="1"/>
  <c r="AK911" i="1"/>
  <c r="S911" i="1"/>
  <c r="AO911" i="1" s="1"/>
  <c r="B911" i="1"/>
  <c r="AM910" i="1"/>
  <c r="AK910" i="1"/>
  <c r="S910" i="1"/>
  <c r="AE910" i="1" s="1"/>
  <c r="B910" i="1"/>
  <c r="AM909" i="1"/>
  <c r="AK909" i="1"/>
  <c r="S909" i="1"/>
  <c r="AE909" i="1" s="1"/>
  <c r="B909" i="1"/>
  <c r="AM908" i="1"/>
  <c r="AK908" i="1"/>
  <c r="S908" i="1"/>
  <c r="AE908" i="1" s="1"/>
  <c r="B908" i="1"/>
  <c r="AM907" i="1"/>
  <c r="AK907" i="1"/>
  <c r="S907" i="1"/>
  <c r="AO907" i="1" s="1"/>
  <c r="B907" i="1"/>
  <c r="AM906" i="1"/>
  <c r="AK906" i="1"/>
  <c r="S906" i="1"/>
  <c r="AO906" i="1" s="1"/>
  <c r="B906" i="1"/>
  <c r="AM905" i="1"/>
  <c r="AK905" i="1"/>
  <c r="S905" i="1"/>
  <c r="AE905" i="1" s="1"/>
  <c r="B905" i="1"/>
  <c r="AM904" i="1"/>
  <c r="AK904" i="1"/>
  <c r="S904" i="1"/>
  <c r="AE904" i="1" s="1"/>
  <c r="B904" i="1"/>
  <c r="AM903" i="1"/>
  <c r="AK903" i="1"/>
  <c r="Z903" i="1"/>
  <c r="S903" i="1"/>
  <c r="AO903" i="1" s="1"/>
  <c r="B903" i="1"/>
  <c r="AM902" i="1"/>
  <c r="AK902" i="1"/>
  <c r="S902" i="1"/>
  <c r="AO902" i="1" s="1"/>
  <c r="B902" i="1"/>
  <c r="AM901" i="1"/>
  <c r="AK901" i="1"/>
  <c r="S901" i="1"/>
  <c r="AE901" i="1" s="1"/>
  <c r="B901" i="1"/>
  <c r="AM900" i="1"/>
  <c r="AK900" i="1"/>
  <c r="S900" i="1"/>
  <c r="AE900" i="1" s="1"/>
  <c r="B900" i="1"/>
  <c r="AM899" i="1"/>
  <c r="AK899" i="1"/>
  <c r="S899" i="1"/>
  <c r="AO899" i="1" s="1"/>
  <c r="B899" i="1"/>
  <c r="AM898" i="1"/>
  <c r="AK898" i="1"/>
  <c r="S898" i="1"/>
  <c r="AO898" i="1" s="1"/>
  <c r="B898" i="1"/>
  <c r="AM897" i="1"/>
  <c r="AK897" i="1"/>
  <c r="S897" i="1"/>
  <c r="AE897" i="1" s="1"/>
  <c r="B897" i="1"/>
  <c r="AM896" i="1"/>
  <c r="AK896" i="1"/>
  <c r="S896" i="1"/>
  <c r="AE896" i="1" s="1"/>
  <c r="B896" i="1"/>
  <c r="AM895" i="1"/>
  <c r="AK895" i="1"/>
  <c r="S895" i="1"/>
  <c r="AO895" i="1" s="1"/>
  <c r="B895" i="1"/>
  <c r="AM894" i="1"/>
  <c r="AK894" i="1"/>
  <c r="S894" i="1"/>
  <c r="AO894" i="1" s="1"/>
  <c r="B894" i="1"/>
  <c r="AM893" i="1"/>
  <c r="AK893" i="1"/>
  <c r="S893" i="1"/>
  <c r="AE893" i="1" s="1"/>
  <c r="B893" i="1"/>
  <c r="AM892" i="1"/>
  <c r="AK892" i="1"/>
  <c r="Z892" i="1"/>
  <c r="S892" i="1"/>
  <c r="AO892" i="1" s="1"/>
  <c r="B892" i="1"/>
  <c r="AM891" i="1"/>
  <c r="AK891" i="1"/>
  <c r="S891" i="1"/>
  <c r="AO891" i="1" s="1"/>
  <c r="B891" i="1"/>
  <c r="AM890" i="1"/>
  <c r="AK890" i="1"/>
  <c r="S890" i="1"/>
  <c r="AE890" i="1" s="1"/>
  <c r="B890" i="1"/>
  <c r="AM889" i="1"/>
  <c r="AK889" i="1"/>
  <c r="S889" i="1"/>
  <c r="AO889" i="1" s="1"/>
  <c r="B889" i="1"/>
  <c r="AM888" i="1"/>
  <c r="AK888" i="1"/>
  <c r="S888" i="1"/>
  <c r="AO888" i="1" s="1"/>
  <c r="B888" i="1"/>
  <c r="AM887" i="1"/>
  <c r="AK887" i="1"/>
  <c r="S887" i="1"/>
  <c r="AO887" i="1" s="1"/>
  <c r="B887" i="1"/>
  <c r="AM886" i="1"/>
  <c r="AK886" i="1"/>
  <c r="Z886" i="1"/>
  <c r="S886" i="1"/>
  <c r="AO886" i="1" s="1"/>
  <c r="B886" i="1"/>
  <c r="AM885" i="1"/>
  <c r="AK885" i="1"/>
  <c r="S885" i="1"/>
  <c r="AO885" i="1" s="1"/>
  <c r="B885" i="1"/>
  <c r="AM884" i="1"/>
  <c r="AK884" i="1"/>
  <c r="S884" i="1"/>
  <c r="AE884" i="1" s="1"/>
  <c r="B884" i="1"/>
  <c r="AM883" i="1"/>
  <c r="AK883" i="1"/>
  <c r="S883" i="1"/>
  <c r="AE883" i="1" s="1"/>
  <c r="B883" i="1"/>
  <c r="AM882" i="1"/>
  <c r="AK882" i="1"/>
  <c r="S882" i="1"/>
  <c r="AO882" i="1" s="1"/>
  <c r="B882" i="1"/>
  <c r="AM881" i="1"/>
  <c r="AK881" i="1"/>
  <c r="S881" i="1"/>
  <c r="AO881" i="1" s="1"/>
  <c r="B881" i="1"/>
  <c r="AM880" i="1"/>
  <c r="AK880" i="1"/>
  <c r="S880" i="1"/>
  <c r="AE880" i="1" s="1"/>
  <c r="B880" i="1"/>
  <c r="AM879" i="1"/>
  <c r="AK879" i="1"/>
  <c r="S879" i="1"/>
  <c r="AE879" i="1" s="1"/>
  <c r="B879" i="1"/>
  <c r="AM878" i="1"/>
  <c r="AK878" i="1"/>
  <c r="S878" i="1"/>
  <c r="AO878" i="1" s="1"/>
  <c r="B878" i="1"/>
  <c r="AM877" i="1"/>
  <c r="AK877" i="1"/>
  <c r="S877" i="1"/>
  <c r="AE877" i="1" s="1"/>
  <c r="B877" i="1"/>
  <c r="AM876" i="1"/>
  <c r="AK876" i="1"/>
  <c r="S876" i="1"/>
  <c r="AE876" i="1" s="1"/>
  <c r="B876" i="1"/>
  <c r="AM875" i="1"/>
  <c r="AK875" i="1"/>
  <c r="S875" i="1"/>
  <c r="AE875" i="1" s="1"/>
  <c r="B875" i="1"/>
  <c r="AM874" i="1"/>
  <c r="AK874" i="1"/>
  <c r="S874" i="1"/>
  <c r="AO874" i="1" s="1"/>
  <c r="B874" i="1"/>
  <c r="AM873" i="1"/>
  <c r="AK873" i="1"/>
  <c r="S873" i="1"/>
  <c r="AO873" i="1" s="1"/>
  <c r="B873" i="1"/>
  <c r="AM872" i="1"/>
  <c r="AK872" i="1"/>
  <c r="S872" i="1"/>
  <c r="AE872" i="1" s="1"/>
  <c r="B872" i="1"/>
  <c r="AM871" i="1"/>
  <c r="AK871" i="1"/>
  <c r="S871" i="1"/>
  <c r="AE871" i="1" s="1"/>
  <c r="B871" i="1"/>
  <c r="AM870" i="1"/>
  <c r="AK870" i="1"/>
  <c r="Z870" i="1"/>
  <c r="S870" i="1"/>
  <c r="B870" i="1"/>
  <c r="AM869" i="1"/>
  <c r="AK869" i="1"/>
  <c r="S869" i="1"/>
  <c r="AE869" i="1" s="1"/>
  <c r="B869" i="1"/>
  <c r="AM868" i="1"/>
  <c r="AK868" i="1"/>
  <c r="S868" i="1"/>
  <c r="AO868" i="1" s="1"/>
  <c r="B868" i="1"/>
  <c r="AM867" i="1"/>
  <c r="AK867" i="1"/>
  <c r="S867" i="1"/>
  <c r="AO867" i="1" s="1"/>
  <c r="B867" i="1"/>
  <c r="AM866" i="1"/>
  <c r="AK866" i="1"/>
  <c r="S866" i="1"/>
  <c r="AE866" i="1" s="1"/>
  <c r="B866" i="1"/>
  <c r="AM865" i="1"/>
  <c r="AK865" i="1"/>
  <c r="S865" i="1"/>
  <c r="AE865" i="1" s="1"/>
  <c r="B865" i="1"/>
  <c r="AM864" i="1"/>
  <c r="AK864" i="1"/>
  <c r="Z864" i="1"/>
  <c r="S864" i="1"/>
  <c r="AO864" i="1" s="1"/>
  <c r="B864" i="1"/>
  <c r="AM863" i="1"/>
  <c r="AK863" i="1"/>
  <c r="S863" i="1"/>
  <c r="AE863" i="1" s="1"/>
  <c r="B863" i="1"/>
  <c r="AM862" i="1"/>
  <c r="AK862" i="1"/>
  <c r="S862" i="1"/>
  <c r="AE862" i="1" s="1"/>
  <c r="B862" i="1"/>
  <c r="AM861" i="1"/>
  <c r="AK861" i="1"/>
  <c r="S861" i="1"/>
  <c r="AO861" i="1" s="1"/>
  <c r="B861" i="1"/>
  <c r="AM860" i="1"/>
  <c r="AK860" i="1"/>
  <c r="S860" i="1"/>
  <c r="AO860" i="1" s="1"/>
  <c r="B860" i="1"/>
  <c r="AM859" i="1"/>
  <c r="AK859" i="1"/>
  <c r="S859" i="1"/>
  <c r="AE859" i="1" s="1"/>
  <c r="B859" i="1"/>
  <c r="AM858" i="1"/>
  <c r="AK858" i="1"/>
  <c r="Z858" i="1"/>
  <c r="S858" i="1"/>
  <c r="AO858" i="1" s="1"/>
  <c r="B858" i="1"/>
  <c r="AM857" i="1"/>
  <c r="AK857" i="1"/>
  <c r="S857" i="1"/>
  <c r="AO857" i="1" s="1"/>
  <c r="B857" i="1"/>
  <c r="AM856" i="1"/>
  <c r="AK856" i="1"/>
  <c r="S856" i="1"/>
  <c r="AE856" i="1" s="1"/>
  <c r="B856" i="1"/>
  <c r="AM855" i="1"/>
  <c r="AK855" i="1"/>
  <c r="S855" i="1"/>
  <c r="AO855" i="1" s="1"/>
  <c r="B855" i="1"/>
  <c r="AM854" i="1"/>
  <c r="AK854" i="1"/>
  <c r="S854" i="1"/>
  <c r="AO854" i="1" s="1"/>
  <c r="B854" i="1"/>
  <c r="AM853" i="1"/>
  <c r="AK853" i="1"/>
  <c r="S853" i="1"/>
  <c r="AE853" i="1" s="1"/>
  <c r="B853" i="1"/>
  <c r="AM852" i="1"/>
  <c r="AK852" i="1"/>
  <c r="S852" i="1"/>
  <c r="AE852" i="1" s="1"/>
  <c r="B852" i="1"/>
  <c r="AM851" i="1"/>
  <c r="AK851" i="1"/>
  <c r="S851" i="1"/>
  <c r="AO851" i="1" s="1"/>
  <c r="B851" i="1"/>
  <c r="AM850" i="1"/>
  <c r="AK850" i="1"/>
  <c r="S850" i="1"/>
  <c r="AO850" i="1" s="1"/>
  <c r="B850" i="1"/>
  <c r="AM849" i="1"/>
  <c r="AK849" i="1"/>
  <c r="S849" i="1"/>
  <c r="AE849" i="1" s="1"/>
  <c r="B849" i="1"/>
  <c r="AM848" i="1"/>
  <c r="AK848" i="1"/>
  <c r="S848" i="1"/>
  <c r="AE848" i="1" s="1"/>
  <c r="B848" i="1"/>
  <c r="AM847" i="1"/>
  <c r="AK847" i="1"/>
  <c r="S847" i="1"/>
  <c r="AO847" i="1" s="1"/>
  <c r="B847" i="1"/>
  <c r="AM846" i="1"/>
  <c r="AK846" i="1"/>
  <c r="S846" i="1"/>
  <c r="AO846" i="1" s="1"/>
  <c r="B846" i="1"/>
  <c r="AM845" i="1"/>
  <c r="AK845" i="1"/>
  <c r="S845" i="1"/>
  <c r="AO845" i="1" s="1"/>
  <c r="B845" i="1"/>
  <c r="AM844" i="1"/>
  <c r="AK844" i="1"/>
  <c r="S844" i="1"/>
  <c r="AO844" i="1" s="1"/>
  <c r="B844" i="1"/>
  <c r="AM843" i="1"/>
  <c r="AK843" i="1"/>
  <c r="S843" i="1"/>
  <c r="AO843" i="1" s="1"/>
  <c r="B843" i="1"/>
  <c r="AM842" i="1"/>
  <c r="AK842" i="1"/>
  <c r="S842" i="1"/>
  <c r="AO842" i="1" s="1"/>
  <c r="B842" i="1"/>
  <c r="AM841" i="1"/>
  <c r="AK841" i="1"/>
  <c r="S841" i="1"/>
  <c r="AO841" i="1" s="1"/>
  <c r="B841" i="1"/>
  <c r="AM840" i="1"/>
  <c r="AK840" i="1"/>
  <c r="S840" i="1"/>
  <c r="AE840" i="1" s="1"/>
  <c r="B840" i="1"/>
  <c r="AM839" i="1"/>
  <c r="AK839" i="1"/>
  <c r="S839" i="1"/>
  <c r="AO839" i="1" s="1"/>
  <c r="B839" i="1"/>
  <c r="AM838" i="1"/>
  <c r="AK838" i="1"/>
  <c r="S838" i="1"/>
  <c r="AO838" i="1" s="1"/>
  <c r="B838" i="1"/>
  <c r="AM837" i="1"/>
  <c r="AK837" i="1"/>
  <c r="S837" i="1"/>
  <c r="AO837" i="1" s="1"/>
  <c r="B837" i="1"/>
  <c r="AM836" i="1"/>
  <c r="AK836" i="1"/>
  <c r="S836" i="1"/>
  <c r="AE836" i="1" s="1"/>
  <c r="B836" i="1"/>
  <c r="AM835" i="1"/>
  <c r="AK835" i="1"/>
  <c r="S835" i="1"/>
  <c r="AO835" i="1" s="1"/>
  <c r="B835" i="1"/>
  <c r="AO834" i="1"/>
  <c r="AM834" i="1"/>
  <c r="AK834" i="1"/>
  <c r="AE834" i="1"/>
  <c r="B834" i="1"/>
  <c r="AO833" i="1"/>
  <c r="AM833" i="1"/>
  <c r="AK833" i="1"/>
  <c r="AE833" i="1"/>
  <c r="B833" i="1"/>
  <c r="AO832" i="1"/>
  <c r="AM832" i="1"/>
  <c r="AK832" i="1"/>
  <c r="B832" i="1"/>
  <c r="AO831" i="1"/>
  <c r="AM831" i="1"/>
  <c r="AK831" i="1"/>
  <c r="AE831" i="1"/>
  <c r="B831" i="1"/>
  <c r="AO830" i="1"/>
  <c r="AM830" i="1"/>
  <c r="AK830" i="1"/>
  <c r="AE830" i="1"/>
  <c r="B830" i="1"/>
  <c r="AO829" i="1"/>
  <c r="AM829" i="1"/>
  <c r="AK829" i="1"/>
  <c r="AE829" i="1"/>
  <c r="B829" i="1"/>
  <c r="AO828" i="1"/>
  <c r="AM828" i="1"/>
  <c r="AK828" i="1"/>
  <c r="AE828" i="1"/>
  <c r="B828" i="1"/>
  <c r="AO827" i="1"/>
  <c r="AM827" i="1"/>
  <c r="AK827" i="1"/>
  <c r="AE827" i="1"/>
  <c r="B827" i="1"/>
  <c r="AO826" i="1"/>
  <c r="AM826" i="1"/>
  <c r="AK826" i="1"/>
  <c r="AE826" i="1"/>
  <c r="B826" i="1"/>
  <c r="AM825" i="1"/>
  <c r="AK825" i="1"/>
  <c r="Z825" i="1"/>
  <c r="S825" i="1"/>
  <c r="AO825" i="1" s="1"/>
  <c r="B825" i="1"/>
  <c r="AM824" i="1"/>
  <c r="AK824" i="1"/>
  <c r="Z824" i="1"/>
  <c r="S824" i="1"/>
  <c r="B824" i="1"/>
  <c r="AO823" i="1"/>
  <c r="AM823" i="1"/>
  <c r="AK823" i="1"/>
  <c r="Z823" i="1"/>
  <c r="AE823" i="1" s="1"/>
  <c r="B823" i="1"/>
  <c r="AO822" i="1"/>
  <c r="AM822" i="1"/>
  <c r="AK822" i="1"/>
  <c r="AE822" i="1"/>
  <c r="B822" i="1"/>
  <c r="AO821" i="1"/>
  <c r="AM821" i="1"/>
  <c r="AK821" i="1"/>
  <c r="AE821" i="1"/>
  <c r="B821" i="1"/>
  <c r="AO820" i="1"/>
  <c r="AM820" i="1"/>
  <c r="AK820" i="1"/>
  <c r="AE820" i="1"/>
  <c r="B820" i="1"/>
  <c r="AO819" i="1"/>
  <c r="AM819" i="1"/>
  <c r="AK819" i="1"/>
  <c r="AE819" i="1"/>
  <c r="B819" i="1"/>
  <c r="AO818" i="1"/>
  <c r="AM818" i="1"/>
  <c r="AK818" i="1"/>
  <c r="AE818" i="1"/>
  <c r="B818" i="1"/>
  <c r="AO817" i="1"/>
  <c r="AM817" i="1"/>
  <c r="AK817" i="1"/>
  <c r="AE817" i="1"/>
  <c r="B817" i="1"/>
  <c r="AO816" i="1"/>
  <c r="AM816" i="1"/>
  <c r="AK816" i="1"/>
  <c r="AE816" i="1"/>
  <c r="B816" i="1"/>
  <c r="AO815" i="1"/>
  <c r="AM815" i="1"/>
  <c r="AK815" i="1"/>
  <c r="AE815" i="1"/>
  <c r="B815" i="1"/>
  <c r="AO814" i="1"/>
  <c r="AM814" i="1"/>
  <c r="AK814" i="1"/>
  <c r="AE814" i="1"/>
  <c r="B814" i="1"/>
  <c r="AO813" i="1"/>
  <c r="AM813" i="1"/>
  <c r="AK813" i="1"/>
  <c r="AE813" i="1"/>
  <c r="B813" i="1"/>
  <c r="AO812" i="1"/>
  <c r="AM812" i="1"/>
  <c r="AK812" i="1"/>
  <c r="AE812" i="1"/>
  <c r="B812" i="1"/>
  <c r="AO811" i="1"/>
  <c r="AM811" i="1"/>
  <c r="AK811" i="1"/>
  <c r="AE811" i="1"/>
  <c r="B811" i="1"/>
  <c r="AO810" i="1"/>
  <c r="AM810" i="1"/>
  <c r="AK810" i="1"/>
  <c r="AE810" i="1"/>
  <c r="B810" i="1"/>
  <c r="AO809" i="1"/>
  <c r="AM809" i="1"/>
  <c r="AK809" i="1"/>
  <c r="AE809" i="1"/>
  <c r="B809" i="1"/>
  <c r="AO808" i="1"/>
  <c r="AM808" i="1"/>
  <c r="AK808" i="1"/>
  <c r="AE808" i="1"/>
  <c r="B808" i="1"/>
  <c r="AO807" i="1"/>
  <c r="AM807" i="1"/>
  <c r="AK807" i="1"/>
  <c r="AE807" i="1"/>
  <c r="B807" i="1"/>
  <c r="AO806" i="1"/>
  <c r="AM806" i="1"/>
  <c r="AK806" i="1"/>
  <c r="AE806" i="1"/>
  <c r="B806" i="1"/>
  <c r="AO805" i="1"/>
  <c r="AM805" i="1"/>
  <c r="AK805" i="1"/>
  <c r="AE805" i="1"/>
  <c r="B805" i="1"/>
  <c r="AO804" i="1"/>
  <c r="AM804" i="1"/>
  <c r="AK804" i="1"/>
  <c r="AE804" i="1"/>
  <c r="B804" i="1"/>
  <c r="AO803" i="1"/>
  <c r="AM803" i="1"/>
  <c r="AK803" i="1"/>
  <c r="AE803" i="1"/>
  <c r="B803" i="1"/>
  <c r="AO802" i="1"/>
  <c r="AM802" i="1"/>
  <c r="AK802" i="1"/>
  <c r="AE802" i="1"/>
  <c r="B802" i="1"/>
  <c r="AO801" i="1"/>
  <c r="AM801" i="1"/>
  <c r="AK801" i="1"/>
  <c r="AE801" i="1"/>
  <c r="B801" i="1"/>
  <c r="AO800" i="1"/>
  <c r="AM800" i="1"/>
  <c r="AK800" i="1"/>
  <c r="AE800" i="1"/>
  <c r="B800" i="1"/>
  <c r="AO799" i="1"/>
  <c r="AM799" i="1"/>
  <c r="AK799" i="1"/>
  <c r="AE799" i="1"/>
  <c r="B799" i="1"/>
  <c r="AO798" i="1"/>
  <c r="AM798" i="1"/>
  <c r="AK798" i="1"/>
  <c r="AE798" i="1"/>
  <c r="B798" i="1"/>
  <c r="AO797" i="1"/>
  <c r="AM797" i="1"/>
  <c r="AK797" i="1"/>
  <c r="AE797" i="1"/>
  <c r="B797" i="1"/>
  <c r="AO796" i="1"/>
  <c r="AM796" i="1"/>
  <c r="AK796" i="1"/>
  <c r="AE796" i="1"/>
  <c r="B796" i="1"/>
  <c r="AO795" i="1"/>
  <c r="AM795" i="1"/>
  <c r="AK795" i="1"/>
  <c r="AE795" i="1"/>
  <c r="B795" i="1"/>
  <c r="AO794" i="1"/>
  <c r="AM794" i="1"/>
  <c r="AK794" i="1"/>
  <c r="AE794" i="1"/>
  <c r="B794" i="1"/>
  <c r="AT793" i="1"/>
  <c r="AO793" i="1"/>
  <c r="AM793" i="1"/>
  <c r="AK793" i="1"/>
  <c r="AE793" i="1"/>
  <c r="B793" i="1"/>
  <c r="AO792" i="1"/>
  <c r="AM792" i="1"/>
  <c r="AK792" i="1"/>
  <c r="AE792" i="1"/>
  <c r="B792" i="1"/>
  <c r="AO791" i="1"/>
  <c r="AM791" i="1"/>
  <c r="AK791" i="1"/>
  <c r="AE791" i="1"/>
  <c r="B791" i="1"/>
  <c r="AO790" i="1"/>
  <c r="AM790" i="1"/>
  <c r="AK790" i="1"/>
  <c r="AE790" i="1"/>
  <c r="B790" i="1"/>
  <c r="AO789" i="1"/>
  <c r="AM789" i="1"/>
  <c r="AK789" i="1"/>
  <c r="AE789" i="1"/>
  <c r="B789" i="1"/>
  <c r="AO788" i="1"/>
  <c r="AM788" i="1"/>
  <c r="AK788" i="1"/>
  <c r="AE788" i="1"/>
  <c r="B788" i="1"/>
  <c r="AO787" i="1"/>
  <c r="AM787" i="1"/>
  <c r="AK787" i="1"/>
  <c r="AE787" i="1"/>
  <c r="B787" i="1"/>
  <c r="AO786" i="1"/>
  <c r="AM786" i="1"/>
  <c r="AK786" i="1"/>
  <c r="AE786" i="1"/>
  <c r="B786" i="1"/>
  <c r="AO785" i="1"/>
  <c r="AM785" i="1"/>
  <c r="AK785" i="1"/>
  <c r="AE785" i="1"/>
  <c r="B785" i="1"/>
  <c r="AO784" i="1"/>
  <c r="AM784" i="1"/>
  <c r="AK784" i="1"/>
  <c r="AE784" i="1"/>
  <c r="B784" i="1"/>
  <c r="AT783" i="1"/>
  <c r="AO783" i="1"/>
  <c r="AM783" i="1"/>
  <c r="AK783" i="1"/>
  <c r="B783" i="1"/>
  <c r="AO782" i="1"/>
  <c r="AM782" i="1"/>
  <c r="AK782" i="1"/>
  <c r="B782" i="1"/>
  <c r="AO781" i="1"/>
  <c r="AM781" i="1"/>
  <c r="AK781" i="1"/>
  <c r="AE781" i="1"/>
  <c r="B781" i="1"/>
  <c r="AO780" i="1"/>
  <c r="AM780" i="1"/>
  <c r="AK780" i="1"/>
  <c r="AE780" i="1"/>
  <c r="B780" i="1"/>
  <c r="AM779" i="1"/>
  <c r="AK779" i="1"/>
  <c r="Z779" i="1"/>
  <c r="S779" i="1"/>
  <c r="B779" i="1"/>
  <c r="AM778" i="1"/>
  <c r="AK778" i="1"/>
  <c r="S778" i="1"/>
  <c r="AE778" i="1" s="1"/>
  <c r="B778" i="1"/>
  <c r="AO777" i="1"/>
  <c r="AM777" i="1"/>
  <c r="AK777" i="1"/>
  <c r="AE777" i="1"/>
  <c r="B777" i="1"/>
  <c r="AO776" i="1"/>
  <c r="AM776" i="1"/>
  <c r="AK776" i="1"/>
  <c r="AE776" i="1"/>
  <c r="B776" i="1"/>
  <c r="AM775" i="1"/>
  <c r="AK775" i="1"/>
  <c r="S775" i="1"/>
  <c r="AE775" i="1" s="1"/>
  <c r="B775" i="1"/>
  <c r="AM774" i="1"/>
  <c r="AK774" i="1"/>
  <c r="S774" i="1"/>
  <c r="AE774" i="1" s="1"/>
  <c r="B774" i="1"/>
  <c r="AM773" i="1"/>
  <c r="AK773" i="1"/>
  <c r="S773" i="1"/>
  <c r="AO773" i="1" s="1"/>
  <c r="B773" i="1"/>
  <c r="AM772" i="1"/>
  <c r="AK772" i="1"/>
  <c r="S772" i="1"/>
  <c r="AO772" i="1" s="1"/>
  <c r="B772" i="1"/>
  <c r="AM771" i="1"/>
  <c r="AK771" i="1"/>
  <c r="S771" i="1"/>
  <c r="AO771" i="1" s="1"/>
  <c r="B771" i="1"/>
  <c r="AM770" i="1"/>
  <c r="AK770" i="1"/>
  <c r="S770" i="1"/>
  <c r="AE770" i="1" s="1"/>
  <c r="B770" i="1"/>
  <c r="AM769" i="1"/>
  <c r="AK769" i="1"/>
  <c r="S769" i="1"/>
  <c r="AO769" i="1" s="1"/>
  <c r="B769" i="1"/>
  <c r="AM768" i="1"/>
  <c r="AK768" i="1"/>
  <c r="S768" i="1"/>
  <c r="AO768" i="1" s="1"/>
  <c r="B768" i="1"/>
  <c r="AO767" i="1"/>
  <c r="AM767" i="1"/>
  <c r="AK767" i="1"/>
  <c r="AE767" i="1"/>
  <c r="B767" i="1"/>
  <c r="AM766" i="1"/>
  <c r="AK766" i="1"/>
  <c r="S766" i="1"/>
  <c r="AO766" i="1" s="1"/>
  <c r="B766" i="1"/>
  <c r="AM765" i="1"/>
  <c r="AK765" i="1"/>
  <c r="S765" i="1"/>
  <c r="AE765" i="1" s="1"/>
  <c r="B765" i="1"/>
  <c r="AM764" i="1"/>
  <c r="AK764" i="1"/>
  <c r="S764" i="1"/>
  <c r="AE764" i="1" s="1"/>
  <c r="B764" i="1"/>
  <c r="AM763" i="1"/>
  <c r="AK763" i="1"/>
  <c r="S763" i="1"/>
  <c r="AO763" i="1" s="1"/>
  <c r="B763" i="1"/>
  <c r="AM762" i="1"/>
  <c r="AK762" i="1"/>
  <c r="S762" i="1"/>
  <c r="AE762" i="1" s="1"/>
  <c r="B762" i="1"/>
  <c r="AM761" i="1"/>
  <c r="AK761" i="1"/>
  <c r="S761" i="1"/>
  <c r="AE761" i="1" s="1"/>
  <c r="B761" i="1"/>
  <c r="AM760" i="1"/>
  <c r="AK760" i="1"/>
  <c r="S760" i="1"/>
  <c r="AE760" i="1" s="1"/>
  <c r="B760" i="1"/>
  <c r="AM759" i="1"/>
  <c r="AK759" i="1"/>
  <c r="S759" i="1"/>
  <c r="AO759" i="1" s="1"/>
  <c r="B759" i="1"/>
  <c r="AM758" i="1"/>
  <c r="AK758" i="1"/>
  <c r="S758" i="1"/>
  <c r="AO758" i="1" s="1"/>
  <c r="B758" i="1"/>
  <c r="AM757" i="1"/>
  <c r="AK757" i="1"/>
  <c r="S757" i="1"/>
  <c r="AE757" i="1" s="1"/>
  <c r="Q757" i="1"/>
  <c r="B757" i="1"/>
  <c r="AM756" i="1"/>
  <c r="AK756" i="1"/>
  <c r="S756" i="1"/>
  <c r="AO756" i="1" s="1"/>
  <c r="B756" i="1"/>
  <c r="AM755" i="1"/>
  <c r="AK755" i="1"/>
  <c r="S755" i="1"/>
  <c r="AO755" i="1" s="1"/>
  <c r="B755" i="1"/>
  <c r="AM754" i="1"/>
  <c r="AK754" i="1"/>
  <c r="S754" i="1"/>
  <c r="AE754" i="1" s="1"/>
  <c r="B754" i="1"/>
  <c r="AM753" i="1"/>
  <c r="AK753" i="1"/>
  <c r="S753" i="1"/>
  <c r="AO753" i="1" s="1"/>
  <c r="B753" i="1"/>
  <c r="AM752" i="1"/>
  <c r="AK752" i="1"/>
  <c r="S752" i="1"/>
  <c r="AO752" i="1" s="1"/>
  <c r="B752" i="1"/>
  <c r="AM751" i="1"/>
  <c r="AK751" i="1"/>
  <c r="AE751" i="1"/>
  <c r="S751" i="1"/>
  <c r="AO751" i="1" s="1"/>
  <c r="B751" i="1"/>
  <c r="AO750" i="1"/>
  <c r="AM750" i="1"/>
  <c r="AK750" i="1"/>
  <c r="AE750" i="1"/>
  <c r="B750" i="1"/>
  <c r="AO749" i="1"/>
  <c r="AM749" i="1"/>
  <c r="AK749" i="1"/>
  <c r="AE749" i="1"/>
  <c r="B749" i="1"/>
  <c r="AM748" i="1"/>
  <c r="AK748" i="1"/>
  <c r="S748" i="1"/>
  <c r="AO748" i="1" s="1"/>
  <c r="B748" i="1"/>
  <c r="AM747" i="1"/>
  <c r="AK747" i="1"/>
  <c r="S747" i="1"/>
  <c r="AO747" i="1" s="1"/>
  <c r="B747" i="1"/>
  <c r="AM746" i="1"/>
  <c r="AK746" i="1"/>
  <c r="S746" i="1"/>
  <c r="AO746" i="1" s="1"/>
  <c r="B746" i="1"/>
  <c r="AO745" i="1"/>
  <c r="AM745" i="1"/>
  <c r="AK745" i="1"/>
  <c r="AE745" i="1"/>
  <c r="B745" i="1"/>
  <c r="AO744" i="1"/>
  <c r="AM744" i="1"/>
  <c r="AK744" i="1"/>
  <c r="AE744" i="1"/>
  <c r="B744" i="1"/>
  <c r="AO743" i="1"/>
  <c r="AM743" i="1"/>
  <c r="AK743" i="1"/>
  <c r="AE743" i="1"/>
  <c r="B743" i="1"/>
  <c r="AT742" i="1"/>
  <c r="AO742" i="1"/>
  <c r="AM742" i="1"/>
  <c r="AK742" i="1"/>
  <c r="AE742" i="1"/>
  <c r="B742" i="1"/>
  <c r="AT741" i="1"/>
  <c r="AO741" i="1"/>
  <c r="AM741" i="1"/>
  <c r="AK741" i="1"/>
  <c r="AE741" i="1"/>
  <c r="B741" i="1"/>
  <c r="AO740" i="1"/>
  <c r="AM740" i="1"/>
  <c r="AK740" i="1"/>
  <c r="AE740" i="1"/>
  <c r="B740" i="1"/>
  <c r="AO739" i="1"/>
  <c r="AM739" i="1"/>
  <c r="AK739" i="1"/>
  <c r="AE739" i="1"/>
  <c r="B739" i="1"/>
  <c r="AO738" i="1"/>
  <c r="AM738" i="1"/>
  <c r="AK738" i="1"/>
  <c r="AE738" i="1"/>
  <c r="B738" i="1"/>
  <c r="AO737" i="1"/>
  <c r="AM737" i="1"/>
  <c r="AK737" i="1"/>
  <c r="AE737" i="1"/>
  <c r="B737" i="1"/>
  <c r="AO736" i="1"/>
  <c r="AM736" i="1"/>
  <c r="AK736" i="1"/>
  <c r="AE736" i="1"/>
  <c r="B736" i="1"/>
  <c r="AO735" i="1"/>
  <c r="AM735" i="1"/>
  <c r="AK735" i="1"/>
  <c r="AE735" i="1"/>
  <c r="B735" i="1"/>
  <c r="AO734" i="1"/>
  <c r="AM734" i="1"/>
  <c r="AK734" i="1"/>
  <c r="AE734" i="1"/>
  <c r="B734" i="1"/>
  <c r="AO733" i="1"/>
  <c r="AM733" i="1"/>
  <c r="AK733" i="1"/>
  <c r="AE733" i="1"/>
  <c r="B733" i="1"/>
  <c r="AO732" i="1"/>
  <c r="AM732" i="1"/>
  <c r="AK732" i="1"/>
  <c r="AE732" i="1"/>
  <c r="B732" i="1"/>
  <c r="AO731" i="1"/>
  <c r="AM731" i="1"/>
  <c r="AK731" i="1"/>
  <c r="AE731" i="1"/>
  <c r="B731" i="1"/>
  <c r="AO730" i="1"/>
  <c r="AM730" i="1"/>
  <c r="AK730" i="1"/>
  <c r="AE730" i="1"/>
  <c r="B730" i="1"/>
  <c r="AO729" i="1"/>
  <c r="AM729" i="1"/>
  <c r="AK729" i="1"/>
  <c r="AE729" i="1"/>
  <c r="B729" i="1"/>
  <c r="AO728" i="1"/>
  <c r="AM728" i="1"/>
  <c r="AK728" i="1"/>
  <c r="AE728" i="1"/>
  <c r="B728" i="1"/>
  <c r="AO727" i="1"/>
  <c r="AM727" i="1"/>
  <c r="AK727" i="1"/>
  <c r="AE727" i="1"/>
  <c r="B727" i="1"/>
  <c r="AO726" i="1"/>
  <c r="AM726" i="1"/>
  <c r="AK726" i="1"/>
  <c r="AE726" i="1"/>
  <c r="B726" i="1"/>
  <c r="AO725" i="1"/>
  <c r="AM725" i="1"/>
  <c r="AK725" i="1"/>
  <c r="AE725" i="1"/>
  <c r="B725" i="1"/>
  <c r="AO724" i="1"/>
  <c r="AM724" i="1"/>
  <c r="AK724" i="1"/>
  <c r="AE724" i="1"/>
  <c r="B724" i="1"/>
  <c r="AO723" i="1"/>
  <c r="AM723" i="1"/>
  <c r="AK723" i="1"/>
  <c r="AE723" i="1"/>
  <c r="B723" i="1"/>
  <c r="AO722" i="1"/>
  <c r="AM722" i="1"/>
  <c r="AK722" i="1"/>
  <c r="AE722" i="1"/>
  <c r="B722" i="1"/>
  <c r="AO721" i="1"/>
  <c r="AM721" i="1"/>
  <c r="AK721" i="1"/>
  <c r="AE721" i="1"/>
  <c r="B721" i="1"/>
  <c r="AO720" i="1"/>
  <c r="AM720" i="1"/>
  <c r="AK720" i="1"/>
  <c r="AE720" i="1"/>
  <c r="B720" i="1"/>
  <c r="AO719" i="1"/>
  <c r="AM719" i="1"/>
  <c r="AK719" i="1"/>
  <c r="AE719" i="1"/>
  <c r="B719" i="1"/>
  <c r="AO718" i="1"/>
  <c r="AM718" i="1"/>
  <c r="AK718" i="1"/>
  <c r="AE718" i="1"/>
  <c r="B718" i="1"/>
  <c r="AO717" i="1"/>
  <c r="AM717" i="1"/>
  <c r="AK717" i="1"/>
  <c r="AE717" i="1"/>
  <c r="B717" i="1"/>
  <c r="AO716" i="1"/>
  <c r="AM716" i="1"/>
  <c r="AK716" i="1"/>
  <c r="AE716" i="1"/>
  <c r="B716" i="1"/>
  <c r="AO715" i="1"/>
  <c r="AM715" i="1"/>
  <c r="AK715" i="1"/>
  <c r="AE715" i="1"/>
  <c r="B715" i="1"/>
  <c r="AO714" i="1"/>
  <c r="AM714" i="1"/>
  <c r="AK714" i="1"/>
  <c r="AE714" i="1"/>
  <c r="B714" i="1"/>
  <c r="AO713" i="1"/>
  <c r="AM713" i="1"/>
  <c r="AK713" i="1"/>
  <c r="AE713" i="1"/>
  <c r="B713" i="1"/>
  <c r="AO712" i="1"/>
  <c r="AM712" i="1"/>
  <c r="AK712" i="1"/>
  <c r="AE712" i="1"/>
  <c r="B712" i="1"/>
  <c r="AO711" i="1"/>
  <c r="AM711" i="1"/>
  <c r="AK711" i="1"/>
  <c r="AE711" i="1"/>
  <c r="B711" i="1"/>
  <c r="AO710" i="1"/>
  <c r="AM710" i="1"/>
  <c r="AK710" i="1"/>
  <c r="AE710" i="1"/>
  <c r="B710" i="1"/>
  <c r="AO709" i="1"/>
  <c r="AM709" i="1"/>
  <c r="AK709" i="1"/>
  <c r="AE709" i="1"/>
  <c r="B709" i="1"/>
  <c r="AO708" i="1"/>
  <c r="AM708" i="1"/>
  <c r="AK708" i="1"/>
  <c r="AE708" i="1"/>
  <c r="B708" i="1"/>
  <c r="AO707" i="1"/>
  <c r="AM707" i="1"/>
  <c r="AK707" i="1"/>
  <c r="AE707" i="1"/>
  <c r="B707" i="1"/>
  <c r="AO706" i="1"/>
  <c r="AM706" i="1"/>
  <c r="AK706" i="1"/>
  <c r="AE706" i="1"/>
  <c r="B706" i="1"/>
  <c r="AO705" i="1"/>
  <c r="AM705" i="1"/>
  <c r="AK705" i="1"/>
  <c r="Z705" i="1"/>
  <c r="B705" i="1"/>
  <c r="AO704" i="1"/>
  <c r="AM704" i="1"/>
  <c r="AK704" i="1"/>
  <c r="AE704" i="1"/>
  <c r="B704" i="1"/>
  <c r="AO703" i="1"/>
  <c r="AM703" i="1"/>
  <c r="AK703" i="1"/>
  <c r="AE703" i="1"/>
  <c r="B703" i="1"/>
  <c r="AO702" i="1"/>
  <c r="AM702" i="1"/>
  <c r="AK702" i="1"/>
  <c r="AE702" i="1"/>
  <c r="B702" i="1"/>
  <c r="AO701" i="1"/>
  <c r="AM701" i="1"/>
  <c r="AK701" i="1"/>
  <c r="AE701" i="1"/>
  <c r="B701" i="1"/>
  <c r="AO700" i="1"/>
  <c r="AM700" i="1"/>
  <c r="AK700" i="1"/>
  <c r="AE700" i="1"/>
  <c r="B700" i="1"/>
  <c r="AO699" i="1"/>
  <c r="AM699" i="1"/>
  <c r="AK699" i="1"/>
  <c r="AE699" i="1"/>
  <c r="B699" i="1"/>
  <c r="AO698" i="1"/>
  <c r="AM698" i="1"/>
  <c r="AK698" i="1"/>
  <c r="AE698" i="1"/>
  <c r="B698" i="1"/>
  <c r="AO697" i="1"/>
  <c r="AM697" i="1"/>
  <c r="AK697" i="1"/>
  <c r="AE697" i="1"/>
  <c r="B697" i="1"/>
  <c r="AO696" i="1"/>
  <c r="AM696" i="1"/>
  <c r="AK696" i="1"/>
  <c r="AE696" i="1"/>
  <c r="B696" i="1"/>
  <c r="AO695" i="1"/>
  <c r="AM695" i="1"/>
  <c r="AK695" i="1"/>
  <c r="AE695" i="1"/>
  <c r="B695" i="1"/>
  <c r="AO694" i="1"/>
  <c r="AM694" i="1"/>
  <c r="AK694" i="1"/>
  <c r="AE694" i="1"/>
  <c r="B694" i="1"/>
  <c r="AO693" i="1"/>
  <c r="AM693" i="1"/>
  <c r="AK693" i="1"/>
  <c r="AE693" i="1"/>
  <c r="B693" i="1"/>
  <c r="AO692" i="1"/>
  <c r="AM692" i="1"/>
  <c r="AK692" i="1"/>
  <c r="AE692" i="1"/>
  <c r="B692" i="1"/>
  <c r="AO691" i="1"/>
  <c r="AM691" i="1"/>
  <c r="AK691" i="1"/>
  <c r="AE691" i="1"/>
  <c r="B691" i="1"/>
  <c r="AO690" i="1"/>
  <c r="AM690" i="1"/>
  <c r="AK690" i="1"/>
  <c r="AE690" i="1"/>
  <c r="B690" i="1"/>
  <c r="AO689" i="1"/>
  <c r="AM689" i="1"/>
  <c r="AK689" i="1"/>
  <c r="AE689" i="1"/>
  <c r="B689" i="1"/>
  <c r="AO688" i="1"/>
  <c r="AM688" i="1"/>
  <c r="AK688" i="1"/>
  <c r="AE688" i="1"/>
  <c r="B688" i="1"/>
  <c r="AO687" i="1"/>
  <c r="AM687" i="1"/>
  <c r="AK687" i="1"/>
  <c r="AE687" i="1"/>
  <c r="B687" i="1"/>
  <c r="AO686" i="1"/>
  <c r="AM686" i="1"/>
  <c r="AK686" i="1"/>
  <c r="AE686" i="1"/>
  <c r="B686" i="1"/>
  <c r="AO685" i="1"/>
  <c r="AM685" i="1"/>
  <c r="AK685" i="1"/>
  <c r="AE685" i="1"/>
  <c r="B685" i="1"/>
  <c r="AO684" i="1"/>
  <c r="AM684" i="1"/>
  <c r="AK684" i="1"/>
  <c r="AE684" i="1"/>
  <c r="B684" i="1"/>
  <c r="AO683" i="1"/>
  <c r="AM683" i="1"/>
  <c r="AK683" i="1"/>
  <c r="AE683" i="1"/>
  <c r="B683" i="1"/>
  <c r="AO682" i="1"/>
  <c r="AM682" i="1"/>
  <c r="AK682" i="1"/>
  <c r="AE682" i="1"/>
  <c r="B682" i="1"/>
  <c r="AO681" i="1"/>
  <c r="AM681" i="1"/>
  <c r="AK681" i="1"/>
  <c r="AE681" i="1"/>
  <c r="B681" i="1"/>
  <c r="AO680" i="1"/>
  <c r="AM680" i="1"/>
  <c r="AK680" i="1"/>
  <c r="AE680" i="1"/>
  <c r="B680" i="1"/>
  <c r="AO679" i="1"/>
  <c r="AM679" i="1"/>
  <c r="AK679" i="1"/>
  <c r="AE679" i="1"/>
  <c r="B679" i="1"/>
  <c r="AO678" i="1"/>
  <c r="AM678" i="1"/>
  <c r="AK678" i="1"/>
  <c r="AE678" i="1"/>
  <c r="B678" i="1"/>
  <c r="AO677" i="1"/>
  <c r="AM677" i="1"/>
  <c r="AK677" i="1"/>
  <c r="AE677" i="1"/>
  <c r="B677" i="1"/>
  <c r="AO676" i="1"/>
  <c r="AM676" i="1"/>
  <c r="AK676" i="1"/>
  <c r="AE676" i="1"/>
  <c r="B676" i="1"/>
  <c r="AO675" i="1"/>
  <c r="AM675" i="1"/>
  <c r="AK675" i="1"/>
  <c r="AE675" i="1"/>
  <c r="B675" i="1"/>
  <c r="AO674" i="1"/>
  <c r="AM674" i="1"/>
  <c r="AK674" i="1"/>
  <c r="AE674" i="1"/>
  <c r="B674" i="1"/>
  <c r="AO673" i="1"/>
  <c r="AM673" i="1"/>
  <c r="AK673" i="1"/>
  <c r="AE673" i="1"/>
  <c r="B673" i="1"/>
  <c r="AO672" i="1"/>
  <c r="AM672" i="1"/>
  <c r="AK672" i="1"/>
  <c r="AE672" i="1"/>
  <c r="B672" i="1"/>
  <c r="AO671" i="1"/>
  <c r="AM671" i="1"/>
  <c r="AK671" i="1"/>
  <c r="AE671" i="1"/>
  <c r="B671" i="1"/>
  <c r="AO670" i="1"/>
  <c r="AM670" i="1"/>
  <c r="AK670" i="1"/>
  <c r="AE670" i="1"/>
  <c r="B670" i="1"/>
  <c r="AO669" i="1"/>
  <c r="AM669" i="1"/>
  <c r="AK669" i="1"/>
  <c r="AE669" i="1"/>
  <c r="B669" i="1"/>
  <c r="AO668" i="1"/>
  <c r="AM668" i="1"/>
  <c r="AK668" i="1"/>
  <c r="AE668" i="1"/>
  <c r="B668" i="1"/>
  <c r="AO667" i="1"/>
  <c r="AM667" i="1"/>
  <c r="AK667" i="1"/>
  <c r="AE667" i="1"/>
  <c r="B667" i="1"/>
  <c r="AO666" i="1"/>
  <c r="AM666" i="1"/>
  <c r="AK666" i="1"/>
  <c r="AE666" i="1"/>
  <c r="B666" i="1"/>
  <c r="AO665" i="1"/>
  <c r="AM665" i="1"/>
  <c r="AK665" i="1"/>
  <c r="AE665" i="1"/>
  <c r="B665" i="1"/>
  <c r="AO664" i="1"/>
  <c r="AM664" i="1"/>
  <c r="AK664" i="1"/>
  <c r="AE664" i="1"/>
  <c r="B664" i="1"/>
  <c r="AO663" i="1"/>
  <c r="AM663" i="1"/>
  <c r="AK663" i="1"/>
  <c r="AE663" i="1"/>
  <c r="B663" i="1"/>
  <c r="AO662" i="1"/>
  <c r="AM662" i="1"/>
  <c r="AK662" i="1"/>
  <c r="AE662" i="1"/>
  <c r="B662" i="1"/>
  <c r="AO661" i="1"/>
  <c r="AM661" i="1"/>
  <c r="AK661" i="1"/>
  <c r="AE661" i="1"/>
  <c r="B661" i="1"/>
  <c r="AO660" i="1"/>
  <c r="AM660" i="1"/>
  <c r="AK660" i="1"/>
  <c r="AE660" i="1"/>
  <c r="B660" i="1"/>
  <c r="AO659" i="1"/>
  <c r="AM659" i="1"/>
  <c r="AK659" i="1"/>
  <c r="AE659" i="1"/>
  <c r="B659" i="1"/>
  <c r="AO658" i="1"/>
  <c r="AM658" i="1"/>
  <c r="AK658" i="1"/>
  <c r="AE658" i="1"/>
  <c r="B658" i="1"/>
  <c r="AO657" i="1"/>
  <c r="AM657" i="1"/>
  <c r="AK657" i="1"/>
  <c r="AE657" i="1"/>
  <c r="B657" i="1"/>
  <c r="AO656" i="1"/>
  <c r="AM656" i="1"/>
  <c r="AK656" i="1"/>
  <c r="AE656" i="1"/>
  <c r="B656" i="1"/>
  <c r="AO655" i="1"/>
  <c r="AM655" i="1"/>
  <c r="AK655" i="1"/>
  <c r="AE655" i="1"/>
  <c r="B655" i="1"/>
  <c r="AO654" i="1"/>
  <c r="AM654" i="1"/>
  <c r="AK654" i="1"/>
  <c r="AE654" i="1"/>
  <c r="B654" i="1"/>
  <c r="AO653" i="1"/>
  <c r="AM653" i="1"/>
  <c r="AK653" i="1"/>
  <c r="AE653" i="1"/>
  <c r="B653" i="1"/>
  <c r="AO652" i="1"/>
  <c r="AM652" i="1"/>
  <c r="AK652" i="1"/>
  <c r="AE652" i="1"/>
  <c r="B652" i="1"/>
  <c r="AO651" i="1"/>
  <c r="AM651" i="1"/>
  <c r="AK651" i="1"/>
  <c r="AE651" i="1"/>
  <c r="B651" i="1"/>
  <c r="AO650" i="1"/>
  <c r="AM650" i="1"/>
  <c r="AK650" i="1"/>
  <c r="AE650" i="1"/>
  <c r="B650" i="1"/>
  <c r="AO649" i="1"/>
  <c r="AM649" i="1"/>
  <c r="AK649" i="1"/>
  <c r="AE649" i="1"/>
  <c r="B649" i="1"/>
  <c r="AO648" i="1"/>
  <c r="AM648" i="1"/>
  <c r="AK648" i="1"/>
  <c r="AE648" i="1"/>
  <c r="B648" i="1"/>
  <c r="AO647" i="1"/>
  <c r="AM647" i="1"/>
  <c r="AK647" i="1"/>
  <c r="AE647" i="1"/>
  <c r="B647" i="1"/>
  <c r="AO646" i="1"/>
  <c r="AM646" i="1"/>
  <c r="AK646" i="1"/>
  <c r="AE646" i="1"/>
  <c r="B646" i="1"/>
  <c r="AO645" i="1"/>
  <c r="AM645" i="1"/>
  <c r="AK645" i="1"/>
  <c r="AE645" i="1"/>
  <c r="B645" i="1"/>
  <c r="AO644" i="1"/>
  <c r="AM644" i="1"/>
  <c r="AK644" i="1"/>
  <c r="AE644" i="1"/>
  <c r="B644" i="1"/>
  <c r="AO643" i="1"/>
  <c r="AM643" i="1"/>
  <c r="AK643" i="1"/>
  <c r="AE643" i="1"/>
  <c r="B643" i="1"/>
  <c r="AO642" i="1"/>
  <c r="AM642" i="1"/>
  <c r="AK642" i="1"/>
  <c r="AE642" i="1"/>
  <c r="B642" i="1"/>
  <c r="AO641" i="1"/>
  <c r="AM641" i="1"/>
  <c r="AK641" i="1"/>
  <c r="AE641" i="1"/>
  <c r="B641" i="1"/>
  <c r="AO640" i="1"/>
  <c r="AM640" i="1"/>
  <c r="AK640" i="1"/>
  <c r="AE640" i="1"/>
  <c r="B640" i="1"/>
  <c r="AO639" i="1"/>
  <c r="AM639" i="1"/>
  <c r="AK639" i="1"/>
  <c r="AE639" i="1"/>
  <c r="B639" i="1"/>
  <c r="AO638" i="1"/>
  <c r="AM638" i="1"/>
  <c r="AK638" i="1"/>
  <c r="AE638" i="1"/>
  <c r="B638" i="1"/>
  <c r="AO637" i="1"/>
  <c r="AM637" i="1"/>
  <c r="AK637" i="1"/>
  <c r="AE637" i="1"/>
  <c r="B637" i="1"/>
  <c r="AO636" i="1"/>
  <c r="AM636" i="1"/>
  <c r="AK636" i="1"/>
  <c r="AE636" i="1"/>
  <c r="B636" i="1"/>
  <c r="AM635" i="1"/>
  <c r="AK635" i="1"/>
  <c r="Z635" i="1"/>
  <c r="S635" i="1"/>
  <c r="AO635" i="1" s="1"/>
  <c r="B635" i="1"/>
  <c r="AO634" i="1"/>
  <c r="AM634" i="1"/>
  <c r="AK634" i="1"/>
  <c r="AE634" i="1"/>
  <c r="B634" i="1"/>
  <c r="AO633" i="1"/>
  <c r="AM633" i="1"/>
  <c r="AK633" i="1"/>
  <c r="AE633" i="1"/>
  <c r="B633" i="1"/>
  <c r="AO632" i="1"/>
  <c r="AM632" i="1"/>
  <c r="AK632" i="1"/>
  <c r="AE632" i="1"/>
  <c r="B632" i="1"/>
  <c r="AO631" i="1"/>
  <c r="AM631" i="1"/>
  <c r="AK631" i="1"/>
  <c r="AE631" i="1"/>
  <c r="B631" i="1"/>
  <c r="AO630" i="1"/>
  <c r="AM630" i="1"/>
  <c r="AK630" i="1"/>
  <c r="AE630" i="1"/>
  <c r="B630" i="1"/>
  <c r="AO629" i="1"/>
  <c r="AM629" i="1"/>
  <c r="AK629" i="1"/>
  <c r="AE629" i="1"/>
  <c r="B629" i="1"/>
  <c r="AO628" i="1"/>
  <c r="AM628" i="1"/>
  <c r="AK628" i="1"/>
  <c r="AE628" i="1"/>
  <c r="B628" i="1"/>
  <c r="AO627" i="1"/>
  <c r="AM627" i="1"/>
  <c r="AK627" i="1"/>
  <c r="AE627" i="1"/>
  <c r="B627" i="1"/>
  <c r="AO626" i="1"/>
  <c r="AM626" i="1"/>
  <c r="AK626" i="1"/>
  <c r="AE626" i="1"/>
  <c r="B626" i="1"/>
  <c r="AO625" i="1"/>
  <c r="AM625" i="1"/>
  <c r="AK625" i="1"/>
  <c r="AE625" i="1"/>
  <c r="B625" i="1"/>
  <c r="AO624" i="1"/>
  <c r="AM624" i="1"/>
  <c r="AK624" i="1"/>
  <c r="AE624" i="1"/>
  <c r="B624" i="1"/>
  <c r="AO623" i="1"/>
  <c r="AM623" i="1"/>
  <c r="AK623" i="1"/>
  <c r="AE623" i="1"/>
  <c r="B623" i="1"/>
  <c r="AO622" i="1"/>
  <c r="AM622" i="1"/>
  <c r="AK622" i="1"/>
  <c r="AE622" i="1"/>
  <c r="B622" i="1"/>
  <c r="AO621" i="1"/>
  <c r="AM621" i="1"/>
  <c r="AK621" i="1"/>
  <c r="AE621" i="1"/>
  <c r="B621" i="1"/>
  <c r="AO620" i="1"/>
  <c r="AM620" i="1"/>
  <c r="AK620" i="1"/>
  <c r="AE620" i="1"/>
  <c r="B620" i="1"/>
  <c r="AO619" i="1"/>
  <c r="AM619" i="1"/>
  <c r="AK619" i="1"/>
  <c r="AE619" i="1"/>
  <c r="B619" i="1"/>
  <c r="AO618" i="1"/>
  <c r="AM618" i="1"/>
  <c r="AK618" i="1"/>
  <c r="AE618" i="1"/>
  <c r="B618" i="1"/>
  <c r="AO617" i="1"/>
  <c r="AM617" i="1"/>
  <c r="AK617" i="1"/>
  <c r="AE617" i="1"/>
  <c r="B617" i="1"/>
  <c r="AM616" i="1"/>
  <c r="AK616" i="1"/>
  <c r="S616" i="1"/>
  <c r="AE616" i="1" s="1"/>
  <c r="B616" i="1"/>
  <c r="AO615" i="1"/>
  <c r="AM615" i="1"/>
  <c r="AK615" i="1"/>
  <c r="AE615" i="1"/>
  <c r="B615" i="1"/>
  <c r="AO614" i="1"/>
  <c r="AM614" i="1"/>
  <c r="AK614" i="1"/>
  <c r="AE614" i="1"/>
  <c r="B614" i="1"/>
  <c r="AO613" i="1"/>
  <c r="AM613" i="1"/>
  <c r="AK613" i="1"/>
  <c r="AE613" i="1"/>
  <c r="B613" i="1"/>
  <c r="AO612" i="1"/>
  <c r="AM612" i="1"/>
  <c r="AK612" i="1"/>
  <c r="AE612" i="1"/>
  <c r="B612" i="1"/>
  <c r="AO611" i="1"/>
  <c r="AM611" i="1"/>
  <c r="AK611" i="1"/>
  <c r="AE611" i="1"/>
  <c r="B611" i="1"/>
  <c r="AO610" i="1"/>
  <c r="AM610" i="1"/>
  <c r="AK610" i="1"/>
  <c r="AE610" i="1"/>
  <c r="B610" i="1"/>
  <c r="AO609" i="1"/>
  <c r="AM609" i="1"/>
  <c r="AK609" i="1"/>
  <c r="AE609" i="1"/>
  <c r="B609" i="1"/>
  <c r="AO608" i="1"/>
  <c r="AM608" i="1"/>
  <c r="AK608" i="1"/>
  <c r="AE608" i="1"/>
  <c r="B608" i="1"/>
  <c r="AO607" i="1"/>
  <c r="AM607" i="1"/>
  <c r="AK607" i="1"/>
  <c r="AE607" i="1"/>
  <c r="B607" i="1"/>
  <c r="AO606" i="1"/>
  <c r="AM606" i="1"/>
  <c r="AK606" i="1"/>
  <c r="AE606" i="1"/>
  <c r="B606" i="1"/>
  <c r="AO605" i="1"/>
  <c r="AM605" i="1"/>
  <c r="AK605" i="1"/>
  <c r="AE605" i="1"/>
  <c r="B605" i="1"/>
  <c r="AO604" i="1"/>
  <c r="AM604" i="1"/>
  <c r="AK604" i="1"/>
  <c r="AE604" i="1"/>
  <c r="B604" i="1"/>
  <c r="AO603" i="1"/>
  <c r="AM603" i="1"/>
  <c r="AK603" i="1"/>
  <c r="AE603" i="1"/>
  <c r="B603" i="1"/>
  <c r="AO602" i="1"/>
  <c r="AM602" i="1"/>
  <c r="AK602" i="1"/>
  <c r="AE602" i="1"/>
  <c r="B602" i="1"/>
  <c r="AO601" i="1"/>
  <c r="AM601" i="1"/>
  <c r="AK601" i="1"/>
  <c r="AE601" i="1"/>
  <c r="B601" i="1"/>
  <c r="AO600" i="1"/>
  <c r="AM600" i="1"/>
  <c r="AK600" i="1"/>
  <c r="AE600" i="1"/>
  <c r="B600" i="1"/>
  <c r="AO599" i="1"/>
  <c r="AM599" i="1"/>
  <c r="AK599" i="1"/>
  <c r="AE599" i="1"/>
  <c r="B599" i="1"/>
  <c r="AM598" i="1"/>
  <c r="AK598" i="1"/>
  <c r="S598" i="1"/>
  <c r="AE598" i="1" s="1"/>
  <c r="B598" i="1"/>
  <c r="AO597" i="1"/>
  <c r="AM597" i="1"/>
  <c r="AK597" i="1"/>
  <c r="AE597" i="1"/>
  <c r="B597" i="1"/>
  <c r="AO596" i="1"/>
  <c r="AM596" i="1"/>
  <c r="AK596" i="1"/>
  <c r="AE596" i="1"/>
  <c r="B596" i="1"/>
  <c r="AO595" i="1"/>
  <c r="AM595" i="1"/>
  <c r="AK595" i="1"/>
  <c r="AE595" i="1"/>
  <c r="B595" i="1"/>
  <c r="AO594" i="1"/>
  <c r="AM594" i="1"/>
  <c r="AK594" i="1"/>
  <c r="AE594" i="1"/>
  <c r="B594" i="1"/>
  <c r="AO593" i="1"/>
  <c r="AM593" i="1"/>
  <c r="AK593" i="1"/>
  <c r="AE593" i="1"/>
  <c r="B593" i="1"/>
  <c r="AO592" i="1"/>
  <c r="AM592" i="1"/>
  <c r="AK592" i="1"/>
  <c r="AE592" i="1"/>
  <c r="B592" i="1"/>
  <c r="AO591" i="1"/>
  <c r="AM591" i="1"/>
  <c r="AK591" i="1"/>
  <c r="AE591" i="1"/>
  <c r="B591" i="1"/>
  <c r="AO590" i="1"/>
  <c r="AM590" i="1"/>
  <c r="AK590" i="1"/>
  <c r="AE590" i="1"/>
  <c r="B590" i="1"/>
  <c r="AO589" i="1"/>
  <c r="AM589" i="1"/>
  <c r="AK589" i="1"/>
  <c r="AE589" i="1"/>
  <c r="B589" i="1"/>
  <c r="AM588" i="1"/>
  <c r="AK588" i="1"/>
  <c r="Z588" i="1"/>
  <c r="S588" i="1"/>
  <c r="B588" i="1"/>
  <c r="AO587" i="1"/>
  <c r="AM587" i="1"/>
  <c r="AK587" i="1"/>
  <c r="AE587" i="1"/>
  <c r="B587" i="1"/>
  <c r="AO586" i="1"/>
  <c r="AM586" i="1"/>
  <c r="AK586" i="1"/>
  <c r="AE586" i="1"/>
  <c r="B586" i="1"/>
  <c r="AO585" i="1"/>
  <c r="AM585" i="1"/>
  <c r="AK585" i="1"/>
  <c r="AE585" i="1"/>
  <c r="B585" i="1"/>
  <c r="AM584" i="1"/>
  <c r="AK584" i="1"/>
  <c r="Z584" i="1"/>
  <c r="S584" i="1"/>
  <c r="B584" i="1"/>
  <c r="AM583" i="1"/>
  <c r="AK583" i="1"/>
  <c r="Z583" i="1"/>
  <c r="AE583" i="1" s="1"/>
  <c r="S583" i="1"/>
  <c r="AO583" i="1" s="1"/>
  <c r="B583" i="1"/>
  <c r="AO582" i="1"/>
  <c r="AM582" i="1"/>
  <c r="AK582" i="1"/>
  <c r="AE582" i="1"/>
  <c r="B582" i="1"/>
  <c r="AO581" i="1"/>
  <c r="AM581" i="1"/>
  <c r="AK581" i="1"/>
  <c r="AE581" i="1"/>
  <c r="B581" i="1"/>
  <c r="AO580" i="1"/>
  <c r="AM580" i="1"/>
  <c r="AK580" i="1"/>
  <c r="AE580" i="1"/>
  <c r="B580" i="1"/>
  <c r="AO579" i="1"/>
  <c r="AM579" i="1"/>
  <c r="AK579" i="1"/>
  <c r="AE579" i="1"/>
  <c r="B579" i="1"/>
  <c r="AO578" i="1"/>
  <c r="AM578" i="1"/>
  <c r="AK578" i="1"/>
  <c r="AE578" i="1"/>
  <c r="B578" i="1"/>
  <c r="AO577" i="1"/>
  <c r="AM577" i="1"/>
  <c r="AK577" i="1"/>
  <c r="AE577" i="1"/>
  <c r="B577" i="1"/>
  <c r="AO576" i="1"/>
  <c r="AM576" i="1"/>
  <c r="AK576" i="1"/>
  <c r="AE576" i="1"/>
  <c r="B576" i="1"/>
  <c r="AO575" i="1"/>
  <c r="AM575" i="1"/>
  <c r="AK575" i="1"/>
  <c r="AE575" i="1"/>
  <c r="B575" i="1"/>
  <c r="AO574" i="1"/>
  <c r="AM574" i="1"/>
  <c r="AK574" i="1"/>
  <c r="AE574" i="1"/>
  <c r="B574" i="1"/>
  <c r="AO573" i="1"/>
  <c r="AM573" i="1"/>
  <c r="AK573" i="1"/>
  <c r="AE573" i="1"/>
  <c r="B573" i="1"/>
  <c r="AO572" i="1"/>
  <c r="AM572" i="1"/>
  <c r="AK572" i="1"/>
  <c r="AE572" i="1"/>
  <c r="B572" i="1"/>
  <c r="AM571" i="1"/>
  <c r="AK571" i="1"/>
  <c r="Z571" i="1"/>
  <c r="S571" i="1"/>
  <c r="AO571" i="1" s="1"/>
  <c r="B571" i="1"/>
  <c r="AO570" i="1"/>
  <c r="AM570" i="1"/>
  <c r="AK570" i="1"/>
  <c r="AE570" i="1"/>
  <c r="B570" i="1"/>
  <c r="AO569" i="1"/>
  <c r="AM569" i="1"/>
  <c r="AK569" i="1"/>
  <c r="AE569" i="1"/>
  <c r="B569" i="1"/>
  <c r="AO568" i="1"/>
  <c r="AM568" i="1"/>
  <c r="AK568" i="1"/>
  <c r="AE568" i="1"/>
  <c r="B568" i="1"/>
  <c r="AO567" i="1"/>
  <c r="AM567" i="1"/>
  <c r="AK567" i="1"/>
  <c r="AE567" i="1"/>
  <c r="B567" i="1"/>
  <c r="AO566" i="1"/>
  <c r="AM566" i="1"/>
  <c r="AK566" i="1"/>
  <c r="AE566" i="1"/>
  <c r="B566" i="1"/>
  <c r="AO565" i="1"/>
  <c r="AM565" i="1"/>
  <c r="AK565" i="1"/>
  <c r="AE565" i="1"/>
  <c r="B565" i="1"/>
  <c r="AO564" i="1"/>
  <c r="AM564" i="1"/>
  <c r="AK564" i="1"/>
  <c r="AE564" i="1"/>
  <c r="B564" i="1"/>
  <c r="AO563" i="1"/>
  <c r="AM563" i="1"/>
  <c r="AK563" i="1"/>
  <c r="AE563" i="1"/>
  <c r="B563" i="1"/>
  <c r="AO562" i="1"/>
  <c r="AM562" i="1"/>
  <c r="AK562" i="1"/>
  <c r="AE562" i="1"/>
  <c r="B562" i="1"/>
  <c r="AO561" i="1"/>
  <c r="AM561" i="1"/>
  <c r="AK561" i="1"/>
  <c r="AE561" i="1"/>
  <c r="B561" i="1"/>
  <c r="AO560" i="1"/>
  <c r="AM560" i="1"/>
  <c r="AK560" i="1"/>
  <c r="AE560" i="1"/>
  <c r="B560" i="1"/>
  <c r="AO559" i="1"/>
  <c r="AM559" i="1"/>
  <c r="AK559" i="1"/>
  <c r="AE559" i="1"/>
  <c r="B559" i="1"/>
  <c r="AO558" i="1"/>
  <c r="AM558" i="1"/>
  <c r="AK558" i="1"/>
  <c r="AE558" i="1"/>
  <c r="B558" i="1"/>
  <c r="AO557" i="1"/>
  <c r="AM557" i="1"/>
  <c r="AK557" i="1"/>
  <c r="AE557" i="1"/>
  <c r="B557" i="1"/>
  <c r="AO556" i="1"/>
  <c r="AM556" i="1"/>
  <c r="AK556" i="1"/>
  <c r="AE556" i="1"/>
  <c r="B556" i="1"/>
  <c r="AO555" i="1"/>
  <c r="AM555" i="1"/>
  <c r="AK555" i="1"/>
  <c r="AE555" i="1"/>
  <c r="B555" i="1"/>
  <c r="AO554" i="1"/>
  <c r="AM554" i="1"/>
  <c r="AK554" i="1"/>
  <c r="AE554" i="1"/>
  <c r="B554" i="1"/>
  <c r="AO553" i="1"/>
  <c r="AM553" i="1"/>
  <c r="AK553" i="1"/>
  <c r="AE553" i="1"/>
  <c r="B553" i="1"/>
  <c r="AO552" i="1"/>
  <c r="AM552" i="1"/>
  <c r="AK552" i="1"/>
  <c r="AE552" i="1"/>
  <c r="B552" i="1"/>
  <c r="AO551" i="1"/>
  <c r="AM551" i="1"/>
  <c r="AK551" i="1"/>
  <c r="AE551" i="1"/>
  <c r="B551" i="1"/>
  <c r="AO550" i="1"/>
  <c r="AM550" i="1"/>
  <c r="AK550" i="1"/>
  <c r="AE550" i="1"/>
  <c r="B550" i="1"/>
  <c r="AO549" i="1"/>
  <c r="AM549" i="1"/>
  <c r="AK549" i="1"/>
  <c r="AE549" i="1"/>
  <c r="B549" i="1"/>
  <c r="AO548" i="1"/>
  <c r="AM548" i="1"/>
  <c r="AK548" i="1"/>
  <c r="AE548" i="1"/>
  <c r="B548" i="1"/>
  <c r="AO547" i="1"/>
  <c r="AM547" i="1"/>
  <c r="AK547" i="1"/>
  <c r="AE547" i="1"/>
  <c r="B547" i="1"/>
  <c r="AO546" i="1"/>
  <c r="AM546" i="1"/>
  <c r="AK546" i="1"/>
  <c r="AE546" i="1"/>
  <c r="B546" i="1"/>
  <c r="AO545" i="1"/>
  <c r="AM545" i="1"/>
  <c r="AK545" i="1"/>
  <c r="AE545" i="1"/>
  <c r="B545" i="1"/>
  <c r="AO544" i="1"/>
  <c r="AM544" i="1"/>
  <c r="AK544" i="1"/>
  <c r="AE544" i="1"/>
  <c r="B544" i="1"/>
  <c r="AO543" i="1"/>
  <c r="AM543" i="1"/>
  <c r="AK543" i="1"/>
  <c r="AE543" i="1"/>
  <c r="B543" i="1"/>
  <c r="AO542" i="1"/>
  <c r="AM542" i="1"/>
  <c r="AK542" i="1"/>
  <c r="AE542" i="1"/>
  <c r="B542" i="1"/>
  <c r="AO541" i="1"/>
  <c r="AM541" i="1"/>
  <c r="AK541" i="1"/>
  <c r="AE541" i="1"/>
  <c r="B541" i="1"/>
  <c r="AO540" i="1"/>
  <c r="AM540" i="1"/>
  <c r="AK540" i="1"/>
  <c r="AE540" i="1"/>
  <c r="B540" i="1"/>
  <c r="AO539" i="1"/>
  <c r="AM539" i="1"/>
  <c r="AK539" i="1"/>
  <c r="AE539" i="1"/>
  <c r="B539" i="1"/>
  <c r="AO538" i="1"/>
  <c r="AM538" i="1"/>
  <c r="AK538" i="1"/>
  <c r="AE538" i="1"/>
  <c r="B538" i="1"/>
  <c r="AO537" i="1"/>
  <c r="AM537" i="1"/>
  <c r="AK537" i="1"/>
  <c r="AE537" i="1"/>
  <c r="B537" i="1"/>
  <c r="AO536" i="1"/>
  <c r="AM536" i="1"/>
  <c r="AK536" i="1"/>
  <c r="AE536" i="1"/>
  <c r="B536" i="1"/>
  <c r="AO535" i="1"/>
  <c r="AM535" i="1"/>
  <c r="AK535" i="1"/>
  <c r="AE535" i="1"/>
  <c r="B535" i="1"/>
  <c r="AM534" i="1"/>
  <c r="AK534" i="1"/>
  <c r="S534" i="1"/>
  <c r="AO534" i="1" s="1"/>
  <c r="B534" i="1"/>
  <c r="AO533" i="1"/>
  <c r="AM533" i="1"/>
  <c r="AK533" i="1"/>
  <c r="AE533" i="1"/>
  <c r="B533" i="1"/>
  <c r="AM532" i="1"/>
  <c r="AK532" i="1"/>
  <c r="S532" i="1"/>
  <c r="AO532" i="1" s="1"/>
  <c r="B532" i="1"/>
  <c r="AM531" i="1"/>
  <c r="AK531" i="1"/>
  <c r="S531" i="1"/>
  <c r="AO531" i="1" s="1"/>
  <c r="B531" i="1"/>
  <c r="AM530" i="1"/>
  <c r="AK530" i="1"/>
  <c r="S530" i="1"/>
  <c r="AO530" i="1" s="1"/>
  <c r="B530" i="1"/>
  <c r="AM529" i="1"/>
  <c r="AK529" i="1"/>
  <c r="S529" i="1"/>
  <c r="AO529" i="1" s="1"/>
  <c r="B529" i="1"/>
  <c r="AM528" i="1"/>
  <c r="AK528" i="1"/>
  <c r="S528" i="1"/>
  <c r="AO528" i="1" s="1"/>
  <c r="B528" i="1"/>
  <c r="AO527" i="1"/>
  <c r="AM527" i="1"/>
  <c r="AK527" i="1"/>
  <c r="AE527" i="1"/>
  <c r="B527" i="1"/>
  <c r="AM526" i="1"/>
  <c r="AK526" i="1"/>
  <c r="S526" i="1"/>
  <c r="AE526" i="1" s="1"/>
  <c r="B526" i="1"/>
  <c r="AM525" i="1"/>
  <c r="AK525" i="1"/>
  <c r="S525" i="1"/>
  <c r="AE525" i="1" s="1"/>
  <c r="B525" i="1"/>
  <c r="AM524" i="1"/>
  <c r="AK524" i="1"/>
  <c r="S524" i="1"/>
  <c r="AE524" i="1" s="1"/>
  <c r="B524" i="1"/>
  <c r="AM523" i="1"/>
  <c r="AK523" i="1"/>
  <c r="S523" i="1"/>
  <c r="AO523" i="1" s="1"/>
  <c r="B523" i="1"/>
  <c r="AM522" i="1"/>
  <c r="AK522" i="1"/>
  <c r="S522" i="1"/>
  <c r="AE522" i="1" s="1"/>
  <c r="B522" i="1"/>
  <c r="AO521" i="1"/>
  <c r="AM521" i="1"/>
  <c r="AK521" i="1"/>
  <c r="AE521" i="1"/>
  <c r="B521" i="1"/>
  <c r="AO520" i="1"/>
  <c r="AM520" i="1"/>
  <c r="AK520" i="1"/>
  <c r="AE520" i="1"/>
  <c r="B520" i="1"/>
  <c r="AO519" i="1"/>
  <c r="AM519" i="1"/>
  <c r="AK519" i="1"/>
  <c r="AE519" i="1"/>
  <c r="B519" i="1"/>
  <c r="AO518" i="1"/>
  <c r="AM518" i="1"/>
  <c r="AK518" i="1"/>
  <c r="AE518" i="1"/>
  <c r="B518" i="1"/>
  <c r="AO517" i="1"/>
  <c r="AM517" i="1"/>
  <c r="AK517" i="1"/>
  <c r="AE517" i="1"/>
  <c r="B517" i="1"/>
  <c r="AO516" i="1"/>
  <c r="AM516" i="1"/>
  <c r="AK516" i="1"/>
  <c r="AE516" i="1"/>
  <c r="B516" i="1"/>
  <c r="AO515" i="1"/>
  <c r="AM515" i="1"/>
  <c r="AK515" i="1"/>
  <c r="AE515" i="1"/>
  <c r="B515" i="1"/>
  <c r="AM514" i="1"/>
  <c r="AK514" i="1"/>
  <c r="S514" i="1"/>
  <c r="AE514" i="1" s="1"/>
  <c r="B514" i="1"/>
  <c r="AM513" i="1"/>
  <c r="AK513" i="1"/>
  <c r="S513" i="1"/>
  <c r="AE513" i="1" s="1"/>
  <c r="B513" i="1"/>
  <c r="AM512" i="1"/>
  <c r="AK512" i="1"/>
  <c r="S512" i="1"/>
  <c r="AO512" i="1" s="1"/>
  <c r="B512" i="1"/>
  <c r="AO511" i="1"/>
  <c r="AM511" i="1"/>
  <c r="AK511" i="1"/>
  <c r="AE511" i="1"/>
  <c r="B511" i="1"/>
  <c r="AO510" i="1"/>
  <c r="AM510" i="1"/>
  <c r="AK510" i="1"/>
  <c r="AE510" i="1"/>
  <c r="B510" i="1"/>
  <c r="AM509" i="1"/>
  <c r="AK509" i="1"/>
  <c r="S509" i="1"/>
  <c r="AO509" i="1" s="1"/>
  <c r="B509" i="1"/>
  <c r="AM508" i="1"/>
  <c r="AK508" i="1"/>
  <c r="S508" i="1"/>
  <c r="AO508" i="1" s="1"/>
  <c r="B508" i="1"/>
  <c r="AM507" i="1"/>
  <c r="AK507" i="1"/>
  <c r="S507" i="1"/>
  <c r="AO507" i="1" s="1"/>
  <c r="B507" i="1"/>
  <c r="AM506" i="1"/>
  <c r="AK506" i="1"/>
  <c r="S506" i="1"/>
  <c r="AE506" i="1" s="1"/>
  <c r="B506" i="1"/>
  <c r="AO505" i="1"/>
  <c r="AM505" i="1"/>
  <c r="AK505" i="1"/>
  <c r="AE505" i="1"/>
  <c r="B505" i="1"/>
  <c r="AO504" i="1"/>
  <c r="AM504" i="1"/>
  <c r="AK504" i="1"/>
  <c r="AE504" i="1"/>
  <c r="B504" i="1"/>
  <c r="AM503" i="1"/>
  <c r="AK503" i="1"/>
  <c r="Z503" i="1"/>
  <c r="S503" i="1"/>
  <c r="B503" i="1"/>
  <c r="AM502" i="1"/>
  <c r="AK502" i="1"/>
  <c r="Z502" i="1"/>
  <c r="S502" i="1"/>
  <c r="AO502" i="1" s="1"/>
  <c r="B502" i="1"/>
  <c r="AM501" i="1"/>
  <c r="AK501" i="1"/>
  <c r="Z501" i="1"/>
  <c r="S501" i="1"/>
  <c r="AO501" i="1" s="1"/>
  <c r="B501" i="1"/>
  <c r="AO500" i="1"/>
  <c r="AM500" i="1"/>
  <c r="AK500" i="1"/>
  <c r="AE500" i="1"/>
  <c r="B500" i="1"/>
  <c r="AO499" i="1"/>
  <c r="AM499" i="1"/>
  <c r="AK499" i="1"/>
  <c r="AE499" i="1"/>
  <c r="B499" i="1"/>
  <c r="AO498" i="1"/>
  <c r="AM498" i="1"/>
  <c r="AK498" i="1"/>
  <c r="AE498" i="1"/>
  <c r="B498" i="1"/>
  <c r="AO497" i="1"/>
  <c r="AM497" i="1"/>
  <c r="AK497" i="1"/>
  <c r="AE497" i="1"/>
  <c r="B497" i="1"/>
  <c r="AO496" i="1"/>
  <c r="AM496" i="1"/>
  <c r="AK496" i="1"/>
  <c r="AE496" i="1"/>
  <c r="B496" i="1"/>
  <c r="AO495" i="1"/>
  <c r="AM495" i="1"/>
  <c r="AK495" i="1"/>
  <c r="AE495" i="1"/>
  <c r="B495" i="1"/>
  <c r="AO494" i="1"/>
  <c r="AM494" i="1"/>
  <c r="AK494" i="1"/>
  <c r="AE494" i="1"/>
  <c r="B494" i="1"/>
  <c r="AO493" i="1"/>
  <c r="AM493" i="1"/>
  <c r="AK493" i="1"/>
  <c r="AE493" i="1"/>
  <c r="B493" i="1"/>
  <c r="AO492" i="1"/>
  <c r="AM492" i="1"/>
  <c r="AK492" i="1"/>
  <c r="AE492" i="1"/>
  <c r="B492" i="1"/>
  <c r="AO491" i="1"/>
  <c r="AM491" i="1"/>
  <c r="AK491" i="1"/>
  <c r="AE491" i="1"/>
  <c r="B491" i="1"/>
  <c r="AO490" i="1"/>
  <c r="AM490" i="1"/>
  <c r="AK490" i="1"/>
  <c r="AE490" i="1"/>
  <c r="B490" i="1"/>
  <c r="AO489" i="1"/>
  <c r="AM489" i="1"/>
  <c r="AK489" i="1"/>
  <c r="AE489" i="1"/>
  <c r="B489" i="1"/>
  <c r="AO488" i="1"/>
  <c r="AM488" i="1"/>
  <c r="AK488" i="1"/>
  <c r="AE488" i="1"/>
  <c r="B488" i="1"/>
  <c r="AO487" i="1"/>
  <c r="AM487" i="1"/>
  <c r="AK487" i="1"/>
  <c r="AE487" i="1"/>
  <c r="B487" i="1"/>
  <c r="AO486" i="1"/>
  <c r="AM486" i="1"/>
  <c r="AK486" i="1"/>
  <c r="AE486" i="1"/>
  <c r="B486" i="1"/>
  <c r="AO485" i="1"/>
  <c r="AM485" i="1"/>
  <c r="AK485" i="1"/>
  <c r="AE485" i="1"/>
  <c r="B485" i="1"/>
  <c r="AO484" i="1"/>
  <c r="AM484" i="1"/>
  <c r="AK484" i="1"/>
  <c r="AE484" i="1"/>
  <c r="B484" i="1"/>
  <c r="AM483" i="1"/>
  <c r="AK483" i="1"/>
  <c r="Z483" i="1"/>
  <c r="S483" i="1"/>
  <c r="AO483" i="1" s="1"/>
  <c r="B483" i="1"/>
  <c r="AO482" i="1"/>
  <c r="AM482" i="1"/>
  <c r="AK482" i="1"/>
  <c r="AE482" i="1"/>
  <c r="B482" i="1"/>
  <c r="AO481" i="1"/>
  <c r="AM481" i="1"/>
  <c r="AK481" i="1"/>
  <c r="AE481" i="1"/>
  <c r="B481" i="1"/>
  <c r="AO480" i="1"/>
  <c r="AM480" i="1"/>
  <c r="AK480" i="1"/>
  <c r="AE480" i="1"/>
  <c r="B480" i="1"/>
  <c r="AO479" i="1"/>
  <c r="AM479" i="1"/>
  <c r="AK479" i="1"/>
  <c r="AE479" i="1"/>
  <c r="B479" i="1"/>
  <c r="AO478" i="1"/>
  <c r="AM478" i="1"/>
  <c r="AK478" i="1"/>
  <c r="AE478" i="1"/>
  <c r="B478" i="1"/>
  <c r="AO477" i="1"/>
  <c r="AM477" i="1"/>
  <c r="AK477" i="1"/>
  <c r="AE477" i="1"/>
  <c r="B477" i="1"/>
  <c r="AO476" i="1"/>
  <c r="AM476" i="1"/>
  <c r="AK476" i="1"/>
  <c r="AE476" i="1"/>
  <c r="B476" i="1"/>
  <c r="AO475" i="1"/>
  <c r="AM475" i="1"/>
  <c r="AK475" i="1"/>
  <c r="AE475" i="1"/>
  <c r="B475" i="1"/>
  <c r="AO474" i="1"/>
  <c r="AM474" i="1"/>
  <c r="AK474" i="1"/>
  <c r="AE474" i="1"/>
  <c r="B474" i="1"/>
  <c r="AO473" i="1"/>
  <c r="AM473" i="1"/>
  <c r="AK473" i="1"/>
  <c r="AE473" i="1"/>
  <c r="B473" i="1"/>
  <c r="AM472" i="1"/>
  <c r="AK472" i="1"/>
  <c r="S472" i="1"/>
  <c r="AO472" i="1" s="1"/>
  <c r="B472" i="1"/>
  <c r="AO471" i="1"/>
  <c r="AM471" i="1"/>
  <c r="AK471" i="1"/>
  <c r="AE471" i="1"/>
  <c r="B471" i="1"/>
  <c r="AO470" i="1"/>
  <c r="AM470" i="1"/>
  <c r="AK470" i="1"/>
  <c r="AE470" i="1"/>
  <c r="B470" i="1"/>
  <c r="AO469" i="1"/>
  <c r="AM469" i="1"/>
  <c r="AK469" i="1"/>
  <c r="AE469" i="1"/>
  <c r="B469" i="1"/>
  <c r="AO468" i="1"/>
  <c r="AM468" i="1"/>
  <c r="AK468" i="1"/>
  <c r="AE468" i="1"/>
  <c r="B468" i="1"/>
  <c r="AO467" i="1"/>
  <c r="AM467" i="1"/>
  <c r="AK467" i="1"/>
  <c r="AE467" i="1"/>
  <c r="B467" i="1"/>
  <c r="AM466" i="1"/>
  <c r="AK466" i="1"/>
  <c r="Z466" i="1"/>
  <c r="S466" i="1"/>
  <c r="AO466" i="1" s="1"/>
  <c r="B466" i="1"/>
  <c r="AO465" i="1"/>
  <c r="AM465" i="1"/>
  <c r="AK465" i="1"/>
  <c r="AE465" i="1"/>
  <c r="B465" i="1"/>
  <c r="AM464" i="1"/>
  <c r="AK464" i="1"/>
  <c r="S464" i="1"/>
  <c r="AO464" i="1" s="1"/>
  <c r="B464" i="1"/>
  <c r="AO463" i="1"/>
  <c r="AM463" i="1"/>
  <c r="AK463" i="1"/>
  <c r="AE463" i="1"/>
  <c r="B463" i="1"/>
  <c r="AO462" i="1"/>
  <c r="AM462" i="1"/>
  <c r="AK462" i="1"/>
  <c r="AE462" i="1"/>
  <c r="B462" i="1"/>
  <c r="AO461" i="1"/>
  <c r="AM461" i="1"/>
  <c r="AK461" i="1"/>
  <c r="AE461" i="1"/>
  <c r="B461" i="1"/>
  <c r="AO460" i="1"/>
  <c r="AM460" i="1"/>
  <c r="AK460" i="1"/>
  <c r="AE460" i="1"/>
  <c r="B460" i="1"/>
  <c r="AO459" i="1"/>
  <c r="AM459" i="1"/>
  <c r="AK459" i="1"/>
  <c r="AE459" i="1"/>
  <c r="B459" i="1"/>
  <c r="AO458" i="1"/>
  <c r="AM458" i="1"/>
  <c r="AK458" i="1"/>
  <c r="AE458" i="1"/>
  <c r="B458" i="1"/>
  <c r="AO457" i="1"/>
  <c r="AM457" i="1"/>
  <c r="AK457" i="1"/>
  <c r="AE457" i="1"/>
  <c r="B457" i="1"/>
  <c r="AO456" i="1"/>
  <c r="AM456" i="1"/>
  <c r="AK456" i="1"/>
  <c r="AE456" i="1"/>
  <c r="B456" i="1"/>
  <c r="AO455" i="1"/>
  <c r="AM455" i="1"/>
  <c r="AK455" i="1"/>
  <c r="AE455" i="1"/>
  <c r="B455" i="1"/>
  <c r="AO454" i="1"/>
  <c r="AM454" i="1"/>
  <c r="AK454" i="1"/>
  <c r="AE454" i="1"/>
  <c r="B454" i="1"/>
  <c r="AO453" i="1"/>
  <c r="AM453" i="1"/>
  <c r="AK453" i="1"/>
  <c r="AE453" i="1"/>
  <c r="B453" i="1"/>
  <c r="AO452" i="1"/>
  <c r="AM452" i="1"/>
  <c r="AK452" i="1"/>
  <c r="AE452" i="1"/>
  <c r="B452" i="1"/>
  <c r="AO451" i="1"/>
  <c r="AM451" i="1"/>
  <c r="AK451" i="1"/>
  <c r="AE451" i="1"/>
  <c r="B451" i="1"/>
  <c r="AO450" i="1"/>
  <c r="AM450" i="1"/>
  <c r="AK450" i="1"/>
  <c r="AE450" i="1"/>
  <c r="B450" i="1"/>
  <c r="AO449" i="1"/>
  <c r="AM449" i="1"/>
  <c r="AK449" i="1"/>
  <c r="AE449" i="1"/>
  <c r="B449" i="1"/>
  <c r="AO448" i="1"/>
  <c r="AM448" i="1"/>
  <c r="AK448" i="1"/>
  <c r="AE448" i="1"/>
  <c r="B448" i="1"/>
  <c r="AO447" i="1"/>
  <c r="AM447" i="1"/>
  <c r="AK447" i="1"/>
  <c r="AE447" i="1"/>
  <c r="B447" i="1"/>
  <c r="AO446" i="1"/>
  <c r="AM446" i="1"/>
  <c r="AK446" i="1"/>
  <c r="AE446" i="1"/>
  <c r="B446" i="1"/>
  <c r="AO445" i="1"/>
  <c r="AM445" i="1"/>
  <c r="AK445" i="1"/>
  <c r="AE445" i="1"/>
  <c r="B445" i="1"/>
  <c r="AO444" i="1"/>
  <c r="AM444" i="1"/>
  <c r="AK444" i="1"/>
  <c r="AE444" i="1"/>
  <c r="B444" i="1"/>
  <c r="AO443" i="1"/>
  <c r="AM443" i="1"/>
  <c r="AK443" i="1"/>
  <c r="AE443" i="1"/>
  <c r="B443" i="1"/>
  <c r="AO442" i="1"/>
  <c r="AM442" i="1"/>
  <c r="AK442" i="1"/>
  <c r="AE442" i="1"/>
  <c r="B442" i="1"/>
  <c r="AO441" i="1"/>
  <c r="AM441" i="1"/>
  <c r="AK441" i="1"/>
  <c r="AE441" i="1"/>
  <c r="B441" i="1"/>
  <c r="AO440" i="1"/>
  <c r="AM440" i="1"/>
  <c r="AK440" i="1"/>
  <c r="AE440" i="1"/>
  <c r="B440" i="1"/>
  <c r="AO439" i="1"/>
  <c r="AM439" i="1"/>
  <c r="AK439" i="1"/>
  <c r="AE439" i="1"/>
  <c r="B439" i="1"/>
  <c r="AO438" i="1"/>
  <c r="AM438" i="1"/>
  <c r="AK438" i="1"/>
  <c r="AE438" i="1"/>
  <c r="B438" i="1"/>
  <c r="AO437" i="1"/>
  <c r="AM437" i="1"/>
  <c r="AK437" i="1"/>
  <c r="AE437" i="1"/>
  <c r="B437" i="1"/>
  <c r="AO436" i="1"/>
  <c r="AM436" i="1"/>
  <c r="AK436" i="1"/>
  <c r="AE436" i="1"/>
  <c r="B436" i="1"/>
  <c r="AO435" i="1"/>
  <c r="AM435" i="1"/>
  <c r="AK435" i="1"/>
  <c r="AE435" i="1"/>
  <c r="B435" i="1"/>
  <c r="AO434" i="1"/>
  <c r="AM434" i="1"/>
  <c r="AK434" i="1"/>
  <c r="AE434" i="1"/>
  <c r="B434" i="1"/>
  <c r="AO433" i="1"/>
  <c r="AM433" i="1"/>
  <c r="AK433" i="1"/>
  <c r="AE433" i="1"/>
  <c r="B433" i="1"/>
  <c r="AO432" i="1"/>
  <c r="AM432" i="1"/>
  <c r="AK432" i="1"/>
  <c r="AE432" i="1"/>
  <c r="B432" i="1"/>
  <c r="AO431" i="1"/>
  <c r="AM431" i="1"/>
  <c r="AK431" i="1"/>
  <c r="AE431" i="1"/>
  <c r="B431" i="1"/>
  <c r="AM430" i="1"/>
  <c r="AK430" i="1"/>
  <c r="Z430" i="1"/>
  <c r="AE430" i="1" s="1"/>
  <c r="S430" i="1"/>
  <c r="AO430" i="1" s="1"/>
  <c r="B430" i="1"/>
  <c r="AO429" i="1"/>
  <c r="AM429" i="1"/>
  <c r="AK429" i="1"/>
  <c r="AE429" i="1"/>
  <c r="B429" i="1"/>
  <c r="AO428" i="1"/>
  <c r="AM428" i="1"/>
  <c r="AK428" i="1"/>
  <c r="AE428" i="1"/>
  <c r="B428" i="1"/>
  <c r="AM427" i="1"/>
  <c r="AK427" i="1"/>
  <c r="S427" i="1"/>
  <c r="AO427" i="1" s="1"/>
  <c r="B427" i="1"/>
  <c r="AO426" i="1"/>
  <c r="AM426" i="1"/>
  <c r="AK426" i="1"/>
  <c r="AE426" i="1"/>
  <c r="B426" i="1"/>
  <c r="AM425" i="1"/>
  <c r="AK425" i="1"/>
  <c r="Z425" i="1"/>
  <c r="S425" i="1"/>
  <c r="B425" i="1"/>
  <c r="AM424" i="1"/>
  <c r="AK424" i="1"/>
  <c r="AE424" i="1"/>
  <c r="S424" i="1"/>
  <c r="AO424" i="1" s="1"/>
  <c r="B424" i="1"/>
  <c r="AO423" i="1"/>
  <c r="AM423" i="1"/>
  <c r="AK423" i="1"/>
  <c r="AE423" i="1"/>
  <c r="B423" i="1"/>
  <c r="AM422" i="1"/>
  <c r="AK422" i="1"/>
  <c r="S422" i="1"/>
  <c r="AE422" i="1" s="1"/>
  <c r="B422" i="1"/>
  <c r="AM421" i="1"/>
  <c r="AK421" i="1"/>
  <c r="S421" i="1"/>
  <c r="AE421" i="1" s="1"/>
  <c r="B421" i="1"/>
  <c r="AM420" i="1"/>
  <c r="AK420" i="1"/>
  <c r="S420" i="1"/>
  <c r="AO420" i="1" s="1"/>
  <c r="B420" i="1"/>
  <c r="AM419" i="1"/>
  <c r="AK419" i="1"/>
  <c r="S419" i="1"/>
  <c r="AO419" i="1" s="1"/>
  <c r="B419" i="1"/>
  <c r="AM418" i="1"/>
  <c r="AK418" i="1"/>
  <c r="S418" i="1"/>
  <c r="AE418" i="1" s="1"/>
  <c r="B418" i="1"/>
  <c r="AM417" i="1"/>
  <c r="AK417" i="1"/>
  <c r="S417" i="1"/>
  <c r="AE417" i="1" s="1"/>
  <c r="B417" i="1"/>
  <c r="AM416" i="1"/>
  <c r="AK416" i="1"/>
  <c r="S416" i="1"/>
  <c r="AO416" i="1" s="1"/>
  <c r="B416" i="1"/>
  <c r="AM415" i="1"/>
  <c r="AK415" i="1"/>
  <c r="S415" i="1"/>
  <c r="AE415" i="1" s="1"/>
  <c r="B415" i="1"/>
  <c r="AO413" i="1"/>
  <c r="AM413" i="1"/>
  <c r="AE413" i="1"/>
  <c r="Q413" i="1"/>
  <c r="AO412" i="1"/>
  <c r="AM412" i="1"/>
  <c r="AE412" i="1"/>
  <c r="Q412" i="1"/>
  <c r="AO411" i="1"/>
  <c r="AM411" i="1"/>
  <c r="AE411" i="1"/>
  <c r="Q411" i="1"/>
  <c r="AO410" i="1"/>
  <c r="AM410" i="1"/>
  <c r="AE410" i="1"/>
  <c r="Q410" i="1"/>
  <c r="AM409" i="1"/>
  <c r="S409" i="1"/>
  <c r="AO409" i="1" s="1"/>
  <c r="AM408" i="1"/>
  <c r="S408" i="1"/>
  <c r="AO408" i="1" s="1"/>
  <c r="AM407" i="1"/>
  <c r="S407" i="1"/>
  <c r="AO407" i="1" s="1"/>
  <c r="AM406" i="1"/>
  <c r="S406" i="1"/>
  <c r="AE406" i="1" s="1"/>
  <c r="AM405" i="1"/>
  <c r="S405" i="1"/>
  <c r="AO405" i="1" s="1"/>
  <c r="AM404" i="1"/>
  <c r="S404" i="1"/>
  <c r="AO404" i="1" s="1"/>
  <c r="AO403" i="1"/>
  <c r="AM403" i="1"/>
  <c r="AE403" i="1"/>
  <c r="Q403" i="1"/>
  <c r="AM402" i="1"/>
  <c r="S402" i="1"/>
  <c r="AO402" i="1" s="1"/>
  <c r="AO401" i="1"/>
  <c r="AM401" i="1"/>
  <c r="AE401" i="1"/>
  <c r="Q401" i="1"/>
  <c r="AO400" i="1"/>
  <c r="AM400" i="1"/>
  <c r="AE400" i="1"/>
  <c r="AM399" i="1"/>
  <c r="S399" i="1"/>
  <c r="AE399" i="1" s="1"/>
  <c r="AO398" i="1"/>
  <c r="AM398" i="1"/>
  <c r="AE398" i="1"/>
  <c r="AM397" i="1"/>
  <c r="S397" i="1"/>
  <c r="AO397" i="1" s="1"/>
  <c r="AM396" i="1"/>
  <c r="S396" i="1"/>
  <c r="AO396" i="1" s="1"/>
  <c r="AO395" i="1"/>
  <c r="AM395" i="1"/>
  <c r="AE395" i="1"/>
  <c r="AO394" i="1"/>
  <c r="AM394" i="1"/>
  <c r="AE394" i="1"/>
  <c r="AM393" i="1"/>
  <c r="S393" i="1"/>
  <c r="AE393" i="1" s="1"/>
  <c r="AM392" i="1"/>
  <c r="S392" i="1"/>
  <c r="AE392" i="1" s="1"/>
  <c r="AM391" i="1"/>
  <c r="AD391" i="1"/>
  <c r="Z391" i="1"/>
  <c r="S391" i="1"/>
  <c r="AO391" i="1" s="1"/>
  <c r="Q391" i="1"/>
  <c r="AM390" i="1"/>
  <c r="S390" i="1"/>
  <c r="AO390" i="1" s="1"/>
  <c r="AO389" i="1"/>
  <c r="AM389" i="1"/>
  <c r="AE389" i="1"/>
  <c r="Q389" i="1"/>
  <c r="AO388" i="1"/>
  <c r="AM388" i="1"/>
  <c r="AE388" i="1"/>
  <c r="AM387" i="1"/>
  <c r="S387" i="1"/>
  <c r="AE387" i="1" s="1"/>
  <c r="AM386" i="1"/>
  <c r="S386" i="1"/>
  <c r="AE386" i="1" s="1"/>
  <c r="AM385" i="1"/>
  <c r="S385" i="1"/>
  <c r="AO385" i="1" s="1"/>
  <c r="AO384" i="1"/>
  <c r="AM384" i="1"/>
  <c r="AE384" i="1"/>
  <c r="AM383" i="1"/>
  <c r="S383" i="1"/>
  <c r="AO383" i="1" s="1"/>
  <c r="AM382" i="1"/>
  <c r="S382" i="1"/>
  <c r="AO382" i="1" s="1"/>
  <c r="AM381" i="1"/>
  <c r="S381" i="1"/>
  <c r="AO381" i="1" s="1"/>
  <c r="AM380" i="1"/>
  <c r="S380" i="1"/>
  <c r="AO380" i="1" s="1"/>
  <c r="AM379" i="1"/>
  <c r="S379" i="1"/>
  <c r="AO379" i="1" s="1"/>
  <c r="AM378" i="1"/>
  <c r="S378" i="1"/>
  <c r="AO378" i="1" s="1"/>
  <c r="AM377" i="1"/>
  <c r="S377" i="1"/>
  <c r="AO377" i="1" s="1"/>
  <c r="AO376" i="1"/>
  <c r="AM376" i="1"/>
  <c r="AE376" i="1"/>
  <c r="AM375" i="1"/>
  <c r="S375" i="1"/>
  <c r="AE375" i="1" s="1"/>
  <c r="AM374" i="1"/>
  <c r="S374" i="1"/>
  <c r="AO374" i="1" s="1"/>
  <c r="AO373" i="1"/>
  <c r="AM373" i="1"/>
  <c r="AE373" i="1"/>
  <c r="AM372" i="1"/>
  <c r="S372" i="1"/>
  <c r="AO372" i="1" s="1"/>
  <c r="AM371" i="1"/>
  <c r="S371" i="1"/>
  <c r="AE371" i="1" s="1"/>
  <c r="AO370" i="1"/>
  <c r="AM370" i="1"/>
  <c r="AE370" i="1"/>
  <c r="AO369" i="1"/>
  <c r="AM369" i="1"/>
  <c r="AE369" i="1"/>
  <c r="AO368" i="1"/>
  <c r="AM368" i="1"/>
  <c r="AE368" i="1"/>
  <c r="A368" i="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M367" i="1"/>
  <c r="S367" i="1"/>
  <c r="AO367" i="1" s="1"/>
  <c r="AN364" i="1"/>
  <c r="AM364" i="1"/>
  <c r="S364" i="1"/>
  <c r="AP364" i="1" s="1"/>
  <c r="AN363" i="1"/>
  <c r="AM363" i="1"/>
  <c r="Z363" i="1"/>
  <c r="S363" i="1"/>
  <c r="AP363" i="1" s="1"/>
  <c r="AN362" i="1"/>
  <c r="S362" i="1"/>
  <c r="AP362" i="1" s="1"/>
  <c r="AN361" i="1"/>
  <c r="S361" i="1"/>
  <c r="AP361" i="1" s="1"/>
  <c r="AN360" i="1"/>
  <c r="AM360" i="1"/>
  <c r="S360" i="1"/>
  <c r="AP360" i="1" s="1"/>
  <c r="AN359" i="1"/>
  <c r="AM359" i="1"/>
  <c r="S359" i="1"/>
  <c r="AE359" i="1" s="1"/>
  <c r="AP358" i="1"/>
  <c r="AN358" i="1"/>
  <c r="AM358" i="1"/>
  <c r="AE358" i="1"/>
  <c r="AP357" i="1"/>
  <c r="AN357" i="1"/>
  <c r="AM357" i="1"/>
  <c r="AE357" i="1"/>
  <c r="AP356" i="1"/>
  <c r="AN356" i="1"/>
  <c r="AM356" i="1"/>
  <c r="AE356" i="1"/>
  <c r="AP355" i="1"/>
  <c r="AN355" i="1"/>
  <c r="AM355" i="1"/>
  <c r="AE355" i="1"/>
  <c r="AN354" i="1"/>
  <c r="AM354" i="1"/>
  <c r="S354" i="1"/>
  <c r="AE354" i="1" s="1"/>
  <c r="AP353" i="1"/>
  <c r="AN353" i="1"/>
  <c r="AM353" i="1"/>
  <c r="AE353" i="1"/>
  <c r="AP352" i="1"/>
  <c r="AN352" i="1"/>
  <c r="AM352" i="1"/>
  <c r="AE352" i="1"/>
  <c r="AM350" i="1"/>
  <c r="AK350" i="1"/>
  <c r="S350" i="1"/>
  <c r="AE350" i="1" s="1"/>
  <c r="AM349" i="1"/>
  <c r="AK349" i="1"/>
  <c r="Z349" i="1"/>
  <c r="S349" i="1"/>
  <c r="AO349" i="1" s="1"/>
  <c r="AO348" i="1"/>
  <c r="AM348" i="1"/>
  <c r="AK348" i="1"/>
  <c r="AE348" i="1"/>
  <c r="Q348" i="1"/>
  <c r="AO347" i="1"/>
  <c r="AM347" i="1"/>
  <c r="AK347" i="1"/>
  <c r="AE347" i="1"/>
  <c r="Q347" i="1"/>
  <c r="AO346" i="1"/>
  <c r="AM346" i="1"/>
  <c r="AK346" i="1"/>
  <c r="AE346" i="1"/>
  <c r="Q346" i="1"/>
  <c r="AO345" i="1"/>
  <c r="AM345" i="1"/>
  <c r="AK345" i="1"/>
  <c r="AE345" i="1"/>
  <c r="Q345" i="1"/>
  <c r="AO344" i="1"/>
  <c r="AM344" i="1"/>
  <c r="AK344" i="1"/>
  <c r="AE344" i="1"/>
  <c r="Q344" i="1"/>
  <c r="AO343" i="1"/>
  <c r="AM343" i="1"/>
  <c r="AK343" i="1"/>
  <c r="AE343" i="1"/>
  <c r="Q343" i="1"/>
  <c r="AO342" i="1"/>
  <c r="AM342" i="1"/>
  <c r="AK342" i="1"/>
  <c r="AE342" i="1"/>
  <c r="Q342" i="1"/>
  <c r="AO341" i="1"/>
  <c r="AM341" i="1"/>
  <c r="AK341" i="1"/>
  <c r="AE341" i="1"/>
  <c r="Q341" i="1"/>
  <c r="AO340" i="1"/>
  <c r="AM340" i="1"/>
  <c r="AK340" i="1"/>
  <c r="AE340" i="1"/>
  <c r="Q340" i="1"/>
  <c r="AO339" i="1"/>
  <c r="AM339" i="1"/>
  <c r="AK339" i="1"/>
  <c r="AE339" i="1"/>
  <c r="Q339" i="1"/>
  <c r="AO338" i="1"/>
  <c r="AM338" i="1"/>
  <c r="AK338" i="1"/>
  <c r="AE338" i="1"/>
  <c r="Q338" i="1"/>
  <c r="AO337" i="1"/>
  <c r="AM337" i="1"/>
  <c r="AK337" i="1"/>
  <c r="AE337" i="1"/>
  <c r="Q337" i="1"/>
  <c r="AO336" i="1"/>
  <c r="AM336" i="1"/>
  <c r="AK336" i="1"/>
  <c r="AE336" i="1"/>
  <c r="Q336" i="1"/>
  <c r="AO335" i="1"/>
  <c r="AM335" i="1"/>
  <c r="AK335" i="1"/>
  <c r="AE335" i="1"/>
  <c r="Q335" i="1"/>
  <c r="AO334" i="1"/>
  <c r="AM334" i="1"/>
  <c r="AK334" i="1"/>
  <c r="AE334" i="1"/>
  <c r="Q334" i="1"/>
  <c r="AO333" i="1"/>
  <c r="AM333" i="1"/>
  <c r="AK333" i="1"/>
  <c r="AE333" i="1"/>
  <c r="Q333" i="1"/>
  <c r="AO332" i="1"/>
  <c r="AM332" i="1"/>
  <c r="AK332" i="1"/>
  <c r="AE332" i="1"/>
  <c r="Q332" i="1"/>
  <c r="AO331" i="1"/>
  <c r="AM331" i="1"/>
  <c r="AK331" i="1"/>
  <c r="AE331" i="1"/>
  <c r="Q331" i="1"/>
  <c r="AO330" i="1"/>
  <c r="AM330" i="1"/>
  <c r="AK330" i="1"/>
  <c r="AE330" i="1"/>
  <c r="Q330" i="1"/>
  <c r="AO329" i="1"/>
  <c r="AM329" i="1"/>
  <c r="AK329" i="1"/>
  <c r="AE329" i="1"/>
  <c r="Q329" i="1"/>
  <c r="AO328" i="1"/>
  <c r="AM328" i="1"/>
  <c r="AK328" i="1"/>
  <c r="AE328" i="1"/>
  <c r="Q328" i="1"/>
  <c r="AO327" i="1"/>
  <c r="AM327" i="1"/>
  <c r="AK327" i="1"/>
  <c r="AE327" i="1"/>
  <c r="Q327" i="1"/>
  <c r="AO326" i="1"/>
  <c r="AM326" i="1"/>
  <c r="AK326" i="1"/>
  <c r="AE326" i="1"/>
  <c r="Q326" i="1"/>
  <c r="AO325" i="1"/>
  <c r="AM325" i="1"/>
  <c r="AK325" i="1"/>
  <c r="AE325" i="1"/>
  <c r="Q325" i="1"/>
  <c r="AO324" i="1"/>
  <c r="AM324" i="1"/>
  <c r="AK324" i="1"/>
  <c r="AE324" i="1"/>
  <c r="Q324" i="1"/>
  <c r="AO323" i="1"/>
  <c r="AM323" i="1"/>
  <c r="AK323" i="1"/>
  <c r="AE323" i="1"/>
  <c r="Q323" i="1"/>
  <c r="AO322" i="1"/>
  <c r="AM322" i="1"/>
  <c r="AK322" i="1"/>
  <c r="AE322" i="1"/>
  <c r="Q322" i="1"/>
  <c r="AO321" i="1"/>
  <c r="AM321" i="1"/>
  <c r="AK321" i="1"/>
  <c r="AE321" i="1"/>
  <c r="Q321" i="1"/>
  <c r="AO320" i="1"/>
  <c r="AM320" i="1"/>
  <c r="AK320" i="1"/>
  <c r="AE320" i="1"/>
  <c r="Q320" i="1"/>
  <c r="AO319" i="1"/>
  <c r="AM319" i="1"/>
  <c r="AK319" i="1"/>
  <c r="AE319" i="1"/>
  <c r="Q319" i="1"/>
  <c r="AO318" i="1"/>
  <c r="AM318" i="1"/>
  <c r="AK318" i="1"/>
  <c r="AE318" i="1"/>
  <c r="Q318" i="1"/>
  <c r="AO317" i="1"/>
  <c r="AM317" i="1"/>
  <c r="AK317" i="1"/>
  <c r="AE317" i="1"/>
  <c r="Q317" i="1"/>
  <c r="AM316" i="1"/>
  <c r="AK316" i="1"/>
  <c r="S316" i="1"/>
  <c r="AO316" i="1" s="1"/>
  <c r="AO315" i="1"/>
  <c r="AM315" i="1"/>
  <c r="AK315" i="1"/>
  <c r="AE315" i="1"/>
  <c r="Q315" i="1"/>
  <c r="AO314" i="1"/>
  <c r="AM314" i="1"/>
  <c r="AK314" i="1"/>
  <c r="AE314" i="1"/>
  <c r="Q314" i="1"/>
  <c r="AO313" i="1"/>
  <c r="AM313" i="1"/>
  <c r="AK313" i="1"/>
  <c r="AE313" i="1"/>
  <c r="Q313" i="1"/>
  <c r="AO312" i="1"/>
  <c r="AM312" i="1"/>
  <c r="AK312" i="1"/>
  <c r="AE312" i="1"/>
  <c r="Q312" i="1"/>
  <c r="AO311" i="1"/>
  <c r="AM311" i="1"/>
  <c r="AK311" i="1"/>
  <c r="AE311" i="1"/>
  <c r="Q311" i="1"/>
  <c r="AO310" i="1"/>
  <c r="AM310" i="1"/>
  <c r="AK310" i="1"/>
  <c r="AE310" i="1"/>
  <c r="Q310" i="1"/>
  <c r="AM309" i="1"/>
  <c r="AK309" i="1"/>
  <c r="S309" i="1"/>
  <c r="AE309" i="1" s="1"/>
  <c r="A309" i="1"/>
  <c r="A310" i="1" s="1"/>
  <c r="AM308" i="1"/>
  <c r="AK308" i="1"/>
  <c r="S308" i="1"/>
  <c r="AO308" i="1" s="1"/>
  <c r="B308" i="1"/>
  <c r="AM307" i="1"/>
  <c r="AK307" i="1"/>
  <c r="S307" i="1"/>
  <c r="AO307" i="1" s="1"/>
  <c r="A307" i="1"/>
  <c r="B307" i="1" s="1"/>
  <c r="AO306" i="1"/>
  <c r="AM306" i="1"/>
  <c r="AK306" i="1"/>
  <c r="AE306" i="1"/>
  <c r="AM305" i="1"/>
  <c r="AK305" i="1"/>
  <c r="S305" i="1"/>
  <c r="AE305" i="1" s="1"/>
  <c r="AM304" i="1"/>
  <c r="AK304" i="1"/>
  <c r="S304" i="1"/>
  <c r="AE304" i="1" s="1"/>
  <c r="AM303" i="1"/>
  <c r="AK303" i="1"/>
  <c r="S303" i="1"/>
  <c r="AE303" i="1" s="1"/>
  <c r="AM302" i="1"/>
  <c r="AK302" i="1"/>
  <c r="S302" i="1"/>
  <c r="AE302" i="1" s="1"/>
  <c r="AO301" i="1"/>
  <c r="AM301" i="1"/>
  <c r="AK301" i="1"/>
  <c r="AE301" i="1"/>
  <c r="Q301" i="1"/>
  <c r="AO300" i="1"/>
  <c r="AM300" i="1"/>
  <c r="AK300" i="1"/>
  <c r="AE300" i="1"/>
  <c r="Q300" i="1"/>
  <c r="AM299" i="1"/>
  <c r="AK299" i="1"/>
  <c r="S299" i="1"/>
  <c r="AE299" i="1" s="1"/>
  <c r="AM298" i="1"/>
  <c r="AK298" i="1"/>
  <c r="S298" i="1"/>
  <c r="AE298" i="1" s="1"/>
  <c r="AM297" i="1"/>
  <c r="AK297" i="1"/>
  <c r="S297" i="1"/>
  <c r="AE297" i="1" s="1"/>
  <c r="AM296" i="1"/>
  <c r="AK296" i="1"/>
  <c r="S296" i="1"/>
  <c r="AE296" i="1" s="1"/>
  <c r="AM295" i="1"/>
  <c r="AK295" i="1"/>
  <c r="S295" i="1"/>
  <c r="AE295" i="1" s="1"/>
  <c r="AM294" i="1"/>
  <c r="AK294" i="1"/>
  <c r="S294" i="1"/>
  <c r="AE294" i="1" s="1"/>
  <c r="AO293" i="1"/>
  <c r="AM293" i="1"/>
  <c r="AK293" i="1"/>
  <c r="AE293" i="1"/>
  <c r="Q293" i="1"/>
  <c r="AO292" i="1"/>
  <c r="AM292" i="1"/>
  <c r="AK292" i="1"/>
  <c r="AE292" i="1"/>
  <c r="Q292" i="1"/>
  <c r="AO291" i="1"/>
  <c r="AM291" i="1"/>
  <c r="AK291" i="1"/>
  <c r="AE291" i="1"/>
  <c r="Q291" i="1"/>
  <c r="AO290" i="1"/>
  <c r="AM290" i="1"/>
  <c r="AK290" i="1"/>
  <c r="AE290" i="1"/>
  <c r="Q290" i="1"/>
  <c r="AM289" i="1"/>
  <c r="AK289" i="1"/>
  <c r="S289" i="1"/>
  <c r="AE289" i="1" s="1"/>
  <c r="AM288" i="1"/>
  <c r="AK288" i="1"/>
  <c r="S288" i="1"/>
  <c r="AE288" i="1" s="1"/>
  <c r="AM287" i="1"/>
  <c r="AK287" i="1"/>
  <c r="S287" i="1"/>
  <c r="AE287" i="1" s="1"/>
  <c r="AM286" i="1"/>
  <c r="AK286" i="1"/>
  <c r="S286" i="1"/>
  <c r="AE286" i="1" s="1"/>
  <c r="AM285" i="1"/>
  <c r="AK285" i="1"/>
  <c r="S285" i="1"/>
  <c r="AE285" i="1" s="1"/>
  <c r="AM284" i="1"/>
  <c r="AK284" i="1"/>
  <c r="S284" i="1"/>
  <c r="AE284" i="1" s="1"/>
  <c r="AM283" i="1"/>
  <c r="AK283" i="1"/>
  <c r="S283" i="1"/>
  <c r="AE283" i="1" s="1"/>
  <c r="AM282" i="1"/>
  <c r="AK282" i="1"/>
  <c r="S282" i="1"/>
  <c r="AE282" i="1" s="1"/>
  <c r="AO281" i="1"/>
  <c r="AM281" i="1"/>
  <c r="AK281" i="1"/>
  <c r="AE281" i="1"/>
  <c r="Q281" i="1"/>
  <c r="AO280" i="1"/>
  <c r="AM280" i="1"/>
  <c r="AK280" i="1"/>
  <c r="AE280" i="1"/>
  <c r="Q280" i="1"/>
  <c r="AO279" i="1"/>
  <c r="AM279" i="1"/>
  <c r="AK279" i="1"/>
  <c r="AE279" i="1"/>
  <c r="Q279" i="1"/>
  <c r="AO278" i="1"/>
  <c r="AM278" i="1"/>
  <c r="AK278" i="1"/>
  <c r="AE278" i="1"/>
  <c r="Q278" i="1"/>
  <c r="AH277" i="1"/>
  <c r="AM277" i="1" s="1"/>
  <c r="AD277" i="1"/>
  <c r="S277" i="1"/>
  <c r="Q277" i="1" s="1"/>
  <c r="AH276" i="1"/>
  <c r="AM276" i="1" s="1"/>
  <c r="AD276" i="1"/>
  <c r="AK276" i="1" s="1"/>
  <c r="S276" i="1"/>
  <c r="Q276" i="1" s="1"/>
  <c r="AH275" i="1"/>
  <c r="AM275" i="1" s="1"/>
  <c r="AD275" i="1"/>
  <c r="S275" i="1"/>
  <c r="AH274" i="1"/>
  <c r="AM274" i="1" s="1"/>
  <c r="AD274" i="1"/>
  <c r="S274" i="1"/>
  <c r="Q274" i="1" s="1"/>
  <c r="AO273" i="1"/>
  <c r="AM273" i="1"/>
  <c r="AK273" i="1"/>
  <c r="AE273" i="1"/>
  <c r="Q273" i="1"/>
  <c r="AO272" i="1"/>
  <c r="AM272" i="1"/>
  <c r="AK272" i="1"/>
  <c r="AE272" i="1"/>
  <c r="Q272" i="1"/>
  <c r="AO271" i="1"/>
  <c r="AM271" i="1"/>
  <c r="AK271" i="1"/>
  <c r="AE271" i="1"/>
  <c r="Q271" i="1"/>
  <c r="AO270" i="1"/>
  <c r="AM270" i="1"/>
  <c r="AK270" i="1"/>
  <c r="AE270" i="1"/>
  <c r="Q270" i="1"/>
  <c r="AO269" i="1"/>
  <c r="AM269" i="1"/>
  <c r="AK269" i="1"/>
  <c r="S269" i="1"/>
  <c r="AE269" i="1" s="1"/>
  <c r="Q269" i="1"/>
  <c r="AM268" i="1"/>
  <c r="AK268" i="1"/>
  <c r="S268" i="1"/>
  <c r="AE268" i="1" s="1"/>
  <c r="AO267" i="1"/>
  <c r="AM267" i="1"/>
  <c r="AK267" i="1"/>
  <c r="AE267" i="1"/>
  <c r="Q267" i="1"/>
  <c r="AO266" i="1"/>
  <c r="AM266" i="1"/>
  <c r="AK266" i="1"/>
  <c r="AE266" i="1"/>
  <c r="Q266" i="1"/>
  <c r="AO265" i="1"/>
  <c r="AM265" i="1"/>
  <c r="AK265" i="1"/>
  <c r="AE265" i="1"/>
  <c r="Q265" i="1"/>
  <c r="AO264" i="1"/>
  <c r="AM264" i="1"/>
  <c r="AK264" i="1"/>
  <c r="AE264" i="1"/>
  <c r="Q264" i="1"/>
  <c r="AO263" i="1"/>
  <c r="AM263" i="1"/>
  <c r="AK263" i="1"/>
  <c r="AE263" i="1"/>
  <c r="Q263" i="1"/>
  <c r="AO262" i="1"/>
  <c r="AM262" i="1"/>
  <c r="AK262" i="1"/>
  <c r="AE262" i="1"/>
  <c r="Q262" i="1"/>
  <c r="AM261" i="1"/>
  <c r="AK261" i="1"/>
  <c r="S261" i="1"/>
  <c r="AO261" i="1" s="1"/>
  <c r="AM260" i="1"/>
  <c r="AK260" i="1"/>
  <c r="S260" i="1"/>
  <c r="AO260" i="1" s="1"/>
  <c r="AO259" i="1"/>
  <c r="AM259" i="1"/>
  <c r="AK259" i="1"/>
  <c r="AE259" i="1"/>
  <c r="Q259" i="1"/>
  <c r="AO258" i="1"/>
  <c r="AM258" i="1"/>
  <c r="AK258" i="1"/>
  <c r="AE258" i="1"/>
  <c r="Q258" i="1"/>
  <c r="AO257" i="1"/>
  <c r="AM257" i="1"/>
  <c r="AK257" i="1"/>
  <c r="AE257" i="1"/>
  <c r="Q257" i="1"/>
  <c r="AO256" i="1"/>
  <c r="AM256" i="1"/>
  <c r="AK256" i="1"/>
  <c r="AE256" i="1"/>
  <c r="Q256" i="1"/>
  <c r="AO255" i="1"/>
  <c r="AM255" i="1"/>
  <c r="AK255" i="1"/>
  <c r="AE255" i="1"/>
  <c r="Q255" i="1"/>
  <c r="AO254" i="1"/>
  <c r="AM254" i="1"/>
  <c r="AK254" i="1"/>
  <c r="AE254" i="1"/>
  <c r="Q254" i="1"/>
  <c r="AO253" i="1"/>
  <c r="AM253" i="1"/>
  <c r="AK253" i="1"/>
  <c r="AE253" i="1"/>
  <c r="Q253" i="1"/>
  <c r="AO252" i="1"/>
  <c r="AM252" i="1"/>
  <c r="AK252" i="1"/>
  <c r="AE252" i="1"/>
  <c r="Q252" i="1"/>
  <c r="AM251" i="1"/>
  <c r="AK251" i="1"/>
  <c r="S251" i="1"/>
  <c r="AE251" i="1" s="1"/>
  <c r="AM250" i="1"/>
  <c r="AK250" i="1"/>
  <c r="S250" i="1"/>
  <c r="Q250" i="1" s="1"/>
  <c r="AM249" i="1"/>
  <c r="AK249" i="1"/>
  <c r="S249" i="1"/>
  <c r="AO249" i="1" s="1"/>
  <c r="AM248" i="1"/>
  <c r="AK248" i="1"/>
  <c r="S248" i="1"/>
  <c r="AO248" i="1" s="1"/>
  <c r="AO247" i="1"/>
  <c r="AM247" i="1"/>
  <c r="AK247" i="1"/>
  <c r="AE247" i="1"/>
  <c r="Q247" i="1"/>
  <c r="AO246" i="1"/>
  <c r="AM246" i="1"/>
  <c r="AK246" i="1"/>
  <c r="AE246" i="1"/>
  <c r="Q246" i="1"/>
  <c r="AO245" i="1"/>
  <c r="AM245" i="1"/>
  <c r="AK245" i="1"/>
  <c r="AE245" i="1"/>
  <c r="Q245" i="1"/>
  <c r="AO244" i="1"/>
  <c r="AM244" i="1"/>
  <c r="AK244" i="1"/>
  <c r="AE244" i="1"/>
  <c r="Q244" i="1"/>
  <c r="AO243" i="1"/>
  <c r="AM243" i="1"/>
  <c r="AK243" i="1"/>
  <c r="AE243" i="1"/>
  <c r="Q243" i="1"/>
  <c r="AO242" i="1"/>
  <c r="AM242" i="1"/>
  <c r="AK242" i="1"/>
  <c r="AE242" i="1"/>
  <c r="Q242" i="1"/>
  <c r="AO241" i="1"/>
  <c r="AM241" i="1"/>
  <c r="AK241" i="1"/>
  <c r="AE241" i="1"/>
  <c r="Q241" i="1"/>
  <c r="AO240" i="1"/>
  <c r="AM240" i="1"/>
  <c r="AK240" i="1"/>
  <c r="AE240" i="1"/>
  <c r="Q240" i="1"/>
  <c r="AO239" i="1"/>
  <c r="AM239" i="1"/>
  <c r="AK239" i="1"/>
  <c r="AE239" i="1"/>
  <c r="Q239" i="1"/>
  <c r="AO238" i="1"/>
  <c r="AM238" i="1"/>
  <c r="AK238" i="1"/>
  <c r="AE238" i="1"/>
  <c r="Q238" i="1"/>
  <c r="AO237" i="1"/>
  <c r="AM237" i="1"/>
  <c r="AK237" i="1"/>
  <c r="AE237" i="1"/>
  <c r="Q237" i="1"/>
  <c r="AO236" i="1"/>
  <c r="AM236" i="1"/>
  <c r="AK236" i="1"/>
  <c r="AE236" i="1"/>
  <c r="Q236" i="1"/>
  <c r="AO235" i="1"/>
  <c r="AM235" i="1"/>
  <c r="AK235" i="1"/>
  <c r="AE235" i="1"/>
  <c r="Q235" i="1"/>
  <c r="AO234" i="1"/>
  <c r="AM234" i="1"/>
  <c r="AK234" i="1"/>
  <c r="AE234" i="1"/>
  <c r="Q234" i="1"/>
  <c r="AO233" i="1"/>
  <c r="AM233" i="1"/>
  <c r="AK233" i="1"/>
  <c r="AE233" i="1"/>
  <c r="Q233" i="1"/>
  <c r="AO232" i="1"/>
  <c r="AM232" i="1"/>
  <c r="AK232" i="1"/>
  <c r="AE232" i="1"/>
  <c r="Q232" i="1"/>
  <c r="AO231" i="1"/>
  <c r="AM231" i="1"/>
  <c r="AK231" i="1"/>
  <c r="AE231" i="1"/>
  <c r="Q231" i="1"/>
  <c r="AO230" i="1"/>
  <c r="AM230" i="1"/>
  <c r="AK230" i="1"/>
  <c r="AE230" i="1"/>
  <c r="Q230" i="1"/>
  <c r="AO229" i="1"/>
  <c r="AM229" i="1"/>
  <c r="AK229" i="1"/>
  <c r="AE229" i="1"/>
  <c r="Q229" i="1"/>
  <c r="AO228" i="1"/>
  <c r="AM228" i="1"/>
  <c r="AK228" i="1"/>
  <c r="AE228" i="1"/>
  <c r="Q228" i="1"/>
  <c r="AO227" i="1"/>
  <c r="AM227" i="1"/>
  <c r="AK227" i="1"/>
  <c r="AE227" i="1"/>
  <c r="Q227" i="1"/>
  <c r="AO226" i="1"/>
  <c r="AM226" i="1"/>
  <c r="AK226" i="1"/>
  <c r="AE226" i="1"/>
  <c r="Q226" i="1"/>
  <c r="AO225" i="1"/>
  <c r="AM225" i="1"/>
  <c r="AK225" i="1"/>
  <c r="AE225" i="1"/>
  <c r="Q225" i="1"/>
  <c r="AO224" i="1"/>
  <c r="AM224" i="1"/>
  <c r="AK224" i="1"/>
  <c r="AE224" i="1"/>
  <c r="Q224" i="1"/>
  <c r="AO223" i="1"/>
  <c r="AM223" i="1"/>
  <c r="AK223" i="1"/>
  <c r="S223" i="1"/>
  <c r="AE223" i="1" s="1"/>
  <c r="AM222" i="1"/>
  <c r="AK222" i="1"/>
  <c r="S222" i="1"/>
  <c r="AO222" i="1" s="1"/>
  <c r="AO221" i="1"/>
  <c r="AM221" i="1"/>
  <c r="AK221" i="1"/>
  <c r="AE221" i="1"/>
  <c r="Q221" i="1"/>
  <c r="AO220" i="1"/>
  <c r="AM220" i="1"/>
  <c r="AK220" i="1"/>
  <c r="AE220" i="1"/>
  <c r="Q220" i="1"/>
  <c r="AM219" i="1"/>
  <c r="AK219" i="1"/>
  <c r="S219" i="1"/>
  <c r="AE219" i="1" s="1"/>
  <c r="AM218" i="1"/>
  <c r="AK218" i="1"/>
  <c r="S218" i="1"/>
  <c r="AE218" i="1" s="1"/>
  <c r="AH217" i="1"/>
  <c r="AM217" i="1" s="1"/>
  <c r="AD217" i="1"/>
  <c r="AK217" i="1" s="1"/>
  <c r="S217" i="1"/>
  <c r="Q217" i="1" s="1"/>
  <c r="AH216" i="1"/>
  <c r="AM216" i="1" s="1"/>
  <c r="AD216" i="1"/>
  <c r="S216" i="1"/>
  <c r="Q216" i="1" s="1"/>
  <c r="AO215" i="1"/>
  <c r="AM215" i="1"/>
  <c r="AK215" i="1"/>
  <c r="AE215" i="1"/>
  <c r="Q215" i="1"/>
  <c r="AO214" i="1"/>
  <c r="AM214" i="1"/>
  <c r="AK214" i="1"/>
  <c r="AE214" i="1"/>
  <c r="Q214" i="1"/>
  <c r="AO213" i="1"/>
  <c r="AM213" i="1"/>
  <c r="AK213" i="1"/>
  <c r="AE213" i="1"/>
  <c r="Q213" i="1"/>
  <c r="AO212" i="1"/>
  <c r="AM212" i="1"/>
  <c r="AK212" i="1"/>
  <c r="AE212" i="1"/>
  <c r="Q212" i="1"/>
  <c r="AO211" i="1"/>
  <c r="AM211" i="1"/>
  <c r="AK211" i="1"/>
  <c r="AE211" i="1"/>
  <c r="Q211" i="1"/>
  <c r="AO210" i="1"/>
  <c r="AM210" i="1"/>
  <c r="AK210" i="1"/>
  <c r="AE210" i="1"/>
  <c r="Q210" i="1"/>
  <c r="AO209" i="1"/>
  <c r="AM209" i="1"/>
  <c r="AK209" i="1"/>
  <c r="AE209" i="1"/>
  <c r="Q209" i="1"/>
  <c r="AO208" i="1"/>
  <c r="AM208" i="1"/>
  <c r="AK208" i="1"/>
  <c r="AE208" i="1"/>
  <c r="Q208" i="1"/>
  <c r="AO207" i="1"/>
  <c r="AM207" i="1"/>
  <c r="AK207" i="1"/>
  <c r="AE207" i="1"/>
  <c r="Q207" i="1"/>
  <c r="AO206" i="1"/>
  <c r="AM206" i="1"/>
  <c r="AK206" i="1"/>
  <c r="AE206" i="1"/>
  <c r="Q206" i="1"/>
  <c r="AO205" i="1"/>
  <c r="AM205" i="1"/>
  <c r="AK205" i="1"/>
  <c r="AE205" i="1"/>
  <c r="Q205" i="1"/>
  <c r="AO204" i="1"/>
  <c r="AM204" i="1"/>
  <c r="AK204" i="1"/>
  <c r="AE204" i="1"/>
  <c r="Q204" i="1"/>
  <c r="AO203" i="1"/>
  <c r="AM203" i="1"/>
  <c r="AK203" i="1"/>
  <c r="AE203" i="1"/>
  <c r="Q203" i="1"/>
  <c r="AO202" i="1"/>
  <c r="AM202" i="1"/>
  <c r="AK202" i="1"/>
  <c r="AE202" i="1"/>
  <c r="Q202" i="1"/>
  <c r="AO201" i="1"/>
  <c r="AM201" i="1"/>
  <c r="AK201" i="1"/>
  <c r="AE201" i="1"/>
  <c r="Q201" i="1"/>
  <c r="AO200" i="1"/>
  <c r="AM200" i="1"/>
  <c r="AK200" i="1"/>
  <c r="AE200" i="1"/>
  <c r="Q200" i="1"/>
  <c r="AO199" i="1"/>
  <c r="AM199" i="1"/>
  <c r="AK199" i="1"/>
  <c r="AE199" i="1"/>
  <c r="Q199" i="1"/>
  <c r="AO198" i="1"/>
  <c r="AM198" i="1"/>
  <c r="AK198" i="1"/>
  <c r="AE198" i="1"/>
  <c r="Q198" i="1"/>
  <c r="AO197" i="1"/>
  <c r="AM197" i="1"/>
  <c r="AE197" i="1"/>
  <c r="Q197" i="1"/>
  <c r="AO196" i="1"/>
  <c r="AM196" i="1"/>
  <c r="AE196" i="1"/>
  <c r="Q196" i="1"/>
  <c r="AO195" i="1"/>
  <c r="AM195" i="1"/>
  <c r="AK195" i="1"/>
  <c r="AE195" i="1"/>
  <c r="Q195" i="1"/>
  <c r="AO194" i="1"/>
  <c r="AM194" i="1"/>
  <c r="AK194" i="1"/>
  <c r="AE194" i="1"/>
  <c r="Q194" i="1"/>
  <c r="AO193" i="1"/>
  <c r="AM193" i="1"/>
  <c r="AK193" i="1"/>
  <c r="AE193" i="1"/>
  <c r="Q193" i="1"/>
  <c r="AO192" i="1"/>
  <c r="AM192" i="1"/>
  <c r="AK192" i="1"/>
  <c r="AE192" i="1"/>
  <c r="Q192" i="1"/>
  <c r="AM191" i="1"/>
  <c r="AK191" i="1"/>
  <c r="S191" i="1"/>
  <c r="AO191" i="1" s="1"/>
  <c r="AM190" i="1"/>
  <c r="AK190" i="1"/>
  <c r="S190" i="1"/>
  <c r="AO190" i="1" s="1"/>
  <c r="AM189" i="1"/>
  <c r="AK189" i="1"/>
  <c r="S189" i="1"/>
  <c r="AO189" i="1" s="1"/>
  <c r="A189" i="1"/>
  <c r="A190" i="1" s="1"/>
  <c r="AM188" i="1"/>
  <c r="AK188" i="1"/>
  <c r="S188" i="1"/>
  <c r="AO188" i="1" s="1"/>
  <c r="B188" i="1"/>
  <c r="S172" i="1"/>
  <c r="S171" i="1"/>
  <c r="S170" i="1"/>
  <c r="AN169" i="1"/>
  <c r="AN168" i="1"/>
  <c r="AN167" i="1"/>
  <c r="AN166" i="1"/>
  <c r="AN165" i="1"/>
  <c r="AN164" i="1"/>
  <c r="AN156" i="1"/>
  <c r="AN155" i="1"/>
  <c r="AN154" i="1"/>
  <c r="AN153" i="1"/>
  <c r="AN152" i="1"/>
  <c r="AN151" i="1"/>
  <c r="AN150" i="1"/>
  <c r="AN149" i="1"/>
  <c r="S147" i="1"/>
  <c r="AN144" i="1"/>
  <c r="AN143" i="1"/>
  <c r="AN142" i="1"/>
  <c r="AN141" i="1"/>
  <c r="AN140" i="1"/>
  <c r="AN139" i="1"/>
  <c r="AN138" i="1"/>
  <c r="AN135" i="1"/>
  <c r="AN134" i="1"/>
  <c r="AN133" i="1"/>
  <c r="AN132" i="1"/>
  <c r="AN131" i="1"/>
  <c r="AN128" i="1"/>
  <c r="AN125" i="1"/>
  <c r="AN124" i="1"/>
  <c r="AN123" i="1"/>
  <c r="AN122" i="1"/>
  <c r="Z121" i="1"/>
  <c r="AN118" i="1"/>
  <c r="Z117" i="1"/>
  <c r="AN116" i="1"/>
  <c r="Z116" i="1"/>
  <c r="S115" i="1"/>
  <c r="S114" i="1"/>
  <c r="AN112" i="1"/>
  <c r="AN111" i="1"/>
  <c r="Z111" i="1"/>
  <c r="S110" i="1"/>
  <c r="Z110" i="1" s="1"/>
  <c r="Z109" i="1"/>
  <c r="Z108" i="1"/>
  <c r="S107" i="1"/>
  <c r="Z107" i="1" s="1"/>
  <c r="Z106" i="1"/>
  <c r="Z105" i="1"/>
  <c r="A105" i="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S104" i="1"/>
  <c r="Z104" i="1" s="1"/>
  <c r="S103" i="1"/>
  <c r="Z103" i="1" s="1"/>
  <c r="S102" i="1"/>
  <c r="Z102" i="1" s="1"/>
  <c r="S101" i="1"/>
  <c r="Z101" i="1" s="1"/>
  <c r="S100" i="1"/>
  <c r="Z100" i="1" s="1"/>
  <c r="S99" i="1"/>
  <c r="Z99" i="1" s="1"/>
  <c r="S98" i="1"/>
  <c r="Q98" i="1" s="1"/>
  <c r="S97" i="1"/>
  <c r="Z97" i="1" s="1"/>
  <c r="S96" i="1"/>
  <c r="Z96" i="1" s="1"/>
  <c r="S95" i="1"/>
  <c r="Z95" i="1" s="1"/>
  <c r="AN94" i="1"/>
  <c r="S94" i="1"/>
  <c r="Z94" i="1" s="1"/>
  <c r="S93" i="1"/>
  <c r="Z93" i="1" s="1"/>
  <c r="S92" i="1"/>
  <c r="Z92" i="1" s="1"/>
  <c r="S91" i="1"/>
  <c r="Z91" i="1" s="1"/>
  <c r="S90" i="1"/>
  <c r="Z90" i="1" s="1"/>
  <c r="S89" i="1"/>
  <c r="Z89" i="1" s="1"/>
  <c r="S88" i="1"/>
  <c r="Z88" i="1" s="1"/>
  <c r="S87" i="1"/>
  <c r="Z87" i="1" s="1"/>
  <c r="S86" i="1"/>
  <c r="Z86" i="1" s="1"/>
  <c r="S85" i="1"/>
  <c r="Z85" i="1" s="1"/>
  <c r="S84" i="1"/>
  <c r="Z84" i="1" s="1"/>
  <c r="S83" i="1"/>
  <c r="Z83" i="1" s="1"/>
  <c r="S82" i="1"/>
  <c r="Z82" i="1" s="1"/>
  <c r="S81" i="1"/>
  <c r="Z81" i="1" s="1"/>
  <c r="S80" i="1"/>
  <c r="Z80" i="1" s="1"/>
  <c r="S79" i="1"/>
  <c r="Z79" i="1" s="1"/>
  <c r="S78" i="1"/>
  <c r="Z78" i="1" s="1"/>
  <c r="S77" i="1"/>
  <c r="Z77" i="1" s="1"/>
  <c r="S76" i="1"/>
  <c r="Z76" i="1" s="1"/>
  <c r="S75" i="1"/>
  <c r="Z75" i="1" s="1"/>
  <c r="S74" i="1"/>
  <c r="Z74" i="1" s="1"/>
  <c r="S73" i="1"/>
  <c r="Z73" i="1" s="1"/>
  <c r="S72" i="1"/>
  <c r="Z72" i="1" s="1"/>
  <c r="S71" i="1"/>
  <c r="Z71" i="1" s="1"/>
  <c r="S70" i="1"/>
  <c r="Z70" i="1" s="1"/>
  <c r="S69" i="1"/>
  <c r="Z69" i="1" s="1"/>
  <c r="S68" i="1"/>
  <c r="Z68" i="1" s="1"/>
  <c r="S67" i="1"/>
  <c r="Z67" i="1" s="1"/>
  <c r="S66" i="1"/>
  <c r="Z66" i="1" s="1"/>
  <c r="S65" i="1"/>
  <c r="Z65" i="1" s="1"/>
  <c r="S64" i="1"/>
  <c r="Z64" i="1" s="1"/>
  <c r="S63" i="1"/>
  <c r="Z63" i="1" s="1"/>
  <c r="S62" i="1"/>
  <c r="Z62" i="1" s="1"/>
  <c r="S61" i="1"/>
  <c r="Z61" i="1" s="1"/>
  <c r="S60" i="1"/>
  <c r="Z60" i="1" s="1"/>
  <c r="S59" i="1"/>
  <c r="Z59" i="1" s="1"/>
  <c r="S58" i="1"/>
  <c r="Z58" i="1" s="1"/>
  <c r="S57" i="1"/>
  <c r="Z57" i="1" s="1"/>
  <c r="S56" i="1"/>
  <c r="Z56" i="1" s="1"/>
  <c r="S55" i="1"/>
  <c r="Z55" i="1" s="1"/>
  <c r="S54" i="1"/>
  <c r="Z54" i="1" s="1"/>
  <c r="S53" i="1"/>
  <c r="Z53" i="1" s="1"/>
  <c r="S52" i="1"/>
  <c r="Z52" i="1" s="1"/>
  <c r="S51" i="1"/>
  <c r="Z51" i="1" s="1"/>
  <c r="S50" i="1"/>
  <c r="Z50" i="1" s="1"/>
  <c r="S49" i="1"/>
  <c r="Z49" i="1" s="1"/>
  <c r="S48" i="1"/>
  <c r="Z48" i="1" s="1"/>
  <c r="S47" i="1"/>
  <c r="Z47" i="1" s="1"/>
  <c r="S46" i="1"/>
  <c r="Z46" i="1" s="1"/>
  <c r="S45" i="1"/>
  <c r="Z45" i="1" s="1"/>
  <c r="S44" i="1"/>
  <c r="Z44" i="1" s="1"/>
  <c r="S43" i="1"/>
  <c r="Z43" i="1" s="1"/>
  <c r="S42" i="1"/>
  <c r="Z42" i="1" s="1"/>
  <c r="S41" i="1"/>
  <c r="Z41" i="1" s="1"/>
  <c r="S40" i="1"/>
  <c r="Z40" i="1" s="1"/>
  <c r="S39" i="1"/>
  <c r="Z39" i="1" s="1"/>
  <c r="S38" i="1"/>
  <c r="Z38" i="1" s="1"/>
  <c r="S37" i="1"/>
  <c r="Z37" i="1" s="1"/>
  <c r="S36" i="1"/>
  <c r="Z36" i="1" s="1"/>
  <c r="S35" i="1"/>
  <c r="Z35" i="1" s="1"/>
  <c r="S34" i="1"/>
  <c r="Z34" i="1" s="1"/>
  <c r="S33" i="1"/>
  <c r="Z33" i="1" s="1"/>
  <c r="S32" i="1"/>
  <c r="Z32" i="1" s="1"/>
  <c r="S31" i="1"/>
  <c r="Z31" i="1" s="1"/>
  <c r="S30" i="1"/>
  <c r="Z30" i="1" s="1"/>
  <c r="S29" i="1"/>
  <c r="Z29" i="1" s="1"/>
  <c r="S28" i="1"/>
  <c r="Z28" i="1" s="1"/>
  <c r="S27" i="1"/>
  <c r="Z27" i="1" s="1"/>
  <c r="S26" i="1"/>
  <c r="Z26" i="1" s="1"/>
  <c r="S25" i="1"/>
  <c r="Z25" i="1" s="1"/>
  <c r="S24" i="1"/>
  <c r="Z24" i="1" s="1"/>
  <c r="S23" i="1"/>
  <c r="Z23" i="1" s="1"/>
  <c r="S22" i="1"/>
  <c r="Z22" i="1" s="1"/>
  <c r="S21" i="1"/>
  <c r="Z21" i="1" s="1"/>
  <c r="S20" i="1"/>
  <c r="Z20" i="1" s="1"/>
  <c r="S19" i="1"/>
  <c r="Z19" i="1" s="1"/>
  <c r="S18" i="1"/>
  <c r="Z18" i="1" s="1"/>
  <c r="S17" i="1"/>
  <c r="Z17" i="1" s="1"/>
  <c r="S16" i="1"/>
  <c r="Z16" i="1" s="1"/>
  <c r="S15" i="1"/>
  <c r="Z15" i="1" s="1"/>
  <c r="S14" i="1"/>
  <c r="Z14" i="1" s="1"/>
  <c r="S13" i="1"/>
  <c r="Z13" i="1" s="1"/>
  <c r="S12" i="1"/>
  <c r="Z12" i="1" s="1"/>
  <c r="S11" i="1"/>
  <c r="Z11" i="1" s="1"/>
  <c r="S10" i="1"/>
  <c r="Z10" i="1" s="1"/>
  <c r="S9" i="1"/>
  <c r="Z9" i="1" s="1"/>
  <c r="S8" i="1"/>
  <c r="Z8" i="1" s="1"/>
  <c r="S7" i="1"/>
  <c r="Z7" i="1" s="1"/>
  <c r="S6" i="1"/>
  <c r="Z6" i="1" s="1"/>
  <c r="AP5" i="1"/>
  <c r="S5" i="1"/>
  <c r="Z5" i="1" s="1"/>
  <c r="Q190" i="1" l="1"/>
  <c r="AN1063" i="1"/>
  <c r="AN1088" i="1"/>
  <c r="AN1081" i="1"/>
  <c r="AN1093" i="1"/>
  <c r="Q189" i="1"/>
  <c r="Q191" i="1"/>
  <c r="AO514" i="1"/>
  <c r="AO526" i="1"/>
  <c r="AO853" i="1"/>
  <c r="AO880" i="1"/>
  <c r="AN1078" i="1"/>
  <c r="AN1094" i="1"/>
  <c r="AE981" i="1"/>
  <c r="Q97" i="1"/>
  <c r="AO275" i="1"/>
  <c r="AE1019" i="1"/>
  <c r="AN1060" i="1"/>
  <c r="AN1085" i="1"/>
  <c r="AO836" i="1"/>
  <c r="Q289" i="1"/>
  <c r="AE839" i="1"/>
  <c r="Q408" i="1"/>
  <c r="AE772" i="1"/>
  <c r="AN1092" i="1"/>
  <c r="AN1096" i="1"/>
  <c r="AE766" i="1"/>
  <c r="AE867" i="1"/>
  <c r="AO775" i="1"/>
  <c r="AE854" i="1"/>
  <c r="AE937" i="1"/>
  <c r="AO513" i="1"/>
  <c r="AE382" i="1"/>
  <c r="AE529" i="1"/>
  <c r="AE847" i="1"/>
  <c r="AE985" i="1"/>
  <c r="AE889" i="1"/>
  <c r="AE999" i="1"/>
  <c r="Q103" i="1"/>
  <c r="AE191" i="1"/>
  <c r="Q218" i="1"/>
  <c r="AO778" i="1"/>
  <c r="AN1073" i="1"/>
  <c r="Q222" i="1"/>
  <c r="AK275" i="1"/>
  <c r="AP354" i="1"/>
  <c r="AE409" i="1"/>
  <c r="AE503" i="1"/>
  <c r="AE532" i="1"/>
  <c r="AE851" i="1"/>
  <c r="AN1061" i="1"/>
  <c r="AE190" i="1"/>
  <c r="AK216" i="1"/>
  <c r="AE756" i="1"/>
  <c r="AE769" i="1"/>
  <c r="AO774" i="1"/>
  <c r="AE824" i="1"/>
  <c r="AO840" i="1"/>
  <c r="AE842" i="1"/>
  <c r="AO849" i="1"/>
  <c r="AO856" i="1"/>
  <c r="AO869" i="1"/>
  <c r="AE898" i="1"/>
  <c r="AO905" i="1"/>
  <c r="AE980" i="1"/>
  <c r="AE993" i="1"/>
  <c r="AO1000" i="1"/>
  <c r="AN1062" i="1"/>
  <c r="AO218" i="1"/>
  <c r="AO285" i="1"/>
  <c r="AN1079" i="1"/>
  <c r="AE755" i="1"/>
  <c r="AE841" i="1"/>
  <c r="AE979" i="1"/>
  <c r="AE992" i="1"/>
  <c r="AE1001" i="1"/>
  <c r="AO399" i="1"/>
  <c r="Q402" i="1"/>
  <c r="AE1011" i="1"/>
  <c r="Q101" i="1"/>
  <c r="AO289" i="1"/>
  <c r="AP359" i="1"/>
  <c r="AE367" i="1"/>
  <c r="AO824" i="1"/>
  <c r="AE940" i="1"/>
  <c r="AN1056" i="1"/>
  <c r="AN1104" i="1"/>
  <c r="Q102" i="1"/>
  <c r="B189" i="1"/>
  <c r="Q275" i="1"/>
  <c r="Q286" i="1"/>
  <c r="Q350" i="1"/>
  <c r="AE425" i="1"/>
  <c r="AE748" i="1"/>
  <c r="AE753" i="1"/>
  <c r="AE758" i="1"/>
  <c r="AE771" i="1"/>
  <c r="AE779" i="1"/>
  <c r="AE860" i="1"/>
  <c r="AE902" i="1"/>
  <c r="AO958" i="1"/>
  <c r="AE962" i="1"/>
  <c r="AE987" i="1"/>
  <c r="AO1033" i="1"/>
  <c r="AN1082" i="1"/>
  <c r="AN1087" i="1"/>
  <c r="AE835" i="1"/>
  <c r="AE838" i="1"/>
  <c r="AO884" i="1"/>
  <c r="AE888" i="1"/>
  <c r="AO917" i="1"/>
  <c r="AO957" i="1"/>
  <c r="AE966" i="1"/>
  <c r="AO973" i="1"/>
  <c r="AE989" i="1"/>
  <c r="AE998" i="1"/>
  <c r="AE1003" i="1"/>
  <c r="AE1029" i="1"/>
  <c r="AO1032" i="1"/>
  <c r="AO418" i="1"/>
  <c r="AE502" i="1"/>
  <c r="Q188" i="1"/>
  <c r="AO251" i="1"/>
  <c r="Q285" i="1"/>
  <c r="AE408" i="1"/>
  <c r="AE427" i="1"/>
  <c r="AO503" i="1"/>
  <c r="AO525" i="1"/>
  <c r="AE571" i="1"/>
  <c r="AE584" i="1"/>
  <c r="AE635" i="1"/>
  <c r="AE845" i="1"/>
  <c r="AE870" i="1"/>
  <c r="AO877" i="1"/>
  <c r="AE881" i="1"/>
  <c r="AO897" i="1"/>
  <c r="AO936" i="1"/>
  <c r="AE977" i="1"/>
  <c r="AE1005" i="1"/>
  <c r="AO1016" i="1"/>
  <c r="AE1031" i="1"/>
  <c r="AN1054" i="1"/>
  <c r="AN1064" i="1"/>
  <c r="AN1068" i="1"/>
  <c r="AN1072" i="1"/>
  <c r="AN1076" i="1"/>
  <c r="AN1084" i="1"/>
  <c r="AN1091" i="1"/>
  <c r="AO350" i="1"/>
  <c r="AO598" i="1"/>
  <c r="AO921" i="1"/>
  <c r="AO217" i="1"/>
  <c r="AO371" i="1"/>
  <c r="AO422" i="1"/>
  <c r="AE260" i="1"/>
  <c r="Q409" i="1"/>
  <c r="AO415" i="1"/>
  <c r="AE419" i="1"/>
  <c r="AE464" i="1"/>
  <c r="AE501" i="1"/>
  <c r="AE837" i="1"/>
  <c r="AO859" i="1"/>
  <c r="AO901" i="1"/>
  <c r="AO910" i="1"/>
  <c r="AE918" i="1"/>
  <c r="AO961" i="1"/>
  <c r="AE974" i="1"/>
  <c r="AE988" i="1"/>
  <c r="AE995" i="1"/>
  <c r="AO1036" i="1"/>
  <c r="AN1089" i="1"/>
  <c r="AO309" i="1"/>
  <c r="AO506" i="1"/>
  <c r="AO762" i="1"/>
  <c r="AO1025" i="1"/>
  <c r="AE222" i="1"/>
  <c r="Q249" i="1"/>
  <c r="AE250" i="1"/>
  <c r="Q261" i="1"/>
  <c r="AO268" i="1"/>
  <c r="AO284" i="1"/>
  <c r="Q288" i="1"/>
  <c r="Q308" i="1"/>
  <c r="Q309" i="1"/>
  <c r="Q349" i="1"/>
  <c r="Q361" i="1"/>
  <c r="Q380" i="1"/>
  <c r="AO392" i="1"/>
  <c r="Q405" i="1"/>
  <c r="Q407" i="1"/>
  <c r="AE507" i="1"/>
  <c r="AO522" i="1"/>
  <c r="AE588" i="1"/>
  <c r="AE752" i="1"/>
  <c r="AE768" i="1"/>
  <c r="AO852" i="1"/>
  <c r="AE857" i="1"/>
  <c r="AO863" i="1"/>
  <c r="AO872" i="1"/>
  <c r="AO890" i="1"/>
  <c r="AE892" i="1"/>
  <c r="AE922" i="1"/>
  <c r="AE976" i="1"/>
  <c r="AE984" i="1"/>
  <c r="AE1008" i="1"/>
  <c r="AE1015" i="1"/>
  <c r="AN1055" i="1"/>
  <c r="AN1067" i="1"/>
  <c r="AN1095" i="1"/>
  <c r="Q96" i="1"/>
  <c r="Q248" i="1"/>
  <c r="AE249" i="1"/>
  <c r="Q260" i="1"/>
  <c r="AE261" i="1"/>
  <c r="AK277" i="1"/>
  <c r="Q282" i="1"/>
  <c r="AO286" i="1"/>
  <c r="AE308" i="1"/>
  <c r="AE372" i="1"/>
  <c r="AE380" i="1"/>
  <c r="AE405" i="1"/>
  <c r="AE512" i="1"/>
  <c r="AE528" i="1"/>
  <c r="AE531" i="1"/>
  <c r="AE746" i="1"/>
  <c r="AO765" i="1"/>
  <c r="AE773" i="1"/>
  <c r="AO866" i="1"/>
  <c r="AE868" i="1"/>
  <c r="AE894" i="1"/>
  <c r="AE914" i="1"/>
  <c r="AE970" i="1"/>
  <c r="AE978" i="1"/>
  <c r="AE986" i="1"/>
  <c r="AE991" i="1"/>
  <c r="AE996" i="1"/>
  <c r="AE1007" i="1"/>
  <c r="AE1020" i="1"/>
  <c r="AN1074" i="1"/>
  <c r="AE188" i="1"/>
  <c r="AE189" i="1"/>
  <c r="AO219" i="1"/>
  <c r="AO250" i="1"/>
  <c r="AK274" i="1"/>
  <c r="AE277" i="1"/>
  <c r="AO283" i="1"/>
  <c r="Q287" i="1"/>
  <c r="Q307" i="1"/>
  <c r="AO393" i="1"/>
  <c r="AE509" i="1"/>
  <c r="AE844" i="1"/>
  <c r="AO848" i="1"/>
  <c r="AE873" i="1"/>
  <c r="AO876" i="1"/>
  <c r="AE891" i="1"/>
  <c r="AO940" i="1"/>
  <c r="AE983" i="1"/>
  <c r="AE1004" i="1"/>
  <c r="AE1012" i="1"/>
  <c r="AN1075" i="1"/>
  <c r="Q223" i="1"/>
  <c r="AE248" i="1"/>
  <c r="Q251" i="1"/>
  <c r="Q268" i="1"/>
  <c r="AE276" i="1"/>
  <c r="AO277" i="1"/>
  <c r="Q284" i="1"/>
  <c r="AO288" i="1"/>
  <c r="Q316" i="1"/>
  <c r="Q362" i="1"/>
  <c r="AO375" i="1"/>
  <c r="Q379" i="1"/>
  <c r="AO386" i="1"/>
  <c r="Q397" i="1"/>
  <c r="Q404" i="1"/>
  <c r="AE530" i="1"/>
  <c r="AO754" i="1"/>
  <c r="AO757" i="1"/>
  <c r="AO770" i="1"/>
  <c r="AE850" i="1"/>
  <c r="AE864" i="1"/>
  <c r="AO865" i="1"/>
  <c r="AE885" i="1"/>
  <c r="AE906" i="1"/>
  <c r="AO909" i="1"/>
  <c r="AO965" i="1"/>
  <c r="AN1065" i="1"/>
  <c r="AN1086" i="1"/>
  <c r="AN1090" i="1"/>
  <c r="AN1137" i="1"/>
  <c r="AO282" i="1"/>
  <c r="AE379" i="1"/>
  <c r="AE381" i="1"/>
  <c r="AE404" i="1"/>
  <c r="AE508" i="1"/>
  <c r="AE843" i="1"/>
  <c r="AE855" i="1"/>
  <c r="AE858" i="1"/>
  <c r="AE982" i="1"/>
  <c r="AN1066" i="1"/>
  <c r="AN1069" i="1"/>
  <c r="Q219" i="1"/>
  <c r="Q283" i="1"/>
  <c r="AO287" i="1"/>
  <c r="B309" i="1"/>
  <c r="AO387" i="1"/>
  <c r="AO406" i="1"/>
  <c r="AO584" i="1"/>
  <c r="AO616" i="1"/>
  <c r="AO761" i="1"/>
  <c r="AE846" i="1"/>
  <c r="AO870" i="1"/>
  <c r="AE887" i="1"/>
  <c r="AO893" i="1"/>
  <c r="AO913" i="1"/>
  <c r="AO969" i="1"/>
  <c r="AE997" i="1"/>
  <c r="AO1024" i="1"/>
  <c r="AN1077" i="1"/>
  <c r="AN1080" i="1"/>
  <c r="AN1099" i="1"/>
  <c r="AE416" i="1"/>
  <c r="AE420" i="1"/>
  <c r="AE472" i="1"/>
  <c r="AE523" i="1"/>
  <c r="AE534" i="1"/>
  <c r="AE759" i="1"/>
  <c r="AE763" i="1"/>
  <c r="AE861" i="1"/>
  <c r="AE874" i="1"/>
  <c r="AE878" i="1"/>
  <c r="AE882" i="1"/>
  <c r="AE895" i="1"/>
  <c r="AE899" i="1"/>
  <c r="AE907" i="1"/>
  <c r="AE911" i="1"/>
  <c r="AE915" i="1"/>
  <c r="AE919" i="1"/>
  <c r="AE923" i="1"/>
  <c r="AE938" i="1"/>
  <c r="AE955" i="1"/>
  <c r="AE959" i="1"/>
  <c r="AE963" i="1"/>
  <c r="AE967" i="1"/>
  <c r="AE971" i="1"/>
  <c r="AE1026" i="1"/>
  <c r="AE1030" i="1"/>
  <c r="AE1034" i="1"/>
  <c r="AO417" i="1"/>
  <c r="AO421" i="1"/>
  <c r="AO425" i="1"/>
  <c r="AE466" i="1"/>
  <c r="AE483" i="1"/>
  <c r="AO524" i="1"/>
  <c r="AO588" i="1"/>
  <c r="AE747" i="1"/>
  <c r="AO760" i="1"/>
  <c r="AO764" i="1"/>
  <c r="AO779" i="1"/>
  <c r="AE825" i="1"/>
  <c r="AO862" i="1"/>
  <c r="AO871" i="1"/>
  <c r="AO875" i="1"/>
  <c r="AO879" i="1"/>
  <c r="AO883" i="1"/>
  <c r="AE886" i="1"/>
  <c r="AO896" i="1"/>
  <c r="AO900" i="1"/>
  <c r="AO904" i="1"/>
  <c r="AO908" i="1"/>
  <c r="AO912" i="1"/>
  <c r="AO916" i="1"/>
  <c r="AO920" i="1"/>
  <c r="AO924" i="1"/>
  <c r="AO935" i="1"/>
  <c r="AO956" i="1"/>
  <c r="AO960" i="1"/>
  <c r="AO964" i="1"/>
  <c r="AO968" i="1"/>
  <c r="AO972" i="1"/>
  <c r="AE990" i="1"/>
  <c r="AE994" i="1"/>
  <c r="AE1002" i="1"/>
  <c r="AE1006" i="1"/>
  <c r="AE1010" i="1"/>
  <c r="AE1014" i="1"/>
  <c r="AE1018" i="1"/>
  <c r="AO1023" i="1"/>
  <c r="AO1027" i="1"/>
  <c r="AO1035" i="1"/>
  <c r="AE1009" i="1"/>
  <c r="AE1013" i="1"/>
  <c r="AE1017" i="1"/>
  <c r="AE1021" i="1"/>
  <c r="AE377" i="1"/>
  <c r="AE383" i="1"/>
  <c r="Q385" i="1"/>
  <c r="Q396" i="1"/>
  <c r="AE397" i="1"/>
  <c r="AE402" i="1"/>
  <c r="AE374" i="1"/>
  <c r="AE385" i="1"/>
  <c r="AE390" i="1"/>
  <c r="AE391" i="1"/>
  <c r="AE396" i="1"/>
  <c r="AE378" i="1"/>
  <c r="Q406" i="1"/>
  <c r="AE407" i="1"/>
  <c r="AE360" i="1"/>
  <c r="A191" i="1"/>
  <c r="B190" i="1"/>
  <c r="B310" i="1"/>
  <c r="A311" i="1"/>
  <c r="AE216" i="1"/>
  <c r="AE274" i="1"/>
  <c r="AO276" i="1"/>
  <c r="AO302" i="1"/>
  <c r="AO303" i="1"/>
  <c r="AO304" i="1"/>
  <c r="AO305" i="1"/>
  <c r="AE217" i="1"/>
  <c r="AE275" i="1"/>
  <c r="AO294" i="1"/>
  <c r="AO295" i="1"/>
  <c r="AO296" i="1"/>
  <c r="AO297" i="1"/>
  <c r="AO298" i="1"/>
  <c r="AO299" i="1"/>
  <c r="Q302" i="1"/>
  <c r="Q303" i="1"/>
  <c r="Q304" i="1"/>
  <c r="Q305" i="1"/>
  <c r="AE316" i="1"/>
  <c r="AO216" i="1"/>
  <c r="AO274" i="1"/>
  <c r="AE349" i="1"/>
  <c r="Q294" i="1"/>
  <c r="Q295" i="1"/>
  <c r="Q296" i="1"/>
  <c r="Q297" i="1"/>
  <c r="Q298" i="1"/>
  <c r="Q299" i="1"/>
  <c r="Z98" i="1"/>
  <c r="Q99" i="1"/>
  <c r="Q100" i="1"/>
  <c r="B311" i="1" l="1"/>
  <c r="A312" i="1"/>
  <c r="B191" i="1"/>
  <c r="A192" i="1"/>
  <c r="A193" i="1" l="1"/>
  <c r="B192" i="1"/>
  <c r="B312" i="1"/>
  <c r="A313" i="1"/>
  <c r="B193" i="1" l="1"/>
  <c r="A194" i="1"/>
  <c r="A314" i="1"/>
  <c r="B313" i="1"/>
  <c r="B194" i="1" l="1"/>
  <c r="A195" i="1"/>
  <c r="B314" i="1"/>
  <c r="A315" i="1"/>
  <c r="A316" i="1" l="1"/>
  <c r="B315" i="1"/>
  <c r="A196" i="1"/>
  <c r="B195" i="1"/>
  <c r="A317" i="1" l="1"/>
  <c r="B316" i="1"/>
  <c r="A197" i="1"/>
  <c r="B196" i="1"/>
  <c r="A318" i="1" l="1"/>
  <c r="B317" i="1"/>
  <c r="A198" i="1"/>
  <c r="B197" i="1"/>
  <c r="B318" i="1" l="1"/>
  <c r="A319" i="1"/>
  <c r="B198" i="1"/>
  <c r="A199" i="1"/>
  <c r="B199" i="1" l="1"/>
  <c r="A200" i="1"/>
  <c r="B319" i="1"/>
  <c r="A320" i="1"/>
  <c r="B200" i="1" l="1"/>
  <c r="A201" i="1"/>
  <c r="B320" i="1"/>
  <c r="A321" i="1"/>
  <c r="A202" i="1" l="1"/>
  <c r="B201" i="1"/>
  <c r="B321" i="1"/>
  <c r="A322" i="1"/>
  <c r="B202" i="1" l="1"/>
  <c r="A203" i="1"/>
  <c r="A323" i="1"/>
  <c r="B322" i="1"/>
  <c r="B323" i="1" l="1"/>
  <c r="A324" i="1"/>
  <c r="A204" i="1"/>
  <c r="B203" i="1"/>
  <c r="A205" i="1" l="1"/>
  <c r="B204" i="1"/>
  <c r="A325" i="1"/>
  <c r="B324" i="1"/>
  <c r="B205" i="1" l="1"/>
  <c r="A206" i="1"/>
  <c r="A326" i="1"/>
  <c r="B325" i="1"/>
  <c r="B206" i="1" l="1"/>
  <c r="A207" i="1"/>
  <c r="B326" i="1"/>
  <c r="A327" i="1"/>
  <c r="B327" i="1" l="1"/>
  <c r="A328" i="1"/>
  <c r="B207" i="1"/>
  <c r="A208" i="1"/>
  <c r="B208" i="1" l="1"/>
  <c r="A209" i="1"/>
  <c r="B328" i="1"/>
  <c r="A329" i="1"/>
  <c r="B329" i="1" l="1"/>
  <c r="A330" i="1"/>
  <c r="B209" i="1"/>
  <c r="A210" i="1"/>
  <c r="B210" i="1" l="1"/>
  <c r="A211" i="1"/>
  <c r="B330" i="1"/>
  <c r="A331" i="1"/>
  <c r="B331" i="1" l="1"/>
  <c r="A332" i="1"/>
  <c r="A212" i="1"/>
  <c r="B211" i="1"/>
  <c r="A213" i="1" l="1"/>
  <c r="B212" i="1"/>
  <c r="A333" i="1"/>
  <c r="B332" i="1"/>
  <c r="A334" i="1" l="1"/>
  <c r="B333" i="1"/>
  <c r="B213" i="1"/>
  <c r="A214" i="1"/>
  <c r="B214" i="1" l="1"/>
  <c r="A215" i="1"/>
  <c r="B334" i="1"/>
  <c r="A335" i="1"/>
  <c r="B335" i="1" l="1"/>
  <c r="A336" i="1"/>
  <c r="B215" i="1"/>
  <c r="A216" i="1"/>
  <c r="A217" i="1" l="1"/>
  <c r="B216" i="1"/>
  <c r="B336" i="1"/>
  <c r="A337" i="1"/>
  <c r="B337" i="1" l="1"/>
  <c r="A338" i="1"/>
  <c r="A218" i="1"/>
  <c r="B217" i="1"/>
  <c r="A219" i="1" l="1"/>
  <c r="B218" i="1"/>
  <c r="B338" i="1"/>
  <c r="A339" i="1"/>
  <c r="B339" i="1" l="1"/>
  <c r="A340" i="1"/>
  <c r="A220" i="1"/>
  <c r="B219" i="1"/>
  <c r="A221" i="1" l="1"/>
  <c r="B220" i="1"/>
  <c r="A341" i="1"/>
  <c r="B340" i="1"/>
  <c r="A342" i="1" l="1"/>
  <c r="B341" i="1"/>
  <c r="B221" i="1"/>
  <c r="A222" i="1"/>
  <c r="B222" i="1" l="1"/>
  <c r="A223" i="1"/>
  <c r="B342" i="1"/>
  <c r="A343" i="1"/>
  <c r="B343" i="1" l="1"/>
  <c r="A344" i="1"/>
  <c r="B223" i="1"/>
  <c r="A224" i="1"/>
  <c r="B344" i="1" l="1"/>
  <c r="A345" i="1"/>
  <c r="B224" i="1"/>
  <c r="A225" i="1"/>
  <c r="B225" i="1" l="1"/>
  <c r="A226" i="1"/>
  <c r="B345" i="1"/>
  <c r="A346" i="1"/>
  <c r="A347" i="1" l="1"/>
  <c r="B346" i="1"/>
  <c r="B226" i="1"/>
  <c r="A227" i="1"/>
  <c r="B227" i="1" l="1"/>
  <c r="A228" i="1"/>
  <c r="B347" i="1"/>
  <c r="A348" i="1"/>
  <c r="A349" i="1" l="1"/>
  <c r="B348" i="1"/>
  <c r="B228" i="1"/>
  <c r="A229" i="1"/>
  <c r="A230" i="1" l="1"/>
  <c r="B229" i="1"/>
  <c r="A350" i="1"/>
  <c r="B350" i="1" s="1"/>
  <c r="B349" i="1"/>
  <c r="A231" i="1" l="1"/>
  <c r="B230" i="1"/>
  <c r="B231" i="1" l="1"/>
  <c r="A232" i="1"/>
  <c r="B232" i="1" l="1"/>
  <c r="A233" i="1"/>
  <c r="B233" i="1" l="1"/>
  <c r="A234" i="1"/>
  <c r="B234" i="1" l="1"/>
  <c r="A235" i="1"/>
  <c r="A236" i="1" l="1"/>
  <c r="B235" i="1"/>
  <c r="B236" i="1" l="1"/>
  <c r="A237" i="1"/>
  <c r="A238" i="1" l="1"/>
  <c r="B237" i="1"/>
  <c r="A239" i="1" l="1"/>
  <c r="B238" i="1"/>
  <c r="B239" i="1" l="1"/>
  <c r="A240" i="1"/>
  <c r="B240" i="1" l="1"/>
  <c r="A241" i="1"/>
  <c r="B241" i="1" l="1"/>
  <c r="A242" i="1"/>
  <c r="B242" i="1" l="1"/>
  <c r="A243" i="1"/>
  <c r="B243" i="1" l="1"/>
  <c r="A244" i="1"/>
  <c r="B244" i="1" l="1"/>
  <c r="A245" i="1"/>
  <c r="A246" i="1" l="1"/>
  <c r="B245" i="1"/>
  <c r="A247" i="1" l="1"/>
  <c r="B246" i="1"/>
  <c r="B247" i="1" l="1"/>
  <c r="A248" i="1"/>
  <c r="B248" i="1" l="1"/>
  <c r="A249" i="1"/>
  <c r="B249" i="1" l="1"/>
  <c r="A250" i="1"/>
  <c r="B250" i="1" l="1"/>
  <c r="A251" i="1"/>
  <c r="B251" i="1" l="1"/>
  <c r="A252" i="1"/>
  <c r="B252" i="1" l="1"/>
  <c r="A253" i="1"/>
  <c r="B253" i="1" l="1"/>
  <c r="A254" i="1"/>
  <c r="B254" i="1" l="1"/>
  <c r="A255" i="1"/>
  <c r="B255" i="1" l="1"/>
  <c r="A256" i="1"/>
  <c r="B256" i="1" l="1"/>
  <c r="A257" i="1"/>
  <c r="A258" i="1" l="1"/>
  <c r="B257" i="1"/>
  <c r="A259" i="1" l="1"/>
  <c r="B258" i="1"/>
  <c r="B259" i="1" l="1"/>
  <c r="A260" i="1"/>
  <c r="B260" i="1" l="1"/>
  <c r="A261" i="1"/>
  <c r="B261" i="1" l="1"/>
  <c r="A262" i="1"/>
  <c r="B262" i="1" l="1"/>
  <c r="A263" i="1"/>
  <c r="B263" i="1" l="1"/>
  <c r="A264" i="1"/>
  <c r="B264" i="1" l="1"/>
  <c r="A265" i="1"/>
  <c r="B265" i="1" l="1"/>
  <c r="A266" i="1"/>
  <c r="B266" i="1" l="1"/>
  <c r="A267" i="1"/>
  <c r="A268" i="1" l="1"/>
  <c r="B267" i="1"/>
  <c r="A269" i="1" l="1"/>
  <c r="B268" i="1"/>
  <c r="A270" i="1" l="1"/>
  <c r="B269" i="1"/>
  <c r="A271" i="1" l="1"/>
  <c r="B270" i="1"/>
  <c r="B271" i="1" l="1"/>
  <c r="A272" i="1"/>
  <c r="B272" i="1" l="1"/>
  <c r="A273" i="1"/>
  <c r="B273" i="1" l="1"/>
  <c r="A274" i="1"/>
  <c r="A275" i="1" l="1"/>
  <c r="B274" i="1"/>
  <c r="A276" i="1" l="1"/>
  <c r="B275" i="1"/>
  <c r="A277" i="1" l="1"/>
  <c r="B276" i="1"/>
  <c r="A278" i="1" l="1"/>
  <c r="B277" i="1"/>
  <c r="B278" i="1" l="1"/>
  <c r="A279" i="1"/>
  <c r="A280" i="1" l="1"/>
  <c r="B279" i="1"/>
  <c r="B280" i="1" l="1"/>
  <c r="A281" i="1"/>
  <c r="A282" i="1" l="1"/>
  <c r="B281" i="1"/>
  <c r="A283" i="1" l="1"/>
  <c r="B282" i="1"/>
  <c r="A284" i="1" l="1"/>
  <c r="B283" i="1"/>
  <c r="A285" i="1" l="1"/>
  <c r="B284" i="1"/>
  <c r="A286" i="1" l="1"/>
  <c r="B285" i="1"/>
  <c r="A287" i="1" l="1"/>
  <c r="B286" i="1"/>
  <c r="A288" i="1" l="1"/>
  <c r="B287" i="1"/>
  <c r="A289" i="1" l="1"/>
  <c r="B288" i="1"/>
  <c r="A290" i="1" l="1"/>
  <c r="B289" i="1"/>
  <c r="A291" i="1" l="1"/>
  <c r="B290" i="1"/>
  <c r="B291" i="1" l="1"/>
  <c r="A292" i="1"/>
  <c r="B292" i="1" l="1"/>
  <c r="A293" i="1"/>
  <c r="B293" i="1" l="1"/>
  <c r="A294" i="1"/>
  <c r="B294" i="1" l="1"/>
  <c r="A295" i="1"/>
  <c r="B295" i="1" l="1"/>
  <c r="A296" i="1"/>
  <c r="B296" i="1" l="1"/>
  <c r="A297" i="1"/>
  <c r="B297" i="1" l="1"/>
  <c r="A298" i="1"/>
  <c r="B298" i="1" l="1"/>
  <c r="A299" i="1"/>
  <c r="B299" i="1" l="1"/>
  <c r="A300" i="1"/>
  <c r="B300" i="1" l="1"/>
  <c r="A301" i="1"/>
  <c r="B301" i="1" l="1"/>
  <c r="A302" i="1"/>
  <c r="B302" i="1" l="1"/>
  <c r="A303" i="1"/>
  <c r="A304" i="1" l="1"/>
  <c r="B303" i="1"/>
  <c r="A305" i="1" l="1"/>
  <c r="B304" i="1"/>
  <c r="A306" i="1" l="1"/>
  <c r="B306" i="1" s="1"/>
  <c r="B30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IATorres</author>
    <author>Sonia Milena Gil Montoya</author>
    <author>janovoa</author>
    <author>RAUL ALEJANDRO MESA VARGAS</author>
    <author>LINA CONSTANZA VARGAS</author>
    <author>DIANA CAROLINA ARTEAGA ARTEAGA</author>
  </authors>
  <commentList>
    <comment ref="A4" authorId="0" shapeId="0" xr:uid="{00000000-0006-0000-0000-000001000000}">
      <text>
        <r>
          <rPr>
            <sz val="10"/>
            <color indexed="81"/>
            <rFont val="Tahoma"/>
            <family val="2"/>
          </rPr>
          <t>Diligenciado por la OAP</t>
        </r>
      </text>
    </comment>
    <comment ref="B4" authorId="0" shapeId="0" xr:uid="{00000000-0006-0000-0000-000002000000}">
      <text>
        <r>
          <rPr>
            <sz val="10"/>
            <color indexed="81"/>
            <rFont val="Tahoma"/>
            <family val="2"/>
          </rPr>
          <t xml:space="preserve"> Se requiere y la arroja SISCO</t>
        </r>
      </text>
    </comment>
    <comment ref="P4" authorId="1" shapeId="0" xr:uid="{00000000-0006-0000-0000-000003000000}">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4" authorId="0" shapeId="0" xr:uid="{00000000-0006-0000-0000-000004000000}">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4" authorId="0" shapeId="0" xr:uid="{00000000-0006-0000-0000-000005000000}">
      <text>
        <r>
          <rPr>
            <sz val="10"/>
            <color indexed="81"/>
            <rFont val="Tahoma"/>
            <family val="2"/>
          </rPr>
          <t>Fecha de emisión del Concepto de Viabilidad</t>
        </r>
      </text>
    </comment>
    <comment ref="AA4" authorId="2" shapeId="0" xr:uid="{00000000-0006-0000-0000-000006000000}">
      <text>
        <r>
          <rPr>
            <sz val="10"/>
            <color indexed="81"/>
            <rFont val="Tahoma"/>
            <family val="2"/>
          </rPr>
          <t xml:space="preserve">Para la lineas nuevas registrar el número de la línea de donde se trasladan los recursos </t>
        </r>
      </text>
    </comment>
    <comment ref="AS4" authorId="3" shapeId="0" xr:uid="{00000000-0006-0000-0000-000007000000}">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U4" authorId="0" shapeId="0" xr:uid="{00000000-0006-0000-0000-000008000000}">
      <text>
        <r>
          <rPr>
            <b/>
            <sz val="10"/>
            <color indexed="81"/>
            <rFont val="Tahoma"/>
            <family val="2"/>
          </rPr>
          <t xml:space="preserve"> Explicación de modificación de la linea.
Esta información viene del formato de modificación que radican las áreas</t>
        </r>
      </text>
    </comment>
    <comment ref="AE430" authorId="4" shapeId="0" xr:uid="{00000000-0006-0000-0000-000009000000}">
      <text>
        <r>
          <rPr>
            <b/>
            <sz val="9"/>
            <color indexed="81"/>
            <rFont val="Tahoma"/>
            <family val="2"/>
          </rPr>
          <t>RAUL ALEJANDRO MESA VARGAS:</t>
        </r>
        <r>
          <rPr>
            <sz val="9"/>
            <color indexed="81"/>
            <rFont val="Tahoma"/>
            <family val="2"/>
          </rPr>
          <t xml:space="preserve">
Se liberan del CDP $39,895,334</t>
        </r>
      </text>
    </comment>
    <comment ref="P444" authorId="5" shapeId="0" xr:uid="{00000000-0006-0000-0000-00000A000000}">
      <text>
        <r>
          <rPr>
            <b/>
            <sz val="9"/>
            <color indexed="81"/>
            <rFont val="Tahoma"/>
            <family val="2"/>
          </rPr>
          <t>LINA CONSTANZA VARGAS:</t>
        </r>
        <r>
          <rPr>
            <sz val="9"/>
            <color indexed="81"/>
            <rFont val="Tahoma"/>
            <family val="2"/>
          </rPr>
          <t xml:space="preserve">
OBJETOS DIFERENTES POR EL REFERENTE INDIGENA
</t>
        </r>
      </text>
    </comment>
    <comment ref="P484" authorId="5" shapeId="0" xr:uid="{00000000-0006-0000-0000-00000B000000}">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539" authorId="5" shapeId="0" xr:uid="{00000000-0006-0000-0000-00000C00000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546" authorId="5" shapeId="0" xr:uid="{00000000-0006-0000-0000-00000D00000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552" authorId="5" shapeId="0" xr:uid="{00000000-0006-0000-0000-00000E00000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553" authorId="5" shapeId="0" xr:uid="{00000000-0006-0000-0000-00000F00000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556" authorId="5" shapeId="0" xr:uid="{00000000-0006-0000-0000-000010000000}">
      <text>
        <r>
          <rPr>
            <b/>
            <sz val="9"/>
            <color indexed="81"/>
            <rFont val="Tahoma"/>
            <family val="2"/>
          </rPr>
          <t>LINA CONSTANZA VARGAS:</t>
        </r>
        <r>
          <rPr>
            <sz val="9"/>
            <color indexed="81"/>
            <rFont val="Tahoma"/>
            <family val="2"/>
          </rPr>
          <t xml:space="preserve">
OBJETOS DIFERENTES POR EL REFERENTE INDIGENA
</t>
        </r>
      </text>
    </comment>
    <comment ref="P559" authorId="5" shapeId="0" xr:uid="{00000000-0006-0000-0000-00001100000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564" authorId="5" shapeId="0" xr:uid="{00000000-0006-0000-0000-000012000000}">
      <text>
        <r>
          <rPr>
            <b/>
            <sz val="9"/>
            <color indexed="81"/>
            <rFont val="Tahoma"/>
            <family val="2"/>
          </rPr>
          <t>LINA CONSTANZA VARGAS:</t>
        </r>
        <r>
          <rPr>
            <sz val="9"/>
            <color indexed="81"/>
            <rFont val="Tahoma"/>
            <family val="2"/>
          </rPr>
          <t xml:space="preserve">
OBJETOS DIFERENTES POR EL REFERENTE INDIGENA
</t>
        </r>
      </text>
    </comment>
    <comment ref="P565" authorId="5" shapeId="0" xr:uid="{00000000-0006-0000-0000-00001300000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055" authorId="6" shapeId="0" xr:uid="{00000000-0006-0000-0000-000014000000}">
      <text>
        <r>
          <rPr>
            <b/>
            <sz val="9"/>
            <color indexed="81"/>
            <rFont val="Tahoma"/>
            <family val="2"/>
          </rPr>
          <t xml:space="preserve">DIANA CAROLINA ARTEAGA ARTEAGA:
</t>
        </r>
        <r>
          <rPr>
            <sz val="9"/>
            <color indexed="81"/>
            <rFont val="Tahoma"/>
            <family val="2"/>
          </rPr>
          <t>Modificación de Objeto MEMO: 2017IE2360</t>
        </r>
      </text>
    </comment>
    <comment ref="P1095" authorId="6" shapeId="0" xr:uid="{00000000-0006-0000-0000-000015000000}">
      <text>
        <r>
          <rPr>
            <b/>
            <sz val="9"/>
            <color indexed="81"/>
            <rFont val="Tahoma"/>
            <family val="2"/>
          </rPr>
          <t>DIANA CAROLINA ARTEAGA ARTEAGA:</t>
        </r>
        <r>
          <rPr>
            <sz val="9"/>
            <color indexed="81"/>
            <rFont val="Tahoma"/>
            <family val="2"/>
          </rPr>
          <t xml:space="preserve">
Solicitud de Modificación: MEMORANDO 2017IE2102
10 FEB 2017</t>
        </r>
      </text>
    </comment>
  </commentList>
</comments>
</file>

<file path=xl/sharedStrings.xml><?xml version="1.0" encoding="utf-8"?>
<sst xmlns="http://schemas.openxmlformats.org/spreadsheetml/2006/main" count="25443" uniqueCount="3791">
  <si>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</si>
  <si>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</si>
  <si>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</si>
  <si>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</si>
  <si>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</si>
  <si>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</si>
  <si>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</si>
  <si>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</si>
  <si>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</si>
  <si>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</si>
  <si>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</si>
  <si>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</si>
  <si>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</si>
  <si>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</si>
  <si>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</si>
  <si>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</si>
  <si>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</si>
  <si>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</si>
  <si>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</si>
  <si>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</si>
  <si>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</si>
  <si>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</si>
  <si>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</si>
  <si>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</si>
  <si>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</si>
  <si>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</si>
  <si>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</si>
  <si>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</si>
  <si>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</si>
  <si>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</si>
  <si>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r>
      <t xml:space="preserve">SALDO SIN VIABILIZAR
</t>
    </r>
    <r>
      <rPr>
        <b/>
        <sz val="7"/>
        <rFont val="Verdana"/>
        <family val="2"/>
      </rPr>
      <t>(VALOR PROGRAMADO - VALOR VIABILIDAD (CDP)</t>
    </r>
  </si>
  <si>
    <t>No Registro Presupuestal</t>
  </si>
  <si>
    <t>FECHA DEL RP</t>
  </si>
  <si>
    <t>VALOR DEL REGISTRO PRESUPUESTAL-RP</t>
  </si>
  <si>
    <t>NOMBRE CONTRATISTA</t>
  </si>
  <si>
    <t>CONTRATO N°</t>
  </si>
  <si>
    <t>LIBERACIÓN DISPONIBILIDAD PRESUPUESTAL</t>
  </si>
  <si>
    <t>NETO</t>
  </si>
  <si>
    <t>GIROS</t>
  </si>
  <si>
    <t>POR GIRAR</t>
  </si>
  <si>
    <t xml:space="preserve">Area </t>
  </si>
  <si>
    <t>Saldo Disponible</t>
  </si>
  <si>
    <t>OBSERVACIONES</t>
  </si>
  <si>
    <t>FECHA DE RADICADO OAP</t>
  </si>
  <si>
    <t>TIPO DE MODIFICACIÒN</t>
  </si>
  <si>
    <t>FECHA DE INCLUSIÓN DE LA MODIFICACIÓN</t>
  </si>
  <si>
    <t>JUSTIFICACIÓN MODIFICACIÓN DE LA LÍNEA</t>
  </si>
  <si>
    <t>Secop</t>
  </si>
  <si>
    <t>471-1</t>
  </si>
  <si>
    <t>471-Titulación de predios y Gestión de Urbanizaciones</t>
  </si>
  <si>
    <t>Titular 10.000 predios</t>
  </si>
  <si>
    <t>Hacer Cierre de 7 procesos de Urbanizacion</t>
  </si>
  <si>
    <t>03-Recurso Humano</t>
  </si>
  <si>
    <t>04-Gastos de Personal Operativo</t>
  </si>
  <si>
    <t>0352-Personal Contratado para Apoyar las Actividades de titulación</t>
  </si>
  <si>
    <t>01-Recursos del Distrito</t>
  </si>
  <si>
    <t>12-Otros distrito</t>
  </si>
  <si>
    <t>2103010503010198 - A Otras Entidades No Financieras Municipales y/o Distritales no consideradas Empresas</t>
  </si>
  <si>
    <t>095 - Vivienda - General</t>
  </si>
  <si>
    <t>7018 - Transferencias de carácter general entre diferentes niveles de gobierno</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</si>
  <si>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</si>
  <si>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</si>
  <si>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Prestación de servicios</t>
  </si>
  <si>
    <t>Directa</t>
  </si>
  <si>
    <t>ENERO</t>
  </si>
  <si>
    <t>TIT-001</t>
  </si>
  <si>
    <t>GRETTA SORAYA BOLAÑO VALENCIA</t>
  </si>
  <si>
    <t>DIRECCION DE TITULACIONES</t>
  </si>
  <si>
    <t>Se realiza el traslado del saldo disponible a nueva línea según solicitud realizada por la DUT con radicado 2018IE11723 de fecha 27/08/2018</t>
  </si>
  <si>
    <t>Traslado de saldo a nueva línea</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</si>
  <si>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</si>
  <si>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</si>
  <si>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</si>
  <si>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RAUL  TOVAR MARTINEZ</t>
  </si>
  <si>
    <t>471-3</t>
  </si>
  <si>
    <t>Prestación de servicios profesionales especializados para la asesoría jurídica en materia contractual, fiduciaria y tributaria de la Caja de la Vivienda Popular.</t>
  </si>
  <si>
    <t>TIT-003 ANULADA</t>
  </si>
  <si>
    <t>Se Anula la Viabilidad TIT-003 mediante memorendo enviado por la DUT según radicado 2018IE2231 de fecha 16/02/2018 y recibido en la OAP el 19/02/2018</t>
  </si>
  <si>
    <t>Anulación viabilidad</t>
  </si>
  <si>
    <t>Se anula en razón que el objeto contractual no fue suscrito.</t>
  </si>
  <si>
    <t>471-4</t>
  </si>
  <si>
    <t>Prestación de servicios profesionales en los procesos misionales y proyectos especiales, para apoyar la gestión, planeación, concertación y seguimiento a los planes y cronogramas del componente social.</t>
  </si>
  <si>
    <t>TIT-004</t>
  </si>
  <si>
    <t>LINA MARIA AZUERO GUTIERREZ</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</si>
  <si>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</si>
  <si>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</si>
  <si>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</si>
  <si>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</si>
  <si>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</si>
  <si>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</si>
  <si>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</si>
  <si>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</si>
  <si>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</si>
  <si>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</si>
  <si>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</si>
  <si>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</si>
  <si>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</si>
  <si>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</si>
  <si>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</si>
  <si>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</si>
  <si>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</si>
  <si>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</si>
  <si>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</si>
  <si>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</si>
  <si>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</si>
  <si>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</si>
  <si>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</si>
  <si>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</si>
  <si>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</si>
  <si>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</si>
  <si>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</si>
  <si>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</si>
  <si>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</si>
  <si>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</si>
  <si>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</si>
  <si>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</si>
  <si>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</si>
  <si>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</si>
  <si>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</si>
  <si>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</si>
  <si>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</si>
  <si>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</si>
  <si>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</si>
  <si>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</si>
  <si>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</si>
  <si>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</si>
  <si>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</si>
  <si>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</si>
  <si>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</si>
  <si>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</si>
  <si>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</si>
  <si>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</si>
  <si>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</si>
  <si>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</si>
  <si>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</si>
  <si>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</si>
  <si>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</si>
  <si>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</si>
  <si>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</si>
  <si>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</si>
  <si>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</si>
  <si>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</si>
  <si>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</si>
  <si>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</si>
  <si>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</si>
  <si>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</si>
  <si>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</si>
  <si>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</si>
  <si>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</si>
  <si>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</si>
  <si>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</si>
  <si>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</si>
  <si>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</si>
  <si>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</si>
  <si>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</si>
  <si>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</si>
  <si>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</si>
  <si>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</si>
  <si>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</si>
  <si>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</si>
  <si>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</si>
  <si>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</si>
  <si>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</si>
  <si>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</si>
  <si>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</si>
  <si>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</si>
  <si>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</si>
  <si>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</si>
  <si>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</si>
  <si>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</si>
  <si>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</si>
  <si>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</si>
  <si>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</si>
  <si>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</si>
  <si>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</si>
  <si>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</si>
  <si>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</si>
  <si>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</si>
  <si>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</si>
  <si>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</si>
  <si>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</si>
  <si>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</si>
  <si>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</si>
  <si>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</si>
  <si>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</si>
  <si>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</si>
  <si>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</si>
  <si>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</si>
  <si>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</si>
  <si>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</si>
  <si>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</si>
  <si>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</si>
  <si>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</si>
  <si>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</si>
  <si>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</si>
  <si>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</si>
  <si>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</si>
  <si>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</si>
  <si>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</si>
  <si>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</si>
  <si>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</si>
  <si>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</si>
  <si>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</si>
  <si>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</si>
  <si>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</si>
  <si>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</si>
  <si>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</si>
  <si>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</si>
  <si>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</si>
  <si>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</si>
  <si>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</si>
  <si>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</si>
  <si>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</si>
  <si>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</si>
  <si>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</si>
  <si>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</si>
  <si>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</si>
  <si>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</si>
  <si>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</si>
  <si>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</si>
  <si>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</si>
  <si>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</si>
  <si>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</si>
  <si>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</si>
  <si>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</si>
  <si>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</si>
  <si>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</si>
  <si>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</si>
  <si>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</si>
  <si>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</si>
  <si>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</si>
  <si>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</si>
  <si>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</si>
  <si>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</si>
  <si>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</si>
  <si>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</si>
  <si>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</si>
  <si>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</si>
  <si>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</si>
  <si>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</si>
  <si>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</si>
  <si>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</si>
  <si>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</si>
  <si>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</si>
  <si>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</si>
  <si>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</si>
  <si>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</si>
  <si>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</si>
  <si>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</si>
  <si>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</si>
  <si>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</si>
  <si>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</si>
  <si>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</si>
  <si>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</si>
  <si>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</si>
  <si>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</si>
  <si>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</si>
  <si>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</si>
  <si>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</si>
  <si>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</si>
  <si>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</si>
  <si>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</si>
  <si>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</si>
  <si>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</si>
  <si>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</si>
  <si>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</si>
  <si>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</si>
  <si>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</si>
  <si>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</si>
  <si>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</si>
  <si>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</si>
  <si>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</si>
  <si>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</si>
  <si>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</si>
  <si>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</si>
  <si>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</si>
  <si>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</si>
  <si>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</si>
  <si>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</si>
  <si>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</si>
  <si>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</si>
  <si>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</si>
  <si>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</si>
  <si>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</si>
  <si>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</si>
  <si>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</si>
  <si>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</si>
  <si>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</si>
  <si>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</si>
  <si>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</si>
  <si>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</si>
  <si>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</si>
  <si>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</si>
  <si>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</si>
  <si>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</si>
  <si>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</si>
  <si>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</si>
  <si>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</si>
  <si>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</si>
  <si>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</si>
  <si>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</si>
  <si>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</si>
  <si>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</si>
  <si>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</si>
  <si>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</si>
  <si>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</si>
  <si>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</si>
  <si>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</si>
  <si>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</si>
  <si>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</si>
  <si>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</si>
  <si>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</si>
  <si>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</si>
  <si>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</si>
  <si>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</si>
  <si>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</si>
  <si>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</si>
  <si>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</si>
  <si>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</si>
  <si>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</si>
  <si>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</si>
  <si>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</si>
  <si>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</si>
  <si>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</si>
  <si>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JULY PAOLA TORRES RISCANEVO</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</si>
  <si>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</si>
  <si>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</si>
  <si>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</si>
  <si>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</si>
  <si>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</si>
  <si>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</si>
  <si>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</si>
  <si>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</si>
  <si>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</si>
  <si>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</si>
  <si>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</si>
  <si>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</si>
  <si>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</si>
  <si>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</si>
  <si>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</si>
  <si>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</si>
  <si>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</si>
  <si>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</si>
  <si>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TIT-073</t>
  </si>
  <si>
    <t>MONICA VIVIANA CEBALLOS CRIOLLO</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</si>
  <si>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</si>
  <si>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</si>
  <si>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</si>
  <si>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FRANCISCO JOSE ARGUELLO ROJAS</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</si>
  <si>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</si>
  <si>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</si>
  <si>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</si>
  <si>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</si>
  <si>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</si>
  <si>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</si>
  <si>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</si>
  <si>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</si>
  <si>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</si>
  <si>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</si>
  <si>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</si>
  <si>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</si>
  <si>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</si>
  <si>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</si>
  <si>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</si>
  <si>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</si>
  <si>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</si>
  <si>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LUKAS FERNANDO URIBE FRANCO</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</si>
  <si>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</si>
  <si>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</si>
  <si>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</si>
  <si>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</si>
  <si>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</si>
  <si>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</si>
  <si>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</si>
  <si>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</si>
  <si>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</si>
  <si>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</si>
  <si>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</si>
  <si>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</si>
  <si>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</si>
  <si>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</si>
  <si>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</si>
  <si>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</si>
  <si>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</si>
  <si>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</si>
  <si>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</si>
  <si>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</si>
  <si>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TIT-085</t>
  </si>
  <si>
    <t>JHON CARLOS RINCON AGREDO</t>
  </si>
  <si>
    <t>471-86</t>
  </si>
  <si>
    <t>Entregar 9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</si>
  <si>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</si>
  <si>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</si>
  <si>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</si>
  <si>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</si>
  <si>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</si>
  <si>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</si>
  <si>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</si>
  <si>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</si>
  <si>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</si>
  <si>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</si>
  <si>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</si>
  <si>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</si>
  <si>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</si>
  <si>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</si>
  <si>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</si>
  <si>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</si>
  <si>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</si>
  <si>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</si>
  <si>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</si>
  <si>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</si>
  <si>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ABRIL</t>
  </si>
  <si>
    <t>471-92</t>
  </si>
  <si>
    <t>Prestación de servicios profesionales a la Dirección de Urbanizaciones y Titulación para el seguimiento a los diseños e interventoría de calvo sur la gallera</t>
  </si>
  <si>
    <t>Por lanulación de las viabiliddes y los cdp se traslada los valoires de las lineas 3,21 y 90 a la linea 92</t>
  </si>
  <si>
    <t>471-93</t>
  </si>
  <si>
    <t>Planta Temporal enero diciembre</t>
  </si>
  <si>
    <t>Resolucion</t>
  </si>
  <si>
    <t>TIT-099-1</t>
  </si>
  <si>
    <t xml:space="preserve">1390
1533
1801
1838
1903
1983
2021
2051
2493
2648
2850
</t>
  </si>
  <si>
    <t xml:space="preserve">20/02/2018
6/03/2018
13/04/2018
23/04/2018
15/05/2018
1/06/2018
15/06/2018
20/06/2018
17/07/2018
14/08/2018
12/09/2018
</t>
  </si>
  <si>
    <t>Planta temporal</t>
  </si>
  <si>
    <t>471-94</t>
  </si>
  <si>
    <t>TIT-100</t>
  </si>
  <si>
    <t>471-95</t>
  </si>
  <si>
    <t>02-Dotación</t>
  </si>
  <si>
    <t>01-Adquisicón y/o producción de equipos, materiales, suministros y servicios propios del sector</t>
  </si>
  <si>
    <t>0754-Actividades para el fortalecimiento de estrategias de comunicación.</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</si>
  <si>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</si>
  <si>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</si>
  <si>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</si>
  <si>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AGOSTO</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</si>
  <si>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</si>
  <si>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</si>
  <si>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</si>
  <si>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</si>
  <si>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</si>
  <si>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02- Subsidio Directo</t>
  </si>
  <si>
    <t>0058 - Subsidios En Especie</t>
  </si>
  <si>
    <t>N/A</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</si>
  <si>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</si>
  <si>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DICIEMBRE</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</si>
  <si>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</si>
  <si>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</si>
  <si>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</si>
  <si>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Contratación Directa</t>
  </si>
  <si>
    <t>TIT-092</t>
  </si>
  <si>
    <t>OSCAR HUMBERTO PAVA</t>
  </si>
  <si>
    <t>471-101</t>
  </si>
  <si>
    <t>96 - Vivienda - General</t>
  </si>
  <si>
    <t>7019 - Transferencias de carácter general entre diferentes niveles de gobierno</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</si>
  <si>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</si>
  <si>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</si>
  <si>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</si>
  <si>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</si>
  <si>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</si>
  <si>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</si>
  <si>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</si>
  <si>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</si>
  <si>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</si>
  <si>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</si>
  <si>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CRISTIAN DAVID OLACHICA SERRANO</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</si>
  <si>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</si>
  <si>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</si>
  <si>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</si>
  <si>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</si>
  <si>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</si>
  <si>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</si>
  <si>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</si>
  <si>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</si>
  <si>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</si>
  <si>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</si>
  <si>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</si>
  <si>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</si>
  <si>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</si>
  <si>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</si>
  <si>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</si>
  <si>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 xml:space="preserve">1028
1029
</t>
  </si>
  <si>
    <t xml:space="preserve">12/02/2018
12/02/2018
</t>
  </si>
  <si>
    <t xml:space="preserve">SUPERINTENDENCIA DE NOTARIADO Y REGISTRO
DEPARTAMENTO DE CUNDINAMARCA - TESORERIA GENERAL
</t>
  </si>
  <si>
    <t>Comparte linea y registros con la linea 107</t>
  </si>
  <si>
    <t>471-108</t>
  </si>
  <si>
    <t>471-109</t>
  </si>
  <si>
    <t>Realizar seguimiento a la liquidacion y pago de los contratos de Sierra Morena y Calvo Sur</t>
  </si>
  <si>
    <t>471-110</t>
  </si>
  <si>
    <t>06-Gastos Operativos</t>
  </si>
  <si>
    <t xml:space="preserve">0268- Otros Gastos Operativos  de Titulación </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</si>
  <si>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</si>
  <si>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</si>
  <si>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</si>
  <si>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</si>
  <si>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</si>
  <si>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Adición</t>
  </si>
  <si>
    <t>FEBRERO</t>
  </si>
  <si>
    <t>TIT-101</t>
  </si>
  <si>
    <t>AXA COLPATRIA SEGUROS SA</t>
  </si>
  <si>
    <t>Comparte CDP y RP con la linea 113 y  112</t>
  </si>
  <si>
    <t>471-113</t>
  </si>
  <si>
    <t>TIT-102</t>
  </si>
  <si>
    <t>Creación linea nueva mediante oficio con radicado 2018IE2798</t>
  </si>
  <si>
    <t>471-114</t>
  </si>
  <si>
    <t>PAGO DE NOMINA DEL MES DE FEBRERO DE 2018 DE LA PLANTA TEMPORAL PROYECTO 471</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</si>
  <si>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</si>
  <si>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</si>
  <si>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</si>
  <si>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Resolución</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</si>
  <si>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</si>
  <si>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</si>
  <si>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</si>
  <si>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</si>
  <si>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</si>
  <si>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 xml:space="preserve">1537
1723
1889
2008
2479
2619
1708
</t>
  </si>
  <si>
    <t xml:space="preserve">6/03/2018
5/04/2018
9/05/2018
7/06/2018
11/07/2018
10/08/2018
5/04/2018
</t>
  </si>
  <si>
    <t>POSITIVA COMPAÑIA DE SEGUROS SA</t>
  </si>
  <si>
    <t xml:space="preserve">3
4
5
6
7
8
4
</t>
  </si>
  <si>
    <t>471-118</t>
  </si>
  <si>
    <t>PAGO DE MI PLANILLA SEGURIDAD SOCIAL Y PARAFISCALES DE LA PLANTA TEMPORAL DE LA ENTIDAD DEL MES DE FEBRERO DE 2018 PROYECTO 471</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</si>
  <si>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</si>
  <si>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</si>
  <si>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</si>
  <si>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</si>
  <si>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</si>
  <si>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</si>
  <si>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</si>
  <si>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</si>
  <si>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</si>
  <si>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</si>
  <si>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</si>
  <si>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</si>
  <si>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471-124</t>
  </si>
  <si>
    <t>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t>
  </si>
  <si>
    <t>TIT-107</t>
  </si>
  <si>
    <t xml:space="preserve">1806
1924
2524
</t>
  </si>
  <si>
    <t xml:space="preserve">17/04/2018
21/05/2018
24/07/2018
</t>
  </si>
  <si>
    <t xml:space="preserve">HECTOR CARLOS FERNANDO HERRERA REYES
LEIDY PAOLA FLOREZ GALEANO
LEIDY PAOLA FLOREZ GALEANO
</t>
  </si>
  <si>
    <t xml:space="preserve">1868
2095
2915
</t>
  </si>
  <si>
    <t>471-125</t>
  </si>
  <si>
    <t>Sufragar los costos por concepto de gastos notariales en el proceso de la escritura de la transferencia al DADEP de las zonas de cesión de Atahualpa ante la noratía 24 de Círculo de Bogota D.C.</t>
  </si>
  <si>
    <t>TIT-108</t>
  </si>
  <si>
    <t>471-126</t>
  </si>
  <si>
    <t>Sufragar los costos por concepto de gastos notariales e impuestos de registro en el proceso de la escritura de desemglobe y cesión al DADEP del lote denominado equipamiento de la Urbanización Arboleda Santa Teresita ante la notaría 34 del Circulo de Bogotá D.C.</t>
  </si>
  <si>
    <t>Resulucion</t>
  </si>
  <si>
    <t>TIT-109</t>
  </si>
  <si>
    <t>471-127</t>
  </si>
  <si>
    <t>PAGO DE SEGURIDAD SOCIAL Y PARAFISCALES DE FUNCIONARIOS DE PLANTA TEMPORAL DE LA DIRECCIÓN DE URBANIZACIONES Y TITULACIÓN MES MARZO 2018</t>
  </si>
  <si>
    <t>471-128</t>
  </si>
  <si>
    <t>PAGO DE NOMINA DEL MES DE ABRIL DE 2018 DE LA PLANTA TEMPORAL, PROYECTO 471</t>
  </si>
  <si>
    <t>471-129</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</si>
  <si>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</si>
  <si>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</si>
  <si>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471-131</t>
  </si>
  <si>
    <t>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t>
  </si>
  <si>
    <t>TIT-110</t>
  </si>
  <si>
    <t xml:space="preserve">1895
1896
</t>
  </si>
  <si>
    <t xml:space="preserve">10/05/2018
10/05/2018
</t>
  </si>
  <si>
    <t>471-132</t>
  </si>
  <si>
    <t>Sufragar los costos por concepto de gastos notariales en el proceso de otorgamiento y autorización de la escritura aclaratoria y de ratificación de la EP N° 4364 de 2016, ante la notaría 62 del Circuito de Bogotá, afin de realizar la transferencia al DADEP de la zona de cesión ubicada en el barrio Arborizadora Alta de la Localidad de Ciudad Bolivar.</t>
  </si>
  <si>
    <t>TIT-111</t>
  </si>
  <si>
    <t>471-133</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</si>
  <si>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t>
  </si>
  <si>
    <t>TIT-112</t>
  </si>
  <si>
    <t>471-134</t>
  </si>
  <si>
    <t>TIT-113</t>
  </si>
  <si>
    <t xml:space="preserve">1938
2119
2120
2523
2676
2678
</t>
  </si>
  <si>
    <t xml:space="preserve">22/05/2018
22/06/2018
22/06/2018
24/07/2018
17/08/2018
17/08/2018
</t>
  </si>
  <si>
    <t xml:space="preserve">YAIR JOSUE LIZARAZO CALDERON
SUPERINTENDENCIA DE NOTARIADO Y REGISTRO
DEPARTAMENTO DE CUNDINAMARCA - TESORERIA GENERAL
YAIR JOSUE LIZARAZO CALDERON
DEPARTAMENTO DE CUNDINAMARCA - TESORERIA GENERAL
SUPERINTENDENCIA DE NOTARIADO Y REGISTRO
</t>
  </si>
  <si>
    <t xml:space="preserve">2099
2572
2572
2903
3146
3146
</t>
  </si>
  <si>
    <t>471-135</t>
  </si>
  <si>
    <t>PAGO DE SEGURIDAD SOCIAL Y PARAFISCALES DE FUNCIONARIOS DE PLANTA TEMPORAL DE LA DIRECCIÓN DE URBANIZACIONES Y TITULACIÓN MES Abril 2018</t>
  </si>
  <si>
    <t>471-136</t>
  </si>
  <si>
    <t>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t>
  </si>
  <si>
    <t>471-137</t>
  </si>
  <si>
    <t>471-138</t>
  </si>
  <si>
    <t>471-139</t>
  </si>
  <si>
    <t>PAGO DE NOMINA A FUNCIONARIOS DE PLANTA TEMPORAL DE LA DIRECCIÓN DE URBANIZACIONES Y TITULACIÓN MES DE MAYO DE 2018</t>
  </si>
  <si>
    <t>471-140</t>
  </si>
  <si>
    <t>471-141</t>
  </si>
  <si>
    <t>01-Infraestructura</t>
  </si>
  <si>
    <t>01-Construcción, adecuación y ampliación de Infraestructura propia del sector.</t>
  </si>
  <si>
    <t xml:space="preserve">0529-Sentencias Judiciales </t>
  </si>
  <si>
    <t xml:space="preserve">Sufragar los gastos que se incurran para la radicación de la demanda ante el Tribunal de Arbitramento, relacionada con el proceso arbitral que se adelanta por parte de la CVP contra la sociedad comercial CONSTRUCCIONAR Y CIA LTDA, hoy DESARROLLOS INMOBILIARIOS ATAHUALPA II LTDA y la entonces Fiduciaria Tequendama, hoy Servitrust Sudameris, vocera del Patrimonio Autónomo Parques de Atahualpa. </t>
  </si>
  <si>
    <t>TIT-114</t>
  </si>
  <si>
    <t>YAIR JOSUE LIZARAZO CALDERON</t>
  </si>
  <si>
    <t>471-142</t>
  </si>
  <si>
    <t>Sufragar los costos por concepto impuesto de registro en el proceso de escritura de desenglobe y cesión al DADEP del lote denominado equipamiento de la urbanización Arboleda Santa Teresita ante la Notaría 34 del Circulo de Bogotá D.C.</t>
  </si>
  <si>
    <t>TITI-115</t>
  </si>
  <si>
    <t>471-143</t>
  </si>
  <si>
    <t>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t>
  </si>
  <si>
    <t>TIT-116</t>
  </si>
  <si>
    <t>471-144</t>
  </si>
  <si>
    <t>Prestación de servicios profesionales para realizar el acompañamiento y seguimiento jurídico a las actividades de titulación predial, urbanizaciones y saneamiento predial  que adelanta la Dirección de Urbanizacione y Titulación.</t>
  </si>
  <si>
    <t>TIT-117</t>
  </si>
  <si>
    <t>ENRIQUE JOSE NATES GUERRA</t>
  </si>
  <si>
    <t>471-145</t>
  </si>
  <si>
    <t>PAGO DE LA PRIMA SE SERVICIOS 2018 FUNCIONARIOS DE PLANTA TEMPORAL DE LA DIRECCIÓN DE URBANIZACIONES Y TITULACIÓN</t>
  </si>
  <si>
    <t>471-146</t>
  </si>
  <si>
    <t>471-147</t>
  </si>
  <si>
    <t>PAGO DE SEGURIDAD SOCIAL Y PARAFISCALES DE FUNCIONARIOS DE PLANTA TEMPORAL DE LA DIRECCIÓN DE URBANIZACIONES Y TITULACIÓN MES MAYO 2018</t>
  </si>
  <si>
    <t>471-148</t>
  </si>
  <si>
    <t>PAGO DE NOMINA A FUNCIONARIOS DE PLANTA TEMPORAL DE LA DIRECCIÓN DE URBANIZACIONES Y TITULACIÓN MES DE JUNIOO DE 2018</t>
  </si>
  <si>
    <t>471-149</t>
  </si>
  <si>
    <t>095- Vivienda - General</t>
  </si>
  <si>
    <t>PAGO DE NOMINA A FUNCIONARIOS DE PLANTA TEMPORAL DE LA DIRECCIÓN DE URBANIZACIONES Y TITULACIÓN MES DE JUNIOO DE 2019</t>
  </si>
  <si>
    <t>471-150</t>
  </si>
  <si>
    <t>471-151</t>
  </si>
  <si>
    <t>471-152</t>
  </si>
  <si>
    <t>06- Subsidio Directo</t>
  </si>
  <si>
    <t>471-153</t>
  </si>
  <si>
    <t>01- Construcción, adecuación y ampliacion de infraestructura propia del sector</t>
  </si>
  <si>
    <t>0526-Desarrollo de proyectos de vivienda</t>
  </si>
  <si>
    <t>095-Viviends general</t>
  </si>
  <si>
    <t>A7.7</t>
  </si>
  <si>
    <t>Adición N° al contrato N° 694 de 2017, cuyo objeto es:"reparaciones locativas de acabados y lineas vitales que requieran en las unidades de vifenda y zonas comunes de los proyectos de vivienda de interés prioritario VIP de Bosa El Porvenir, Arborizadora Baja (MZ65) y Candelaria La Nueva (MZ67)".</t>
  </si>
  <si>
    <t>Contrato de Obra</t>
  </si>
  <si>
    <t>Selección abrevidad de menor cuantía</t>
  </si>
  <si>
    <t>TIT-118</t>
  </si>
  <si>
    <t>WILVER FRANCINY RUSSY LADINO</t>
  </si>
  <si>
    <t>471-154</t>
  </si>
  <si>
    <t>A7.8</t>
  </si>
  <si>
    <t>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t>
  </si>
  <si>
    <t>TIT-119</t>
  </si>
  <si>
    <t>FIDEICOMISOS SERVITRUST GNB SUDAMERIS S.A.</t>
  </si>
  <si>
    <t>471-155</t>
  </si>
  <si>
    <t>Prestación de servicios profesionales a la Dirección de Urbanizaciones y Titulación en el diseño, orientación y ejecución de estratégias técnicas encamindas a realizar el cierre y entrega de los proyectos de vivienda VIP, obras de urbanismo y equipamientos en los proyectos constructivos desarrollados por la Caja de la Viviend Popular.</t>
  </si>
  <si>
    <t>TIT-120</t>
  </si>
  <si>
    <t>Anulada</t>
  </si>
  <si>
    <t>Se anula la viabilidad TIT-120 de Julio 18 de 2018 mediante solicitud enviada por la DUT con número de radicado 2018IE10442 de Agosto de 2018</t>
  </si>
  <si>
    <t>471-156</t>
  </si>
  <si>
    <t>Prestar servicios profesionales a la Dirección Jurídica como enlace y apoyo de la Dirección de Urbanizaciones y Titulación, en temas relacionados con el desarrollo de las actividades de apoyo jurídico en titulación predial, derecho inmobiliario, actuaciones y trámites en general relacionados con la ejcución de las actividades propias de la CVP.</t>
  </si>
  <si>
    <t>TIT-121</t>
  </si>
  <si>
    <t>IRENE  BERROCAL GARCIA</t>
  </si>
  <si>
    <t>471-157</t>
  </si>
  <si>
    <t>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t>
  </si>
  <si>
    <t>TIT-122</t>
  </si>
  <si>
    <t>CESAR AUGUSTO HENAO TRUJILLO</t>
  </si>
  <si>
    <t>471-158</t>
  </si>
  <si>
    <t>Prestación de servicios profesionales a la Dirección de Urbanizaciones y Titulación para el acompañamiento jurídico en los proyectos Constructivos de Vivienda de Interés Prioritario - VIP  que adelanta la Caja de la Vivienda Popular.</t>
  </si>
  <si>
    <t>TIT-123</t>
  </si>
  <si>
    <t>ROCIO STELLA VIVEROS AGUILAR</t>
  </si>
  <si>
    <t>471-159</t>
  </si>
  <si>
    <r>
      <t>Sufragar los costos de radicación y expedición de s</t>
    </r>
    <r>
      <rPr>
        <sz val="11"/>
        <color rgb="FF222222"/>
        <rFont val="Arial"/>
        <family val="2"/>
      </rPr>
      <t>olicitud concepto de norma urbanística - Reglamento Colombiano de Construcción Sismo Resistente norma NSR – 10, título k - numeral k.3.8.3 – escaleras interiores k.3.8.3.3 (k.3.8.3.3 – ancho mínimo).</t>
    </r>
    <r>
      <rPr>
        <sz val="11"/>
        <color rgb="FF000000"/>
        <rFont val="Arial"/>
        <family val="2"/>
      </rPr>
      <t> Para las Licencias de construcción números: LC 15-2-0901, LC 15-2-0902 del 2 de junio de 2015 para los proyectos (Arborizadora Baja Manzana 54 y manzana 55). y LC 16-2-0884 del 11 de julio de 2016 (Proyecto </t>
    </r>
    <r>
      <rPr>
        <sz val="11"/>
        <color rgb="FF222222"/>
        <rFont val="Arial"/>
        <family val="2"/>
      </rPr>
      <t>Urbanización Arboleda Santa Teresita</t>
    </r>
    <r>
      <rPr>
        <sz val="11"/>
        <color rgb="FF000000"/>
        <rFont val="Arial"/>
        <family val="2"/>
      </rPr>
      <t>), de propiedad de la Caja de la Vivienda Popular</t>
    </r>
  </si>
  <si>
    <t>TIT-124</t>
  </si>
  <si>
    <t>471-160</t>
  </si>
  <si>
    <t>PAGO DE MI PLANILLA Y PARAFISCALES DE LA PLANTA TEMPORAL DE LA ENTIDAD DEL MES DE JUNIO DE 2018. PROYECTO 471</t>
  </si>
  <si>
    <t>471-161</t>
  </si>
  <si>
    <t>PAGO DE NÓMINA A FUNCIONARIOS DE PLANTA TEMPORAL DE LA DIRECCIÓN DE URBANIZACIONES Y TITULACIÓN MES DE JULIO DE 2018</t>
  </si>
  <si>
    <t>471-162</t>
  </si>
  <si>
    <t>471-163</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</si>
  <si>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JULIO DE 2018</t>
  </si>
  <si>
    <t>471-164</t>
  </si>
  <si>
    <t>471-165</t>
  </si>
  <si>
    <t>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t>
  </si>
  <si>
    <t>471-166</t>
  </si>
  <si>
    <t>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t>
  </si>
  <si>
    <t>Licitación</t>
  </si>
  <si>
    <t>TIT-125</t>
  </si>
  <si>
    <t>471-97 Y 471-98</t>
  </si>
  <si>
    <t>471-167</t>
  </si>
  <si>
    <t>TIT-126</t>
  </si>
  <si>
    <t>471-95- Y 471-96</t>
  </si>
  <si>
    <t>471-168</t>
  </si>
  <si>
    <t>Prestación de serviciosprofesionales a la Dirección de Urbanizaciones y Titulación.</t>
  </si>
  <si>
    <t>471-169</t>
  </si>
  <si>
    <t>Prestación de servicios profesionales a la Dirección de Urbanizaciones y Titulación en el apoyo jurídico a la comunidad sobre los procesos de titulación predial conforme a los diferentes mecanismos previstos por la ley.</t>
  </si>
  <si>
    <t>Prestción de Servicios</t>
  </si>
  <si>
    <t>TIT-127</t>
  </si>
  <si>
    <t>YINA IMELDA ARIAS SALAZAR</t>
  </si>
  <si>
    <t>471-170</t>
  </si>
  <si>
    <t>TIT-128</t>
  </si>
  <si>
    <t>DIEGO HERNAN DAZA HURTADO</t>
  </si>
  <si>
    <t>471-171</t>
  </si>
  <si>
    <t>TIT-129</t>
  </si>
  <si>
    <t>ANDRES GUILLERMO MAESTRE ARAUJO</t>
  </si>
  <si>
    <t>471-172</t>
  </si>
  <si>
    <t>TIT-130</t>
  </si>
  <si>
    <t>471-173</t>
  </si>
  <si>
    <t>TIT-131</t>
  </si>
  <si>
    <t>471-174</t>
  </si>
  <si>
    <t>TIT-132</t>
  </si>
  <si>
    <t>471-175</t>
  </si>
  <si>
    <t>TIT-133</t>
  </si>
  <si>
    <t>471-176</t>
  </si>
  <si>
    <t>Prestar servicios profesionales a la Dirección de Urbanizaciones y Titulación en el seguimiento, estructuración y revisión jurídica de los documentos, informes y actos administrativos propios de la dependencia.</t>
  </si>
  <si>
    <t>TIT-134 - ANULADA nueva viabilidad TIT-139</t>
  </si>
  <si>
    <t>471-168 Y 471-176</t>
  </si>
  <si>
    <t>LINDA GISSELLE SUAREZ VILLAMIZAR</t>
  </si>
  <si>
    <t>471-177</t>
  </si>
  <si>
    <t>Prestación de servicios profesionales, apoyando la valoración económica, financiera y técnica en los procesos de titulación, cierre de proyectos constructivos de vivienda VIP, y entrega de zonas de cesión, adelantados por la Dirección de Urbanizaciones y Titulación.</t>
  </si>
  <si>
    <t>TIT-135</t>
  </si>
  <si>
    <t>471-178</t>
  </si>
  <si>
    <t>97 - Vivienda - General</t>
  </si>
  <si>
    <t>7020 - Transferencias de carácter general entre diferentes niveles de gobierno</t>
  </si>
  <si>
    <t>A.7.9</t>
  </si>
  <si>
    <t>Prestación de servicios profesionales de apoyo jurídico a la Dirección de Urbanizaciones y Titulación  en el desarrollo de los procesos de titulación adelantados conforme a los mecanismos previstos por la ley, así como en el análisis de la situación de predios y realización de trámites requeridos para el saneamiento de los bienes de la CVP.</t>
  </si>
  <si>
    <t>TIT-136</t>
  </si>
  <si>
    <t>471-179</t>
  </si>
  <si>
    <t>98 - Vivienda - General</t>
  </si>
  <si>
    <t>7021 - Transferencias de carácter general entre diferentes niveles de gobierno</t>
  </si>
  <si>
    <t>A.7.10</t>
  </si>
  <si>
    <t>TIT-137</t>
  </si>
  <si>
    <t>471-180</t>
  </si>
  <si>
    <t>99 - Vivienda - General</t>
  </si>
  <si>
    <t>7022 - Transferencias de carácter general entre diferentes niveles de gobierno</t>
  </si>
  <si>
    <t>A.7.11</t>
  </si>
  <si>
    <t>Prestar servicios de apoyo a la gestion a la Dirección de Urbanizaciones y Titulación en la ejecucion de actividades en el manejo, clasificacion, asignacion, seguimiento, a los documentos generados por la Dirección,  de conformidad con las normas vigentes y Sistema Integrado de Gestión.</t>
  </si>
  <si>
    <t>TIT-138</t>
  </si>
  <si>
    <t>471-181</t>
  </si>
  <si>
    <t>471-182</t>
  </si>
  <si>
    <t>02-Adquisición de Infraestructura propia del Sector</t>
  </si>
  <si>
    <t>0027-Adquisición de predios</t>
  </si>
  <si>
    <t>03-Recursos Administrados</t>
  </si>
  <si>
    <t>20-Administrados de destinación específica</t>
  </si>
  <si>
    <t>Convenio Interadministrativo No. 000618 cuyo objeto es aunar esfuerzos técnicos, administrativos y financieros con el fin de adelantar las acciones necesarias para el desarrollo del proyecto “Mirador de Illimani”,</t>
  </si>
  <si>
    <t>208-Mejoramiento de Barrios</t>
  </si>
  <si>
    <t>Desarrollar el 100% de las intervenciones priorizadas de mejoramiento</t>
  </si>
  <si>
    <t>15- Contribuir 100% al Mejoramiento de Barrios en los Territorios Priorizados por la SDHT a través de Procesos Estudios y Diseños de Infraestructura en Espacios Públicos a escala barrial para la accesibilidad de los ciudadanos a un Hábitat.</t>
  </si>
  <si>
    <t>01-Construcción, Adecuación y ampliación de infraestructura propia del sector</t>
  </si>
  <si>
    <t>0108-Obras de Urbanismo</t>
  </si>
  <si>
    <t xml:space="preserve">03-Recursos Administrados </t>
  </si>
  <si>
    <t xml:space="preserve">146 Recursos del balance de libre destinación </t>
  </si>
  <si>
    <t>2.1.03.01.05.03.01.01.98 - A Otras Entidades No Financieras Municipales y/o Distritales no consideradas Empresas</t>
  </si>
  <si>
    <t>A.7.5 - PLANES Y PROYECTOS PARA LA ADQUISICIÓN Y/O CONSTRUCCIÓN DE VIVIENDA</t>
  </si>
  <si>
    <t>Estudios y Diseños de Infraestructura en espacio público a escala barrial</t>
  </si>
  <si>
    <t>Licitación Pública</t>
  </si>
  <si>
    <t>MARZO</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</si>
  <si>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</si>
  <si>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</si>
  <si>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01- Adquisición y/o producción de equipo, materiales, suministros y servicios propios del sector.</t>
  </si>
  <si>
    <t>A.7.3 - PLANES Y PROYECTOS DE MEJORAMIENTO DE VIVIENDA Y SANEAMIENTO BÁSICO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</si>
  <si>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</si>
  <si>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Concurso de Meritos</t>
  </si>
  <si>
    <t>A.17.1 - PROCESOS INTEGRALES DE EVALUACIÓN INSTITUCIONAL Y REORGANIZACIÓN ADMINISTRATIVA</t>
  </si>
  <si>
    <t xml:space="preserve">Contratar los servicios de divulgación masiva que optimice la estrategia de comunicación de la Caja de la Vovienda Popular, a traves de los diferentes medios de comunicación y promocione la gestión de las direcciones misionales. </t>
  </si>
  <si>
    <t>0312-Personal Contratado para Apoyar las Actividades Propias de los Proyectos de Inversión Misionales de la Entidad</t>
  </si>
  <si>
    <t>Pago de nómina y aportes patronales de funcionarios de planta temporal de la dirección de mejoramiento de barrios</t>
  </si>
  <si>
    <t>Orden de Prestacion de Servicios</t>
  </si>
  <si>
    <t>1608-1800-1837-1902-1946-1978-2020-2050-2492-2526</t>
  </si>
  <si>
    <t>CAJA DE VIVIENDA POPULAR</t>
  </si>
  <si>
    <t>25-28-31-34-37-40-43-46-49</t>
  </si>
  <si>
    <t>Viabilización</t>
  </si>
  <si>
    <t>Contratacion Recurso Humano</t>
  </si>
  <si>
    <t>2644-2734-2849-2908</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</si>
  <si>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</si>
  <si>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1541 - 1542 - 1717 - 1720 - 1911 - 2007 - 2457 - 2593</t>
  </si>
  <si>
    <t>3-4-5-6-7</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</si>
  <si>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</si>
  <si>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</si>
  <si>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</si>
  <si>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</si>
  <si>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</si>
  <si>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</si>
  <si>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</si>
  <si>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</si>
  <si>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</si>
  <si>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</si>
  <si>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</si>
  <si>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</si>
  <si>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</si>
  <si>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</si>
  <si>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</si>
  <si>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</si>
  <si>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</si>
  <si>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LAURA FERNANDA GOMEZ RAMIREZ</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</si>
  <si>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</si>
  <si>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</si>
  <si>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</si>
  <si>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</si>
  <si>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</si>
  <si>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</si>
  <si>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</si>
  <si>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</si>
  <si>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</si>
  <si>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</si>
  <si>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</si>
  <si>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</si>
  <si>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</si>
  <si>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</si>
  <si>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</si>
  <si>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</si>
  <si>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</si>
  <si>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</si>
  <si>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</si>
  <si>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</si>
  <si>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</si>
  <si>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</si>
  <si>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</si>
  <si>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</si>
  <si>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</si>
  <si>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</si>
  <si>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</si>
  <si>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</si>
  <si>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</si>
  <si>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</si>
  <si>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</si>
  <si>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</si>
  <si>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</si>
  <si>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</si>
  <si>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</si>
  <si>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JACQUELINE  CACHAYA SANCHEZ</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</si>
  <si>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</si>
  <si>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</si>
  <si>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</si>
  <si>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</si>
  <si>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</si>
  <si>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</si>
  <si>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</si>
  <si>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</si>
  <si>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</si>
  <si>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</si>
  <si>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</si>
  <si>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</si>
  <si>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</si>
  <si>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</si>
  <si>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</si>
  <si>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</si>
  <si>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</si>
  <si>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LOTERO ZULUAGA ABOGADOS S A 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</si>
  <si>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</si>
  <si>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</si>
  <si>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</si>
  <si>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</si>
  <si>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</si>
  <si>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</si>
  <si>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</si>
  <si>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</si>
  <si>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</si>
  <si>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 xml:space="preserve"> 15/01/2018</t>
  </si>
  <si>
    <t>005 (Anulado) - 110</t>
  </si>
  <si>
    <t>Prestar servicios profesionales en la implementacion y seguimiento de la politica de responsabilidad social, bajo los tres pilares de sostenibilidad a los procesos de gestion misional de la entidad.</t>
  </si>
  <si>
    <t>Prestación de Servicios profesionales para apoyar a la Dirección de Mejoramiento de Barrios de la Caja de la Vivienda Popular.</t>
  </si>
  <si>
    <t>NOVIEMBRE</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</si>
  <si>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</si>
  <si>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</si>
  <si>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</si>
  <si>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208-2</t>
  </si>
  <si>
    <t>UNION TEMPORAL INTERVENCION VIAL CIV</t>
  </si>
  <si>
    <t>Traslado para pagos pasivos exigibles</t>
  </si>
  <si>
    <t>121 (Anulada)</t>
  </si>
  <si>
    <t>Contrato de Consultoria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</si>
  <si>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</si>
  <si>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</si>
  <si>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</si>
  <si>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</si>
  <si>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Realizar las obras de intervención física a escala barrial consistentes en la construcción de  los tramos viales con los códigos de identificación vial - CIV priorizados, ubicados en las localidades de Bogotá D.C.</t>
  </si>
  <si>
    <t>JULIO</t>
  </si>
  <si>
    <t>LUIS FELIPE HERRERA GUZMAN</t>
  </si>
  <si>
    <t>HR INGENIERIA SAS</t>
  </si>
  <si>
    <t>GRUPO METRO COLOMBIA</t>
  </si>
  <si>
    <t>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</si>
  <si>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Contrato de Interventoria</t>
  </si>
  <si>
    <t>MONICA JOHANNA CHIPATECUA QUEVEDO</t>
  </si>
  <si>
    <t>LUIS ALFONSO DIAZ MARTIN</t>
  </si>
  <si>
    <t>NATALIA MERCEDES BOCANEGRA MONTALVO</t>
  </si>
  <si>
    <t>NATALY ANGELICA NOGALES VARGAS</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</si>
  <si>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</si>
  <si>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AGUSTIN  LOBATON CORTES</t>
  </si>
  <si>
    <t xml:space="preserve">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</si>
  <si>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ALEJANDRA MARIA MUSKUS CARRIAZO</t>
  </si>
  <si>
    <t>JUAN PABLO GARCIA LIZARAZO</t>
  </si>
  <si>
    <t>VALENTINA  ESTEBAN BERNAL</t>
  </si>
  <si>
    <t xml:space="preserve"> Prestación de Servicios profesionales de carácter jurídico para apoyar a la Dirección de Mejoramiento de Barrios de la Caja de la Vivienda Popular.</t>
  </si>
  <si>
    <t>GINA MARCELA ALVARADO GONZALEZ</t>
  </si>
  <si>
    <t>Realizar las obras de intervención física a escala barrial consistentes en la construcción de los tramos viales con los códigos de identificación vial - CIV priorizados, ubicados en las localidades de Bogotá D.C.</t>
  </si>
  <si>
    <t>Adición y prorroga al contrato 690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</si>
  <si>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Adicion</t>
  </si>
  <si>
    <t>BELISARIO ALFREDO DE LEON NARVAEZ</t>
  </si>
  <si>
    <t>Adición y prorroga al contrato 700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</si>
  <si>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VIAL  BOGOTA</t>
  </si>
  <si>
    <t xml:space="preserve"> Adición y prórroga contrato de interventoría 707 de 2017 con objeto "REALIZAR LA INTERVENTORÍA TÉCNICA, ADMINISTRATIVA, FINANCIERA, SOCIAL, JURIDICA, AMBIENTAL Y SSTMA PARA LAS OBRAS DE INTERVENCION FISICA A ESCALA BARRIAL CONSISTENTES EN LA CONSTRUCCIÓN DE LOS TRAMOS VIALES (CÓDIGOS DE IDENTIFICACIÓN VIAL – CIV), UBICADOS EN LA CIUDAD DE BOGOTÁ D.C.."</t>
  </si>
  <si>
    <t>CONSORCIO JS</t>
  </si>
  <si>
    <t>Adición al contrato de obra 629 de 2017 conn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</si>
  <si>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CIV BOGOTA</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</si>
  <si>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</si>
  <si>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</si>
  <si>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</si>
  <si>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SEPTIEMBRE</t>
  </si>
  <si>
    <t>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</si>
  <si>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</si>
  <si>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Prestar servicios profesionales a la Dirección de Mejoramiento de Barrios en la orientación y ejecución de estrategias técnicas para el desarrollo de los proyectos de intervención física a escala barrial.</t>
  </si>
  <si>
    <t>NESTOR FABIAN MORENO ORTIZ</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</si>
  <si>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</si>
  <si>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</si>
  <si>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</si>
  <si>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</si>
  <si>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0311-Personal Contratado para Apoyar y Fortalecer las Labores Administrativas de la Entidad</t>
  </si>
  <si>
    <t>2.1.03.01.05.03.01.01.98 A Otras Entidades No Financieras Municipales y/o Distritales no consideradas Empresas</t>
  </si>
  <si>
    <t>A.17.1</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</si>
  <si>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</si>
  <si>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CONTRATO DE PRESTACION DE SERVICIOS PROFESIONALES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</si>
  <si>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</si>
  <si>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</si>
  <si>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</si>
  <si>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</si>
  <si>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</si>
  <si>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</si>
  <si>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Juan fernando betacour</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</si>
  <si>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</si>
  <si>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</si>
  <si>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</si>
  <si>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</si>
  <si>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Robert Urrego</t>
  </si>
  <si>
    <t>943-4</t>
  </si>
  <si>
    <t>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</si>
  <si>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</si>
  <si>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</si>
  <si>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</si>
  <si>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Julio Cendales</t>
  </si>
  <si>
    <t>943-5</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</si>
  <si>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</si>
  <si>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</si>
  <si>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</si>
  <si>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Johana Reyes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</si>
  <si>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</si>
  <si>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</si>
  <si>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</si>
  <si>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</si>
  <si>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Juan Botero</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</si>
  <si>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</si>
  <si>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</si>
  <si>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</si>
  <si>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</si>
  <si>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Edna Gonzalez</t>
  </si>
  <si>
    <t>943-8</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</si>
  <si>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</si>
  <si>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</si>
  <si>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</si>
  <si>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</si>
  <si>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Prestación de servicios de apoyo a la gestión, en la atención al servicio al ciudadano, teniendo en cuenta los protocolos, procedimientos y lineamientos establecidos por la CVP.</t>
  </si>
  <si>
    <t>CONTRATO DE PRESTACION DE SERVICIOS DE APOYO A LA GESTION</t>
  </si>
  <si>
    <t>TRA-009</t>
  </si>
  <si>
    <t>ALVARO  DAVILA REMOLINA</t>
  </si>
  <si>
    <t>943-10</t>
  </si>
  <si>
    <t>01-Gastos Operativos</t>
  </si>
  <si>
    <t>0754-Actividades para el fortalecimiento de estratégias de comunicación.</t>
  </si>
  <si>
    <t>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t>
  </si>
  <si>
    <t xml:space="preserve">CONTRATO DE PRESTACION DE SERVICIOS </t>
  </si>
  <si>
    <t>Licitacion pública</t>
  </si>
  <si>
    <t>TRA-012</t>
  </si>
  <si>
    <t>943-11</t>
  </si>
  <si>
    <t>Prestar los servicios de divulgación y ejecución de una estrategia de comunicación en los diferentes canales de información masiva, que realice la promoción de cada una de las direcciones misionales de la Caja de la Vivienda Popular, con el fin de dar a conocer los proyectos de la entidad con los sectores objeto de intervención.</t>
  </si>
  <si>
    <t>TRA-013</t>
  </si>
  <si>
    <t>17//09/2018</t>
  </si>
  <si>
    <t>943-12</t>
  </si>
  <si>
    <t>Prestar los servicios profesionales a la Oficina Asesora de Comunicaciones como apoyo en la conceptualización y desarrollo de campañas de comunicación conforme al Plan Estratégico de Comunicaciones de la entidad.</t>
  </si>
  <si>
    <t>TRA-010</t>
  </si>
  <si>
    <t>JOHNNY ALEXANDER RADA ESTEBAN</t>
  </si>
  <si>
    <t>disponible DGC</t>
  </si>
  <si>
    <t>943-13</t>
  </si>
  <si>
    <t>TRA-011</t>
  </si>
  <si>
    <t>MORENO FLOREZ MARIA ANDREA</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</si>
  <si>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</si>
  <si>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</si>
  <si>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</si>
  <si>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</si>
  <si>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2.1.03.01.05.03.01.01.98 
A Otras Entidades No Financieras Municipales y/o Distritales no consideradas Empresas</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</si>
  <si>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</si>
  <si>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</si>
  <si>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</si>
  <si>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</si>
  <si>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</si>
  <si>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</si>
  <si>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</si>
  <si>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</si>
  <si>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</si>
  <si>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</si>
  <si>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</si>
  <si>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</si>
  <si>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</si>
  <si>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</si>
  <si>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</si>
  <si>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</si>
  <si>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</si>
  <si>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</si>
  <si>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</si>
  <si>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</si>
  <si>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</si>
  <si>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</si>
  <si>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</si>
  <si>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</si>
  <si>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</si>
  <si>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</si>
  <si>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</si>
  <si>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</si>
  <si>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</si>
  <si>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</si>
  <si>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</si>
  <si>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</si>
  <si>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</si>
  <si>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</si>
  <si>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</si>
  <si>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</si>
  <si>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</si>
  <si>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</si>
  <si>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</si>
  <si>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</si>
  <si>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</si>
  <si>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</si>
  <si>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</si>
  <si>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</si>
  <si>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</si>
  <si>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</si>
  <si>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</si>
  <si>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</si>
  <si>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</si>
  <si>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</si>
  <si>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81112000                                                81112100</t>
  </si>
  <si>
    <t>A.7.3</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</si>
  <si>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</si>
  <si>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Contrato Interadministrativo</t>
  </si>
  <si>
    <t>TIC-030</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</si>
  <si>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</si>
  <si>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</si>
  <si>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</si>
  <si>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</si>
  <si>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</si>
  <si>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</si>
  <si>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</si>
  <si>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01-Adquisición y/o Producción de Equipos, Materiales, Suministros y Servicios Propios del Sector</t>
  </si>
  <si>
    <t>0366-Adquisición de Equipos, Materiales y Suministros, Software y Otros Servicios para el Fortalecimiento Institucional</t>
  </si>
  <si>
    <t>Adición al contrato 532 de 2017 cuyo objeto es "Prestar el servicio de mantenimiento preventivo y correctivo del sistema de aire  acondicionado tipo mini-Split ubicado en el centro de cómputo de la Caja de la Vivienda Popular"</t>
  </si>
  <si>
    <t>Selección de Minima cuantía</t>
  </si>
  <si>
    <t>1174-17</t>
  </si>
  <si>
    <t>Soporte Mantenimiento y Actualización de Licenciamiento. (Antivirus,  Autocad, 3D Max, Etabs, Adobe Cloude, Carteleras Digitales, ArcGis, CellyCript, Microsoft Office, Windows Server)</t>
  </si>
  <si>
    <t>MAYO</t>
  </si>
  <si>
    <t>1174-18</t>
  </si>
  <si>
    <t>Contratar el servicio de mantenimiento preventivo y correctivo para los equipos de cómputo, servidores, impresoras y escaner de propiedad de la Caja de la Vivienda Popular.</t>
  </si>
  <si>
    <t xml:space="preserve">Selección Abreviada </t>
  </si>
  <si>
    <t>1174-19</t>
  </si>
  <si>
    <t>Contratar la prestación de los servicios de instalación, montaje, desmontaje y mantenimiento de cableado estructurado, de acuerdo con las necesidades establecidas por la Caja de Vivienda Popular.</t>
  </si>
  <si>
    <t>Suministro</t>
  </si>
  <si>
    <t>Selección Abreviada Subasta Inversa</t>
  </si>
  <si>
    <t>TIC-029</t>
  </si>
  <si>
    <t>Traslado de lineas  25,26,27,33,36,38,39,40,41</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</si>
  <si>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</si>
  <si>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</si>
  <si>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</si>
  <si>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</si>
  <si>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 Selección abreviada para la adquisición de bienes y servicio de características técnicas uniformes por compra por catálogo derivado de la celebración de acuerdos marco de precios.</t>
  </si>
  <si>
    <t>TIC-017</t>
  </si>
  <si>
    <t xml:space="preserve">Mediante Ofi. 2018IE1126 solictan que se disminuya la linea 21 y se cree nueva linea , crea la linea 29 por valor de $ 62.302.353,  Se traslada por solictud mediante Ofi. IE6226 la suma de $92,303,874  de la linea No. 21 a la linea No. 26 y se expide viabilidad.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</si>
  <si>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</si>
  <si>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</si>
  <si>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</si>
  <si>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</si>
  <si>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</si>
  <si>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</si>
  <si>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</si>
  <si>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</si>
  <si>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</si>
  <si>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</si>
  <si>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</si>
  <si>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compra venta</t>
  </si>
  <si>
    <t>TIC-023</t>
  </si>
  <si>
    <t>UT   CCE   TECNOLOGICO</t>
  </si>
  <si>
    <t>1174-26</t>
  </si>
  <si>
    <t>Adquisición de buzones de correo electrónico y herramientas de colaboración sobre la plataforma Google por medio del Licenciamiento G Suite para la Caja de la Vivienda Popular</t>
  </si>
  <si>
    <t>TIC-022</t>
  </si>
  <si>
    <t xml:space="preserve"> Se traslada por solictud mediante Ofi. IE6226 la suma de $92,303,874  de la linea No. 21 a la linea No. 26 y se expide viabilidad por $ 25.1903.874 millones .</t>
  </si>
  <si>
    <t>EFORCERS S.A.</t>
  </si>
  <si>
    <t>1174-27</t>
  </si>
  <si>
    <t>SUMINISTRO DE TONNER, CINTAS Y DEMÁS ELEMENTOS REQUERIDOS PARA EQUIPOS DE IMPRESIÓN DE LA CAJA DE LA VIVIENDA POPULAR</t>
  </si>
  <si>
    <t>TIC-026</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</si>
  <si>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</si>
  <si>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</si>
  <si>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</si>
  <si>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</si>
  <si>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</si>
  <si>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</si>
  <si>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</si>
  <si>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</si>
  <si>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 xml:space="preserve">Mediante Ofi. 2018IE1126 solictan que se disminuya la linea 21 y se cree nueva linea , crea la linea 29 por valor de $ 62.302.353  </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</si>
  <si>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</si>
  <si>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</si>
  <si>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</si>
  <si>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</si>
  <si>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</si>
  <si>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</si>
  <si>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</si>
  <si>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 anulada</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</si>
  <si>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</si>
  <si>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</si>
  <si>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</si>
  <si>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</si>
  <si>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</si>
  <si>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</si>
  <si>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</si>
  <si>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SISELCOM SISTEMAS ELECTRICOS Y DE COMUNICACIONES SAS</t>
  </si>
  <si>
    <t>1174-33</t>
  </si>
  <si>
    <t>Adquirir el licenciamiento de Microsoft Office Profesional para uso de la Caja de la Vivienda Popular.</t>
  </si>
  <si>
    <t>mayo</t>
  </si>
  <si>
    <t>TIC-021</t>
  </si>
  <si>
    <t>UT SOFT  IG</t>
  </si>
  <si>
    <t>1174-34</t>
  </si>
  <si>
    <t>TRASLADO A PASIVOS EXIGIBLES</t>
  </si>
  <si>
    <t>1174-35</t>
  </si>
  <si>
    <t>Adición al contrato 666 de 2017 cuyo objeto es "Adquisición de la suscripción de licenciamiento para el software autodesk (autocad, autocad civil 3d y 3ds max) última versión, para uso de la caja de vivienda popular, según especificaciones y cantidades descritas en el anexo técnico."</t>
  </si>
  <si>
    <t xml:space="preserve">ADQUISICIÓN </t>
  </si>
  <si>
    <t>TIC-024 - ANULADA</t>
  </si>
  <si>
    <t>1174-36</t>
  </si>
  <si>
    <t>Adquirir licenciamiento del software ETABS PLUS - NETWORK ULTIMA VERSION, para diseño estructural para uso de la Dirección de Mejoramiento de Vivienda de la Caja de la Vivienda Popular</t>
  </si>
  <si>
    <t>1174-37</t>
  </si>
  <si>
    <t>Adquisición de licenciamiento de Adove Creative Cloud para la generación de piezas comunicativas para uso de la Caja de la Vivienda Popular</t>
  </si>
  <si>
    <t>1174-38</t>
  </si>
  <si>
    <t>Adquisición de licenciamiento cellcrypt enterprise mobile app para la Caja de la Vivienda Popular</t>
  </si>
  <si>
    <t>1174-39</t>
  </si>
  <si>
    <t>Renovación y actualización de licenciamiento para windows server</t>
  </si>
  <si>
    <t>1174-40</t>
  </si>
  <si>
    <t>Renovar el licenciamiento de software Arcview Gis (ARCGIS) para la Caja de la Vivienda Popular</t>
  </si>
  <si>
    <t>Traslado a linea 41 $ 376590</t>
  </si>
  <si>
    <t>1174-41</t>
  </si>
  <si>
    <t>Adición y prorroga al contrato 651 de 2017 cuyo objeto es "Adquirir la renovación del licenciamiento Antivirus ESET ENDPOINT PROTECTION ADVANCED, incluyendo el componente de Seguridad Informatica para prevención de fuga de información, con las condiciones descritas en el documento de estudios previos y anexo técnico."</t>
  </si>
  <si>
    <t>TIC-028</t>
  </si>
  <si>
    <t>Traslado de linea 41 $ 376590</t>
  </si>
  <si>
    <t>1174-42</t>
  </si>
  <si>
    <t>Prestar los servicios de apoyo técnico para la gestión de la oficina tic, en la solución de requerimientos de servicios tecnológicos y soporte técnico presencial para la caja de la vivienda popular</t>
  </si>
  <si>
    <t>TIC-025</t>
  </si>
  <si>
    <t>LUIS GABRIEL BAREÑO ROMERO</t>
  </si>
  <si>
    <t>1174-43</t>
  </si>
  <si>
    <t>Adicción y prórroga al contrato 419 de 2018 cuyo objeto es: “Prestar los servicios profesionales para realizar el soporte, mantenimiento y desarrollo de los aplicativos PERNO de Si-Capital y desprendibles de pago para la Caja de la Vivienda Popular”</t>
  </si>
  <si>
    <t>TIC-031</t>
  </si>
  <si>
    <t>1174-44</t>
  </si>
  <si>
    <t>Adición y prorroga al contrato 714 de 2017 cuyo objeto es "Adquisición del servicio, instalación y puesta en funcionamiento de un Canal de Internet alterno para la Caja de la Vivienda Popular, de conformidad con las características del anexo técnico"</t>
  </si>
  <si>
    <t xml:space="preserve">Minima cuantia  </t>
  </si>
  <si>
    <t>TIC-032</t>
  </si>
  <si>
    <t>Traslado de linea 40 $ 11.666.801</t>
  </si>
  <si>
    <t>1174-45</t>
  </si>
  <si>
    <t>Adición y prorroga al contrato 579 de 2017 cuyo objeto es "Renovar el licenciamiento del sofware Arcview GIS (ArcGIS) para la Caja de la Vivienda Popular"</t>
  </si>
  <si>
    <t>ORDEN DE COMPRA</t>
  </si>
  <si>
    <t>Selección abreviada para la adquisición de bienes y servicio de características técnicas uniformes por compra por catálogo derivado de la celebración de acuerdos marco de precios.</t>
  </si>
  <si>
    <t>TIC-033</t>
  </si>
  <si>
    <t>Traslado de linea 40 $ 47.678.275</t>
  </si>
  <si>
    <t>ESRI COLOMBIA SAS</t>
  </si>
  <si>
    <t>1174-46</t>
  </si>
  <si>
    <t>ENTREGAR EN CALIDAD DE ARRENDAMIENTO UNA (1) UNIDAD DE UN SISTEMA DE ALIMENTACIÓN ININTERRUMPIDA (UPS), PARA LA CAJA DE LA VIVIENDA
POPULAR, DE CONFORMIDAD CON LAS ESPECIFICACIONES DEFINIDAS EN LOS DOCUMENTOS DE ESTUDIOS PREVIOS Y ANEXO TÉCNICO.</t>
  </si>
  <si>
    <t>arrendamiento</t>
  </si>
  <si>
    <t>TIC-034</t>
  </si>
  <si>
    <t>Traslado a linea 40 $ 8339121</t>
  </si>
  <si>
    <t>1174-47</t>
  </si>
  <si>
    <t xml:space="preserve">Adición al contrato 430 de 2018 cuyo objeto es “ Arrendar Equipos Tecnológicos y Periféricos  - ETP, de acuerdo a las especificaciones técnicas del Anexo técnico establecido conforme a las necesidades de la caja de la Vivienda Popular”. </t>
  </si>
  <si>
    <t>TIC-035</t>
  </si>
  <si>
    <t>Traslado a linea 40 $ 12,737,773</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</si>
  <si>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</si>
  <si>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</si>
  <si>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</si>
  <si>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</si>
  <si>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</si>
  <si>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</si>
  <si>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</si>
  <si>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</si>
  <si>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</si>
  <si>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A.17.1 - Procesos integrales de evaluación institucional y reorganización administrativa</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</si>
  <si>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</si>
  <si>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LICITACION PUBLICA</t>
  </si>
  <si>
    <t>REAS-469</t>
  </si>
  <si>
    <t>3075-2</t>
  </si>
  <si>
    <t>DIRECCION DE REASENTAMIENTOS</t>
  </si>
  <si>
    <t>02 Modificación de la Linea</t>
  </si>
  <si>
    <t>03 Eliminación de la Linea</t>
  </si>
  <si>
    <t xml:space="preserve">03 - Recurso Humano </t>
  </si>
  <si>
    <t>04 - Gastos de personal operativo</t>
  </si>
  <si>
    <t>0312 - Personal contratado para apoyar las actividades propias de los proyectos de inversión misionales de la entidad</t>
  </si>
  <si>
    <t>A.7.3 - 
planes y proyectos de mejoramiento de vivienda y saneamiento básico</t>
  </si>
  <si>
    <t>Contratación de Personal</t>
  </si>
  <si>
    <t>CONTRATACION DIRECTA</t>
  </si>
  <si>
    <t>OCTUBRE</t>
  </si>
  <si>
    <t>05 - Adquirir 370 Predios en Alto Riesgo</t>
  </si>
  <si>
    <t>01 - Infraestructura</t>
  </si>
  <si>
    <t>02 - Adquisición de Infrasestructura Propia del sector</t>
  </si>
  <si>
    <t>0027 - Aquisición de predios</t>
  </si>
  <si>
    <t>A.7.6 - 
subsidios para reubicación de viviendas asentadas en zonas alto riesgo</t>
  </si>
  <si>
    <t>Adquisición predial por Decreto 511 de 2010. LOCALIDAD: CIUDAD BOLIVAR; BARRIO: PARAISO QUIBA; ID:2013-Q04-00540</t>
  </si>
  <si>
    <t>RESOLUCION</t>
  </si>
  <si>
    <t>REAS-378</t>
  </si>
  <si>
    <t>SANTIAGO ELIAS CARDONA LOMDOÑO</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</si>
  <si>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</si>
  <si>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</si>
  <si>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</si>
  <si>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</si>
  <si>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</si>
  <si>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</si>
  <si>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REAS-352</t>
  </si>
  <si>
    <t>MARIA CECILIA BERNAL</t>
  </si>
  <si>
    <t>41 - Plusvalia</t>
  </si>
  <si>
    <t>VUR de la actual vigencia. Decreto 255 de 2013. LOCALIDAD: SAN CRISTOBAL; BARRIO: LOS LIBERTADORES; ID: 2017-04-14979</t>
  </si>
  <si>
    <t>REAS-362</t>
  </si>
  <si>
    <t>3075-339</t>
  </si>
  <si>
    <t>MIGUEL AUGUSTO BOBADILLA</t>
  </si>
  <si>
    <t>Reajuste de VUR por avalúo comercial. Decreto 255 de 2013. LOCALIDAD: CIUDAD BOLIVAR; BARRIO: SAN REAFAEL; ID: 2013-Q21-00569</t>
  </si>
  <si>
    <t>REAS-422</t>
  </si>
  <si>
    <t>LUIS ERNESTO CURREA BRAVO</t>
  </si>
  <si>
    <t>Se reintegra saldo por disminución de valor en viabilidad de la linea 3075-411 (CORDIS 2018IE5467)
Se reintegra saldo por anulación de viabilidad REAS-183 de la linea 3075-221 (CORDIS 2018IE8529)</t>
  </si>
  <si>
    <t>03 - Recursos Administrados</t>
  </si>
  <si>
    <t>146 - Recursos del Balance de Libre Destinacion</t>
  </si>
  <si>
    <t>VUR de la actual vigencia. Decreto 255 de 2013. LOCALIDAD: CIUDAD BOLIVAR; BARRIO: SAN FRANCISCO; ID: 2018-Q03-15550</t>
  </si>
  <si>
    <t>REAS-415</t>
  </si>
  <si>
    <t>3075-348</t>
  </si>
  <si>
    <t>ANGIE MARCELA GONZALEZ SASTOQUE</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</si>
  <si>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</si>
  <si>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</si>
  <si>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</si>
  <si>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</si>
  <si>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REAS-162</t>
  </si>
  <si>
    <t>REGISTROS ADICIONALES</t>
  </si>
  <si>
    <t>04 - Investigacion y Estudios</t>
  </si>
  <si>
    <t>03 - Levantamiento y/o actualización de información</t>
  </si>
  <si>
    <t>0040 - Avalúo de Predios</t>
  </si>
  <si>
    <t>Realizar los avalúos comerciales y las tasaciones de daño emergente y lucro cesante de los predios que hacen parte de la acción popular 2009-0036 Sector “Perpetuo Socorro” Localidad 08-Kennedy.</t>
  </si>
  <si>
    <t>CONTRATOS INTERADMINISTRATIVOS</t>
  </si>
  <si>
    <t>JUNIO</t>
  </si>
  <si>
    <t>REAS-421</t>
  </si>
  <si>
    <t>3075-357
 3075-358
 3075-359
 3075-360
3075-361</t>
  </si>
  <si>
    <t>UNIDAD ADMINISTRATIVA ESPECIAL DE CATASTRO DISTRITAL</t>
  </si>
  <si>
    <t>TRASLADO ENTRE CONCEPTOS DE GASTO 0271 A 0040</t>
  </si>
  <si>
    <t xml:space="preserve">A.7.5 - Planes y proyectos para la adquisicón y/o construcción de vivienda
</t>
  </si>
  <si>
    <t xml:space="preserve">Pago de Nómina y Aportes Patronales de Funcionarios de Planta Temporal de la Dirección de Reasentamientos de la Caja de la Vivienda Popular </t>
  </si>
  <si>
    <t>RELACION DE AUTORIZACION</t>
  </si>
  <si>
    <t xml:space="preserve"> SEPTIEMBRE ($158.525.370)
 OCTUBRE ($158.525.370)
NOVIEMBRE ($158.525.370)
 DICIEMBRE ($647.526.163)</t>
  </si>
  <si>
    <t>REAS-181</t>
  </si>
  <si>
    <t>SOLICITUD PARA LIBERACION DE $ 200.000.000 (CORDIS 2018IE11632)</t>
  </si>
  <si>
    <t>Prestación de servicios de apoyo a la gestión en lo relacionado con los trámites requeridos para el manejo de archivo y gestión documental generado desde la Dirección de Reasentamientos de la Caja de la Vivienda Popular.</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</si>
  <si>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</si>
  <si>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</si>
  <si>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</si>
  <si>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</si>
  <si>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</si>
  <si>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</si>
  <si>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</si>
  <si>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</si>
  <si>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</si>
  <si>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</si>
  <si>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</si>
  <si>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</si>
  <si>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</si>
  <si>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</si>
  <si>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</si>
  <si>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</si>
  <si>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</si>
  <si>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</si>
  <si>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</si>
  <si>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</si>
  <si>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</si>
  <si>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</si>
  <si>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</si>
  <si>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</si>
  <si>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</si>
  <si>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</si>
  <si>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</si>
  <si>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</si>
  <si>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</si>
  <si>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</si>
  <si>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</si>
  <si>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</si>
  <si>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</si>
  <si>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</si>
  <si>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</si>
  <si>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</si>
  <si>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</si>
  <si>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</si>
  <si>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</si>
  <si>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</si>
  <si>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</si>
  <si>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</si>
  <si>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</si>
  <si>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</si>
  <si>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</si>
  <si>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</si>
  <si>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</si>
  <si>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</si>
  <si>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</si>
  <si>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</si>
  <si>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</si>
  <si>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</si>
  <si>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</si>
  <si>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</si>
  <si>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</si>
  <si>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</si>
  <si>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</si>
  <si>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</si>
  <si>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</si>
  <si>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</si>
  <si>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</si>
  <si>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</si>
  <si>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</si>
  <si>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</si>
  <si>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</si>
  <si>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</si>
  <si>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</si>
  <si>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</si>
  <si>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</si>
  <si>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</si>
  <si>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</si>
  <si>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</si>
  <si>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</si>
  <si>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</si>
  <si>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</si>
  <si>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</si>
  <si>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</si>
  <si>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</si>
  <si>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</si>
  <si>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</si>
  <si>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</si>
  <si>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</si>
  <si>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</si>
  <si>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</si>
  <si>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</si>
  <si>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</si>
  <si>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</si>
  <si>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</si>
  <si>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</si>
  <si>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</si>
  <si>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</si>
  <si>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</si>
  <si>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</si>
  <si>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</si>
  <si>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</si>
  <si>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</si>
  <si>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</si>
  <si>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</si>
  <si>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</si>
  <si>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</si>
  <si>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</si>
  <si>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</si>
  <si>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</si>
  <si>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</si>
  <si>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</si>
  <si>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</si>
  <si>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</si>
  <si>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</si>
  <si>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</si>
  <si>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</si>
  <si>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</si>
  <si>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</si>
  <si>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</si>
  <si>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</si>
  <si>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</si>
  <si>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</si>
  <si>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</si>
  <si>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</si>
  <si>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</si>
  <si>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</si>
  <si>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</si>
  <si>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</si>
  <si>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</si>
  <si>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</si>
  <si>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</si>
  <si>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</si>
  <si>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</si>
  <si>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</si>
  <si>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</si>
  <si>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</si>
  <si>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</si>
  <si>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</si>
  <si>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</si>
  <si>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</si>
  <si>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</si>
  <si>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</si>
  <si>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</si>
  <si>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</si>
  <si>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</si>
  <si>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</si>
  <si>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</si>
  <si>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</si>
  <si>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</si>
  <si>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</si>
  <si>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</si>
  <si>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</si>
  <si>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</si>
  <si>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</si>
  <si>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</si>
  <si>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</si>
  <si>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</si>
  <si>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</si>
  <si>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</si>
  <si>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</si>
  <si>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</si>
  <si>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</si>
  <si>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</si>
  <si>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</si>
  <si>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</si>
  <si>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</si>
  <si>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</si>
  <si>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</si>
  <si>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</si>
  <si>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</si>
  <si>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</si>
  <si>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</si>
  <si>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</si>
  <si>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</si>
  <si>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</si>
  <si>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</si>
  <si>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</si>
  <si>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</si>
  <si>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</si>
  <si>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</si>
  <si>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</si>
  <si>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</si>
  <si>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</si>
  <si>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</si>
  <si>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</si>
  <si>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</si>
  <si>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</si>
  <si>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</si>
  <si>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</si>
  <si>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</si>
  <si>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</si>
  <si>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</si>
  <si>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</si>
  <si>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</si>
  <si>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</si>
  <si>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</si>
  <si>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</si>
  <si>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</si>
  <si>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</si>
  <si>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</si>
  <si>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</si>
  <si>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</si>
  <si>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</si>
  <si>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</si>
  <si>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</si>
  <si>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</si>
  <si>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</si>
  <si>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</si>
  <si>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</si>
  <si>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</si>
  <si>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</si>
  <si>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</si>
  <si>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</si>
  <si>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Asignación del Instrumento financiero a las familias ocupantes del predio que hayan superado la fase de verificación dentro del marco del Decreto 457 de 2017. LOCALIDAD: KENNEDY; BARRIO: VEREDITAS; ID: 2018-8-384316</t>
  </si>
  <si>
    <t>REAS-394</t>
  </si>
  <si>
    <t>3075-93</t>
  </si>
  <si>
    <t>MARIA MARILI ZEA GUTIERREZ</t>
  </si>
  <si>
    <t>Asignación del Instrumento financiero a las familias ocupantes del predio que hayan superado la fase de verificación dentro del marco del Decreto 457 de 2017. LOCALIDAD: KENNEDY; BARRIO: VEREDITAS; ID: 2018-8-384318</t>
  </si>
  <si>
    <t>REAS-390</t>
  </si>
  <si>
    <t>NIDIA BIBIANA LESMES SANCHEZ</t>
  </si>
  <si>
    <t>Asignación del Instrumento financiero a las familias ocupantes del predio que hayan superado la fase de verificación dentro del marco del Decreto 457 de 2017. LOCALIDAD: KENNEDY; BARRIO: VEREDITAS; ID: 2018-8-384584</t>
  </si>
  <si>
    <t>REAS-391</t>
  </si>
  <si>
    <t>3075-93
3075-94</t>
  </si>
  <si>
    <t>JHOAN ESNEIDER SAMACA ROSERO</t>
  </si>
  <si>
    <t>Asignación del Instrumento financiero a las familias ocupantes del predio que hayan superado la fase de verificación dentro del marco del Decreto 457 de 2017. LOCALIDAD: KENNEDY; BARRIO: VEREDITAS; ID: 2017-8-383735</t>
  </si>
  <si>
    <t>REAS-404</t>
  </si>
  <si>
    <t>3075-94
3075-108</t>
  </si>
  <si>
    <t>YOLIMA GERTRUDIS AGUILAR VELASQUES</t>
  </si>
  <si>
    <t>Se anula la Viabilidad REAS-392 (CORDIS 2018IE6976)</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</si>
  <si>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</si>
  <si>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</si>
  <si>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</si>
  <si>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</si>
  <si>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</si>
  <si>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</si>
  <si>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</si>
  <si>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</si>
  <si>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</si>
  <si>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</si>
  <si>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Garantizar la disponibilidad de personal de apoyo jurídico, técnico, operativo y financiero que adelantará los procesos y acciones en cumplimiento del objeto y obligaciones…</t>
  </si>
  <si>
    <t>REAS-453</t>
  </si>
  <si>
    <t>MARISOL  AMAYA OVIEDO</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</si>
  <si>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</si>
  <si>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</si>
  <si>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</si>
  <si>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</si>
  <si>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</si>
  <si>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</si>
  <si>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</si>
  <si>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</si>
  <si>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</si>
  <si>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</si>
  <si>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</si>
  <si>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</si>
  <si>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</si>
  <si>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</si>
  <si>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</si>
  <si>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</si>
  <si>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</si>
  <si>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</si>
  <si>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</si>
  <si>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profesionals para el acompañamiento jurídico en las actuaciones propias que requiera la Dirección de Reasentamientos de la Caja de la Vivienda Popular</t>
  </si>
  <si>
    <t>REAS-470</t>
  </si>
  <si>
    <t>3075-112
 3075-114
 3075-202</t>
  </si>
  <si>
    <t>MARIENT LORENA PADILLA GARCIA</t>
  </si>
  <si>
    <t>REAS-465</t>
  </si>
  <si>
    <t>NARDA XIMENA HERNANDEZ MARTINEZ</t>
  </si>
  <si>
    <t>Se anula la viabilidad REAS-109 (CORDIS 2018IE11001)</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</si>
  <si>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</si>
  <si>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REAS-317</t>
  </si>
  <si>
    <t>MANUEL CAMILO MARTINEZ OSORIO</t>
  </si>
  <si>
    <t>Valor mes: 2.400.000 x 3 meses</t>
  </si>
  <si>
    <t>REAS-463</t>
  </si>
  <si>
    <t>3075-99
 3075-108
 3075-116</t>
  </si>
  <si>
    <t>RICARDO  PARDO PINZON</t>
  </si>
  <si>
    <t>REAS-454</t>
  </si>
  <si>
    <t>VICTOR MANUEL LOPEZ RINCON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</si>
  <si>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</si>
  <si>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</si>
  <si>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</si>
  <si>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REAS-455</t>
  </si>
  <si>
    <t>HEIDY VANESSA PENAGOS SANDOVAL</t>
  </si>
  <si>
    <t>Prestación de servicios profesionales para el acompañamiento jurídico en las actuaciones propias que requiera la Dirección de Reasentamientos de la Caja de la Vivienda Popular.</t>
  </si>
  <si>
    <t>REAS-456</t>
  </si>
  <si>
    <t>JUAN DAVID CUADROS GARZON</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</si>
  <si>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</si>
  <si>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</si>
  <si>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MARIA CRISTINA FLORIAN RODRIGUEZ</t>
  </si>
  <si>
    <t>Valor mes: 4.890.000 x 3 meses</t>
  </si>
  <si>
    <t>REAS-457</t>
  </si>
  <si>
    <t>MARIA CAROLINA ALVAREZ TECANO</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</si>
  <si>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</si>
  <si>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REAS-460</t>
  </si>
  <si>
    <t>Prestación de servicios de apoyo a la gestión en el componente social de la Dirección d Reasentamientos de la Caja de la Vivienda Popular, para la ejecución de planes y programas agenciados por el área misional.</t>
  </si>
  <si>
    <t>REAS-472</t>
  </si>
  <si>
    <t>OSCAR CAMILO CASTAÑEDA LEON</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</si>
  <si>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</si>
  <si>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</si>
  <si>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</si>
  <si>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</si>
  <si>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</si>
  <si>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</si>
  <si>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</si>
  <si>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</si>
  <si>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</si>
  <si>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</si>
  <si>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</si>
  <si>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</si>
  <si>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</si>
  <si>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</si>
  <si>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</si>
  <si>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</si>
  <si>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</si>
  <si>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</si>
  <si>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</si>
  <si>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</si>
  <si>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</si>
  <si>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</si>
  <si>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</si>
  <si>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</si>
  <si>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</si>
  <si>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</si>
  <si>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</si>
  <si>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</si>
  <si>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</si>
  <si>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</si>
  <si>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</si>
  <si>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</si>
  <si>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</si>
  <si>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</si>
  <si>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</si>
  <si>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</si>
  <si>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</si>
  <si>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</si>
  <si>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</si>
  <si>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</si>
  <si>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</si>
  <si>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</si>
  <si>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</si>
  <si>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</si>
  <si>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</si>
  <si>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</si>
  <si>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</si>
  <si>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</si>
  <si>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</si>
  <si>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</si>
  <si>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</si>
  <si>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</si>
  <si>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</si>
  <si>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</si>
  <si>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</si>
  <si>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</si>
  <si>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</si>
  <si>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</si>
  <si>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</si>
  <si>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</si>
  <si>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</si>
  <si>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</si>
  <si>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</si>
  <si>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</si>
  <si>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</si>
  <si>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</si>
  <si>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</si>
  <si>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</si>
  <si>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</si>
  <si>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</si>
  <si>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</si>
  <si>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</si>
  <si>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</si>
  <si>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</si>
  <si>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</si>
  <si>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</si>
  <si>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</si>
  <si>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</si>
  <si>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</si>
  <si>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</si>
  <si>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</si>
  <si>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</si>
  <si>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</si>
  <si>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</si>
  <si>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</si>
  <si>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</si>
  <si>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</si>
  <si>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</si>
  <si>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</si>
  <si>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</si>
  <si>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</si>
  <si>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</si>
  <si>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</si>
  <si>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</si>
  <si>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</si>
  <si>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</si>
  <si>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</si>
  <si>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</si>
  <si>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</si>
  <si>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</si>
  <si>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</si>
  <si>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</si>
  <si>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</si>
  <si>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</si>
  <si>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</si>
  <si>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</si>
  <si>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Se solicita liberar saldo por liquidación anticipada del contrato (CORDIS 2018IE11582 de 22 Ago 2018) REVISAR PREDIS</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</si>
  <si>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</si>
  <si>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</si>
  <si>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</si>
  <si>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</si>
  <si>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</si>
  <si>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</si>
  <si>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</si>
  <si>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</si>
  <si>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</si>
  <si>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</si>
  <si>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</si>
  <si>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</si>
  <si>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</si>
  <si>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</si>
  <si>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</si>
  <si>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</si>
  <si>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</si>
  <si>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</si>
  <si>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</si>
  <si>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</si>
  <si>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</si>
  <si>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</si>
  <si>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</si>
  <si>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</si>
  <si>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</si>
  <si>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</si>
  <si>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</si>
  <si>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</si>
  <si>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</si>
  <si>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</si>
  <si>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</si>
  <si>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</si>
  <si>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</si>
  <si>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</si>
  <si>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</si>
  <si>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</si>
  <si>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</si>
  <si>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</si>
  <si>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</si>
  <si>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</si>
  <si>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</si>
  <si>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</si>
  <si>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</si>
  <si>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</si>
  <si>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</si>
  <si>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</si>
  <si>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</si>
  <si>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</si>
  <si>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</si>
  <si>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</si>
  <si>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</si>
  <si>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</si>
  <si>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</si>
  <si>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</si>
  <si>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</si>
  <si>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</si>
  <si>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</si>
  <si>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</si>
  <si>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</si>
  <si>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</si>
  <si>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</si>
  <si>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</si>
  <si>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</si>
  <si>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</si>
  <si>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</si>
  <si>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</si>
  <si>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</si>
  <si>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</si>
  <si>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</si>
  <si>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</si>
  <si>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</si>
  <si>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</si>
  <si>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</si>
  <si>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</si>
  <si>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REAS-466</t>
  </si>
  <si>
    <t>3075-114</t>
  </si>
  <si>
    <t>Se anula la viabilidad REAS-117(CORDIS 2018IE11001)</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</si>
  <si>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</si>
  <si>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</si>
  <si>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</si>
  <si>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</si>
  <si>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</si>
  <si>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</si>
  <si>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</si>
  <si>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</si>
  <si>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</si>
  <si>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</si>
  <si>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</si>
  <si>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</si>
  <si>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</si>
  <si>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</si>
  <si>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</si>
  <si>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</si>
  <si>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</si>
  <si>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</si>
  <si>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</si>
  <si>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</si>
  <si>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</si>
  <si>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</si>
  <si>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</si>
  <si>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</si>
  <si>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</si>
  <si>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</si>
  <si>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</si>
  <si>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</si>
  <si>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</si>
  <si>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</si>
  <si>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</si>
  <si>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</si>
  <si>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</si>
  <si>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</si>
  <si>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</si>
  <si>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</si>
  <si>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</si>
  <si>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</si>
  <si>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</si>
  <si>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</si>
  <si>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</si>
  <si>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</si>
  <si>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</si>
  <si>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</si>
  <si>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</si>
  <si>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</si>
  <si>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</si>
  <si>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</si>
  <si>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</si>
  <si>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</si>
  <si>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</si>
  <si>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</si>
  <si>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</si>
  <si>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</si>
  <si>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</si>
  <si>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</si>
  <si>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</si>
  <si>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</si>
  <si>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</si>
  <si>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</si>
  <si>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</si>
  <si>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</si>
  <si>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</si>
  <si>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</si>
  <si>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</si>
  <si>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</si>
  <si>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</si>
  <si>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</si>
  <si>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</si>
  <si>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</si>
  <si>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</si>
  <si>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</si>
  <si>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</si>
  <si>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</si>
  <si>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</si>
  <si>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</si>
  <si>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</si>
  <si>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</si>
  <si>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</si>
  <si>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</si>
  <si>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</si>
  <si>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</si>
  <si>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</si>
  <si>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</si>
  <si>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</si>
  <si>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</si>
  <si>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</si>
  <si>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</si>
  <si>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</si>
  <si>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</si>
  <si>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</si>
  <si>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</si>
  <si>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</si>
  <si>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</si>
  <si>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</si>
  <si>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</si>
  <si>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</si>
  <si>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</si>
  <si>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</si>
  <si>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EUTIMIO  CHAPARRO HUERFANO</t>
  </si>
  <si>
    <t>Ajuste de VUR por Decreto 249 de 2015 (Altos de la Estancia). LOCALIDAD: CIUDAD BOLIVAR; BARRIO: MIRADOR DE LA ESTANCIA; ID: 2012-ALES-69</t>
  </si>
  <si>
    <t>REAS-183
 ANULADA</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</si>
  <si>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</si>
  <si>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</si>
  <si>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</si>
  <si>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</si>
  <si>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</si>
  <si>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</si>
  <si>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</si>
  <si>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</si>
  <si>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</si>
  <si>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</si>
  <si>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</si>
  <si>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</si>
  <si>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</si>
  <si>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</si>
  <si>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</si>
  <si>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</si>
  <si>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</si>
  <si>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</si>
  <si>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</si>
  <si>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</si>
  <si>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</si>
  <si>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</si>
  <si>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</si>
  <si>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</si>
  <si>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</si>
  <si>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</si>
  <si>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MIGUEL JOSE DELGADO</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</si>
  <si>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</si>
  <si>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</si>
  <si>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</si>
  <si>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</si>
  <si>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</si>
  <si>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</si>
  <si>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</si>
  <si>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</si>
  <si>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</si>
  <si>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</si>
  <si>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</si>
  <si>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</si>
  <si>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</si>
  <si>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</si>
  <si>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</si>
  <si>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</si>
  <si>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</si>
  <si>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</si>
  <si>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</si>
  <si>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</si>
  <si>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</si>
  <si>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</si>
  <si>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</si>
  <si>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</si>
  <si>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</si>
  <si>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</si>
  <si>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</si>
  <si>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</si>
  <si>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</si>
  <si>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</si>
  <si>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</si>
  <si>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</si>
  <si>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</si>
  <si>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</si>
  <si>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</si>
  <si>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</si>
  <si>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</si>
  <si>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</si>
  <si>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</si>
  <si>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</si>
  <si>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</si>
  <si>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</si>
  <si>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</si>
  <si>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</si>
  <si>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</si>
  <si>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</si>
  <si>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</si>
  <si>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</si>
  <si>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</si>
  <si>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</si>
  <si>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</si>
  <si>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</si>
  <si>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</si>
  <si>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</si>
  <si>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</si>
  <si>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</si>
  <si>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</si>
  <si>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</si>
  <si>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</si>
  <si>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</si>
  <si>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</si>
  <si>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</si>
  <si>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</si>
  <si>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</si>
  <si>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</si>
  <si>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</si>
  <si>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</si>
  <si>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</si>
  <si>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</si>
  <si>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</si>
  <si>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</si>
  <si>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</si>
  <si>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</si>
  <si>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</si>
  <si>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</si>
  <si>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</si>
  <si>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</si>
  <si>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</si>
  <si>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</si>
  <si>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</si>
  <si>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</si>
  <si>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</si>
  <si>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</si>
  <si>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</si>
  <si>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</si>
  <si>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</si>
  <si>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</si>
  <si>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</si>
  <si>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</si>
  <si>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</si>
  <si>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</si>
  <si>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</si>
  <si>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</si>
  <si>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</si>
  <si>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</si>
  <si>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</si>
  <si>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</si>
  <si>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</si>
  <si>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</si>
  <si>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</si>
  <si>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</si>
  <si>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</si>
  <si>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</si>
  <si>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</si>
  <si>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</si>
  <si>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</si>
  <si>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</si>
  <si>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</si>
  <si>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</si>
  <si>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</si>
  <si>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</si>
  <si>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</si>
  <si>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</si>
  <si>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</si>
  <si>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</si>
  <si>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</si>
  <si>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</si>
  <si>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</si>
  <si>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</si>
  <si>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</si>
  <si>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</si>
  <si>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</si>
  <si>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</si>
  <si>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</si>
  <si>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</si>
  <si>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</si>
  <si>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</si>
  <si>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</si>
  <si>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</si>
  <si>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</si>
  <si>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</si>
  <si>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</si>
  <si>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</si>
  <si>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</si>
  <si>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</si>
  <si>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</si>
  <si>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</si>
  <si>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</si>
  <si>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</si>
  <si>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</si>
  <si>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</si>
  <si>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</si>
  <si>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</si>
  <si>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</si>
  <si>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</si>
  <si>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</si>
  <si>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</si>
  <si>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</si>
  <si>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</si>
  <si>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</si>
  <si>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</si>
  <si>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</si>
  <si>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</si>
  <si>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</si>
  <si>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</si>
  <si>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</si>
  <si>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</si>
  <si>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</si>
  <si>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</si>
  <si>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</si>
  <si>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</si>
  <si>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</si>
  <si>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</si>
  <si>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</si>
  <si>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</si>
  <si>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</si>
  <si>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</si>
  <si>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</si>
  <si>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</si>
  <si>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</si>
  <si>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</si>
  <si>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</si>
  <si>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</si>
  <si>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</si>
  <si>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</si>
  <si>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</si>
  <si>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</si>
  <si>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</si>
  <si>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</si>
  <si>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</si>
  <si>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</si>
  <si>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</si>
  <si>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</si>
  <si>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PAOLA ANDREA GOMEZ RAMIREZ</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</si>
  <si>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</si>
  <si>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</si>
  <si>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</si>
  <si>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</si>
  <si>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</si>
  <si>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</si>
  <si>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</si>
  <si>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</si>
  <si>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EDNA MARGARITA JIMENEZ VEGA</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</si>
  <si>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</si>
  <si>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</si>
  <si>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</si>
  <si>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</si>
  <si>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</si>
  <si>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ARMANDO  LOPERA SANCHEZ</t>
  </si>
  <si>
    <t>Reajuste de VUR por avalúo comercial (Segunda vez). Decreto 255 de 2013. LOCALIDAD: CIUDAD BOLIVAR; BARRIO: POTOSI; ID: 2013000474</t>
  </si>
  <si>
    <t>REAS-264</t>
  </si>
  <si>
    <t>3075-5</t>
  </si>
  <si>
    <t>PABLO ALFONSO LEON ORTIZ</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</si>
  <si>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</si>
  <si>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</si>
  <si>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</si>
  <si>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</si>
  <si>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</si>
  <si>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</si>
  <si>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</si>
  <si>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</si>
  <si>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</si>
  <si>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</si>
  <si>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</si>
  <si>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</si>
  <si>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</si>
  <si>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</si>
  <si>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</si>
  <si>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</si>
  <si>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</si>
  <si>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</si>
  <si>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</si>
  <si>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</si>
  <si>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</si>
  <si>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</si>
  <si>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</si>
  <si>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</si>
  <si>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</si>
  <si>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</si>
  <si>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</si>
  <si>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</si>
  <si>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</si>
  <si>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</si>
  <si>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</si>
  <si>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</si>
  <si>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</si>
  <si>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</si>
  <si>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</si>
  <si>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JEIMY ALEJANDRA RUEDA LEON</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</si>
  <si>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</si>
  <si>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</si>
  <si>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</si>
  <si>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</si>
  <si>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</si>
  <si>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JORGE  LOMBANA MOTTA</t>
  </si>
  <si>
    <t>VUR de la actual vigencia. Decreto 255 de 2013. LOCALIDAD: CHAPINERO; BARRIO: SAN LUIS ALTOS DEL CABO; ID: 2009-2-11209</t>
  </si>
  <si>
    <t>REAS-278</t>
  </si>
  <si>
    <t>GRACIELA  LEGUIZAMON CALDERON</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</si>
  <si>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</si>
  <si>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</si>
  <si>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</si>
  <si>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</si>
  <si>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</si>
  <si>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</si>
  <si>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</si>
  <si>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</si>
  <si>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</si>
  <si>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</si>
  <si>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</si>
  <si>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</si>
  <si>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</si>
  <si>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</si>
  <si>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</si>
  <si>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</si>
  <si>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</si>
  <si>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</si>
  <si>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</si>
  <si>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</si>
  <si>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</si>
  <si>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</si>
  <si>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</si>
  <si>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</si>
  <si>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</si>
  <si>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</si>
  <si>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</si>
  <si>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</si>
  <si>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</si>
  <si>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</si>
  <si>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</si>
  <si>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</si>
  <si>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</si>
  <si>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</si>
  <si>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</si>
  <si>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</si>
  <si>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</si>
  <si>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GINA ESTEPHANIA LESCANO NIÑO</t>
  </si>
  <si>
    <t>01 Creación de la Linea</t>
  </si>
  <si>
    <t>VUR de la actual vigencia. Decreto 255 de 2013. LOCALIDAD: CIUDAD BOLIVAR; BARRIO: POTOSI; ID:2015-Q18-04422</t>
  </si>
  <si>
    <t>REAS-293</t>
  </si>
  <si>
    <t>LUZ DARY TRIANA AGUIAR</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</si>
  <si>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</si>
  <si>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</si>
  <si>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</si>
  <si>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</si>
  <si>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</si>
  <si>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CARLOS  CASTILLO ALMARIO</t>
  </si>
  <si>
    <t>Asignacion del instrumento financiero a las familias ocupantes del predio que hayan superado la fase de verificacion dentro del marco del Decreto 457 de 2017. LOCALIDAD: KENNEDY; BARRIO: VEREDITAS; ID: 2017-8-383653</t>
  </si>
  <si>
    <t>REAS-296</t>
  </si>
  <si>
    <t>JOHN DIDIER TIRADO ROSERO</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</si>
  <si>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</si>
  <si>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</si>
  <si>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</si>
  <si>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</si>
  <si>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</si>
  <si>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</si>
  <si>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</si>
  <si>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</si>
  <si>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</si>
  <si>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ISABEL CRISTINA VARGAS CRISTANCHO</t>
  </si>
  <si>
    <t>REPROGRAMACION (Proyección de Ejecución Febrero 2018)</t>
  </si>
  <si>
    <t>Adquisición predial por Decreto 511 de 2010. LOCALIDAD: USME; BARRIO: YOPAL EL PEDREGAL; ID: 2010-5-11503</t>
  </si>
  <si>
    <t>REAS-426</t>
  </si>
  <si>
    <t>CLAUDIA YIRLEY LEAL CHUNZA</t>
  </si>
  <si>
    <t>Aplicación Decreto 511 de diciembre 14 de 2010 artículo primero que autoriza a la entidad a adquirir los predios de familias localizadas en zonas de alto riesgo no mitigable hasta agotar presupuesto</t>
  </si>
  <si>
    <t>VUR para Reasentamientos de Hogares Localizados en Zonas de Alto Riesgo No Mitigable</t>
  </si>
  <si>
    <t>VUR de la actual vigencia. La asignación se realiza para dar cumplimiento al fallo de acción popular 2002-00152-Suba Gavilanes. Decreto 255 de 2013. LOCALIDAD: SUBA (GAVILANES); BARRIO: BILBAO; ID: 2018-11-15152</t>
  </si>
  <si>
    <t>REAS-387</t>
  </si>
  <si>
    <t>3075-6</t>
  </si>
  <si>
    <t>MARIA DEL CARMEN SUAREZ DE BELLO</t>
  </si>
  <si>
    <t>VUR de la actual vigencia. La asignación se realiza para dar cumplimiento al fallo de acción popular 2002-00152 - Suba Gavilanes. Decreto 255 de 2013. LOCALIDAD: SUBA (GAVILANES); BARRIO: BILBAO; ID:2018-11-15060</t>
  </si>
  <si>
    <t>REAS-396</t>
  </si>
  <si>
    <t>LUIS CARLOS RAMIREZ</t>
  </si>
  <si>
    <t>SIN PROYECCION (Ejecucion sujeta a la expedicion del decreto de actualizacion de VUR</t>
  </si>
  <si>
    <t>VUR de la actual vigencia. La asignación se realiza para dar cumplimiento al fallo de acción popular 2002-00152- Suba Gavilanes. Decreto 255 de 2013. LOCALIDAD: SUBA GAVILANES; BARRIO: SANTA CECILIA; ID: 2018-11-15187</t>
  </si>
  <si>
    <t>REAS-417</t>
  </si>
  <si>
    <t>PETRONILA  CASTILLO</t>
  </si>
  <si>
    <t>VUR de la actual vigencia. La asignación se realiza para dar cumplimiento al fallo de acción popular 2002-00152- Suba Gavilanes. Decreto 255 de 2013. LOCALIDAD: SUBA GAVILANES; BARRIO: SAN PEDRO DE TIBABUYES: ID: 2018-11-15335</t>
  </si>
  <si>
    <t>Reajuste de VUR por avalúo comercial. Decreto 255 de 2013. LOCALIDAD: RAFAEL URIBE URIBE; BARRIO: MARCO FIDEL SUAREZ; ID: 2011-18-13217</t>
  </si>
  <si>
    <t>REAS-423</t>
  </si>
  <si>
    <t>RODRIGO  PARRA MALAVER</t>
  </si>
  <si>
    <t>OF. 6201 - MAYO 4/18
21/06/2018</t>
  </si>
  <si>
    <t xml:space="preserve"> 3/06/18</t>
  </si>
  <si>
    <t>VUR de la actual vigencia. La asignación se realiza para dar cumplimiento al fallo de acción popular 2002-00152- Suba Gavilanes. Decreto 255 de 2013. LOCALIDAD: SUBA GAVILANES; BARRIO: BILVAO; ID: 2018-11-15078</t>
  </si>
  <si>
    <t>REAS-429</t>
  </si>
  <si>
    <t>VICTOR MANUEL ORDOÑEZ MELO</t>
  </si>
  <si>
    <t>VUR de la actual vigencia. La asignación se realiza para dar cumplimiento al fallo de acción popular 2002-00152 - Suba Gavilanes. Decreto 255 de 2013. LOCALIDAD: SUBA GAVILANES; BARRIO: BILBAO; ID: 2018-11-15071</t>
  </si>
  <si>
    <t>REAS-450</t>
  </si>
  <si>
    <t>ELYS MARIA CARBONEL ESTRADA</t>
  </si>
  <si>
    <t>REPROGRAMACION (Proyección de Ejecución Febrero 2018)
Se disminuye lo programado en $460.410.000 (CORDIS 2018IE13462)</t>
  </si>
  <si>
    <t>Reajuste de VUR por avalúo comercial. Decreto 255 de 2013. LOCALIDAD: SAN CRISTOBAL; BARRIO: QUINDIO; ID:2014-Q20-01179</t>
  </si>
  <si>
    <t>REAS-425</t>
  </si>
  <si>
    <t>3075-8</t>
  </si>
  <si>
    <t>LIGIA  ROMERO OLIVEROS</t>
  </si>
  <si>
    <t>VUR de la actual vigencia. La asignación se realiza para dar cumplimiento al fallo de acción popular 2002-00152- Suba Gavilanes. Decreto 255 de 2013. LOCALIDAD: SUBA GAVILANES; BARRIO: BILVAO; ID: 2018-11-15166</t>
  </si>
  <si>
    <t>REAS-439</t>
  </si>
  <si>
    <t>NANCY PATRICIA TALERO ZAMUDIO</t>
  </si>
  <si>
    <t>VUR de la actual vigencia. Decreto 255 de 2013. LOCALIDAD: CIUDAD BOLIVAR; BARRIO: JUAN PABLO II; ID: 2015-Q03-03401</t>
  </si>
  <si>
    <t>REAS-473</t>
  </si>
  <si>
    <t>Reajuste de VUR por avalúo comercial. Decreto 255 de 2013. LOCALIDAD: CIUDAD BOLIVAR; BARRIO: SANTA VIVIANA; ID:2012-ALES-526</t>
  </si>
  <si>
    <t>REAS-482</t>
  </si>
  <si>
    <t>3075-8
3075-352</t>
  </si>
  <si>
    <t>YULI ANDREA GONZALEZ ARDILA</t>
  </si>
  <si>
    <t>SEPTIEMBRE ($120.026.126)
 OCTUBRE ($57.174.750)
 NOVIEMBRE( $195.879.234)</t>
  </si>
  <si>
    <t>REAS-420</t>
  </si>
  <si>
    <t>SIN PROYECCION (Ejecucion sujeta a la entrega de viviendas)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</si>
  <si>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</si>
  <si>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</si>
  <si>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</si>
  <si>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</si>
  <si>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</si>
  <si>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</si>
  <si>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</si>
  <si>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</si>
  <si>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</si>
  <si>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</si>
  <si>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</si>
  <si>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</si>
  <si>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CINDY MARYORY RAMIREZ DURAN</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</si>
  <si>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</si>
  <si>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</si>
  <si>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DIANA CAROLINA RATIVA SANTAFE</t>
  </si>
  <si>
    <t>Asignacion del instrumento financiero a las familias ocupantes del predio que hayan superado la fase de verificacion dentro del marco del Decreto 457 de 2017. LOCALIDAD: KENNEDY; BARRIO: VEREDITAS; ID: 2018-8-384292</t>
  </si>
  <si>
    <t>REAS-302</t>
  </si>
  <si>
    <t>JESUS ENRIQUE BERGAÑO MARTINEZ</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</si>
  <si>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</si>
  <si>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</si>
  <si>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</si>
  <si>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</si>
  <si>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</si>
  <si>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</si>
  <si>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</si>
  <si>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LINA YESSENIA CAMPOS PASTRAN</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</si>
  <si>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</si>
  <si>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</si>
  <si>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LUZ CECILIA MARTINEZ MOSQUERA</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</si>
  <si>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</si>
  <si>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</si>
  <si>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MARIA DEL PILAR FERNANDEZ GARCIA</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</si>
  <si>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</si>
  <si>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</si>
  <si>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</si>
  <si>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</si>
  <si>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MARISOL  DELGADO FANDIÑO</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</si>
  <si>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</si>
  <si>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</si>
  <si>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NATALIA ANDREA MELENDEZ MONTENEGRO</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</si>
  <si>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</si>
  <si>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</si>
  <si>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OSCAR  ROBAYO ULLOA</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</si>
  <si>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</si>
  <si>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</si>
  <si>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SEBASTIAN  HERRERA RAMOS</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</si>
  <si>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</si>
  <si>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</si>
  <si>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</si>
  <si>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TRASLADO PARA PAGO DE PASIVOS EXIGIBLES</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</si>
  <si>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</si>
  <si>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</si>
  <si>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</si>
  <si>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</si>
  <si>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</si>
  <si>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</si>
  <si>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</si>
  <si>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</si>
  <si>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</si>
  <si>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CONSUELO  NAVAS MARTINEZ</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</si>
  <si>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</si>
  <si>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</si>
  <si>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CINDY LORENA MONROY OSSA</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</si>
  <si>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</si>
  <si>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</si>
  <si>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LILIANA  MACHADO BOTERO</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</si>
  <si>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</si>
  <si>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</si>
  <si>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</si>
  <si>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</si>
  <si>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NUBIA YADIRA GARZON VELASQUEZ</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</si>
  <si>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</si>
  <si>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</si>
  <si>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</si>
  <si>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</si>
  <si>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</si>
  <si>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</si>
  <si>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</si>
  <si>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</si>
  <si>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</si>
  <si>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</si>
  <si>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</si>
  <si>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</si>
  <si>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</si>
  <si>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</si>
  <si>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</si>
  <si>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</si>
  <si>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</si>
  <si>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EDGAR NAYID BELLO NAVARRETE</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</si>
  <si>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</si>
  <si>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</si>
  <si>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</si>
  <si>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</si>
  <si>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</si>
  <si>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</si>
  <si>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</si>
  <si>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</si>
  <si>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</si>
  <si>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</si>
  <si>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</si>
  <si>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</si>
  <si>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</si>
  <si>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</si>
  <si>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</si>
  <si>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</si>
  <si>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</si>
  <si>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</si>
  <si>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</si>
  <si>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</si>
  <si>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</si>
  <si>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</si>
  <si>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</si>
  <si>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</si>
  <si>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</si>
  <si>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</si>
  <si>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</si>
  <si>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</si>
  <si>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</si>
  <si>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</si>
  <si>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</si>
  <si>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</si>
  <si>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</si>
  <si>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</si>
  <si>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</si>
  <si>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</si>
  <si>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</si>
  <si>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</si>
  <si>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</si>
  <si>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</si>
  <si>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</si>
  <si>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</si>
  <si>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</si>
  <si>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</si>
  <si>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</si>
  <si>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</si>
  <si>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
 ANULADA</t>
  </si>
  <si>
    <t>740
 ANULADO</t>
  </si>
  <si>
    <t>REAS-382
 ANULADA</t>
  </si>
  <si>
    <t>3075-4
 3075-333</t>
  </si>
  <si>
    <t>SE REALIZA TRASLADO PARA PAGO DE PASIVOS (Acuerdo 05 de 16 de julio de 2018)</t>
  </si>
  <si>
    <t>REAS-405
 ANULADA</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</si>
  <si>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</si>
  <si>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</si>
  <si>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</si>
  <si>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</si>
  <si>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</si>
  <si>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</si>
  <si>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</si>
  <si>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</si>
  <si>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</si>
  <si>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</si>
  <si>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</si>
  <si>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</si>
  <si>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</si>
  <si>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</si>
  <si>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</si>
  <si>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</si>
  <si>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</si>
  <si>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</si>
  <si>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CELENIA  GARCIA JULIO</t>
  </si>
  <si>
    <t>REAS-355</t>
  </si>
  <si>
    <t>CLAUDIA PATRICIA BLANCO GARCIA</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</si>
  <si>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</si>
  <si>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</si>
  <si>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</si>
  <si>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</si>
  <si>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</si>
  <si>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</si>
  <si>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JENNY CATALINA PINZON ZEA</t>
  </si>
  <si>
    <t>VUR de conformidad con el avalúo comercial (Asignación Primera Vez). Decreto 255 de 2013. LOCALIDAD; RAFAEL URIBE URIBE; BARRIO: GRANJAS DE SAN PABLO; ID: 2006-18-8886</t>
  </si>
  <si>
    <t>REAS-358</t>
  </si>
  <si>
    <t>LUIS ALFONSO PARRA BENAVIDES</t>
  </si>
  <si>
    <t>VUR de la actual vigencia (Asignación primera vez). Decreto 255 de 2013. LOCALIDAD: CIUDAD BOLIVAR; BARRIO: PARAISO QUIBA; ID:2014-Q21-00711</t>
  </si>
  <si>
    <t>REAS-359</t>
  </si>
  <si>
    <t>SANDRA YANET PARRA RODRIGUEZ</t>
  </si>
  <si>
    <t>Excedente de VUR por avalúo comercial. Decreto 255 de 2013. LOCALIDAD: SAN CRISTOBAL; BARRIO:QUINDIO; ID:2015-Q20-01326</t>
  </si>
  <si>
    <t>REAS-360</t>
  </si>
  <si>
    <t>RUTH ZAFIR ROJAS CASTILLO</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</si>
  <si>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</si>
  <si>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</si>
  <si>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</si>
  <si>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</si>
  <si>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</si>
  <si>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FRANCELINA  DIAZ RINCON</t>
  </si>
  <si>
    <t>VUR de la actual vigencia. Decreto 255 de 2013. LOCALIDAD: USME; BARRIO: ARRAYANES V; ID:2016-Q05-00003</t>
  </si>
  <si>
    <t>REAS-364</t>
  </si>
  <si>
    <t>BERNARDO  PALOMINO</t>
  </si>
  <si>
    <t>Excedente de VUR por avalúo comercial. Decreto 255 de 2013. LOCALIDAD: SAN CRISTOBAL; BARRIO:LOS LIBERTADORES; ID:2013-Q18-00106</t>
  </si>
  <si>
    <t>REAS-365</t>
  </si>
  <si>
    <t>MARIA CLEMENTINA FIGUEREDO ROJAS</t>
  </si>
  <si>
    <t>Adquisición de mejoras por Decreto 511 de 2010. LOCALIDAD: CIUDAD BOLIVAR; BARRIO: ESPINO III; ID: 2012-ALES-198</t>
  </si>
  <si>
    <t>REAS-366</t>
  </si>
  <si>
    <t>GONZALO  MUÑOZ GORDILLO</t>
  </si>
  <si>
    <t>Adquisición predial por Decreto 511 de 2010. LOCALIDAD: SAN CRISTOBAL;VILLA DEL CERRO; ID: 2015-Q20-01356</t>
  </si>
  <si>
    <t>REAS-367</t>
  </si>
  <si>
    <t>OVIDIO  MORALES MONSALVE</t>
  </si>
  <si>
    <t>Adquisición de mejoras por Decreto 511 de 2010. LOCALIDAD: SAN CRISTOBAL;VILLA DEL CERRO; ID: 2015-Q20-01356</t>
  </si>
  <si>
    <t>Adquisición de mejoras por Decreto 511 de 2010. LOCALIDAD: SANTA FE; BARRIO: SAN FRANCISCO RURAL; ID: 2015-Q24-01531</t>
  </si>
  <si>
    <t>REAS-368</t>
  </si>
  <si>
    <t>LUIS PABLO GARZON RAMIREZ</t>
  </si>
  <si>
    <t>VUR de la actual vigencia. Decreto 255 de 2013. LOCALIDAD: USAQUEN; BARRIO: EL CODITO V; ID:2007-1-10589</t>
  </si>
  <si>
    <t>REAS-369</t>
  </si>
  <si>
    <t>DIOSELINA  ARIAS DE TOVAR</t>
  </si>
  <si>
    <t>Adquisición de mejoras por Decreto 511 de 2010. LOCALIDAD: CIUDAD BOLIVAR; BARRIO: LOS TRES REYES I ETAPA; ID: 2003-19-4556</t>
  </si>
  <si>
    <t>REAS-370</t>
  </si>
  <si>
    <t>JAIRO  BARRERO DIAZ</t>
  </si>
  <si>
    <t>VUR de la actual vigencia. Decreto 255 de 2013. LOCALIDAD: USAQUEN; BARRIO:SANTA CECILIA BAJA; ID:2005-1-7523</t>
  </si>
  <si>
    <t>REAS-371</t>
  </si>
  <si>
    <t>GUSTAVO  LOBATON VARGAS</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</si>
  <si>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</si>
  <si>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</si>
  <si>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</si>
  <si>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</si>
  <si>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</si>
  <si>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ARQUIMEDES  RODRIGUEZ OVIEDO</t>
  </si>
  <si>
    <t>VUR conforme al avalúo comercial. Decreto 255 de 2013 LOCALIDAD: USAQUEN; BARRIO: TIBABITA RURAL; ID:2006-1-7963</t>
  </si>
  <si>
    <t>REAS-374</t>
  </si>
  <si>
    <t>OSCAR MAURICIO MEDINA VARGAS</t>
  </si>
  <si>
    <t>VUR conforme al avalúo comercial. Decreto 255 de 2013 LOCALIDAD: CIUDAD BOLIVAR; BARRIO: RINCON DEL PORVENIR; ID:2005-19-7498</t>
  </si>
  <si>
    <t>REAS-375</t>
  </si>
  <si>
    <t>LEONOR  CHAUTA DE BOHORQUEZ</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</si>
  <si>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</si>
  <si>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</si>
  <si>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</si>
  <si>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</si>
  <si>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</si>
  <si>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</si>
  <si>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</si>
  <si>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LUIS ALBERTO ZAMBRANO LOPEZ</t>
  </si>
  <si>
    <t>VUR de la actual vigencia. Decreto 255 de 2013. LOCALIDAD: SUBA; BARRIO: SAN PEDRO; DE TIBABUYES; ID: 2018-11-15274</t>
  </si>
  <si>
    <t>REAS-380</t>
  </si>
  <si>
    <t>LEONOR  LEON DE GALINDO</t>
  </si>
  <si>
    <t>REAS-381</t>
  </si>
  <si>
    <t>0065 - Decreto 227 de 2015 -
PAIMIS</t>
  </si>
  <si>
    <t>Asignación de recursos equivalentes a 70 salarios minimos legales vigentes, conforme a lo estipulado en el decreto 227 de 2015. LOCALIDAD: KENNEDY; BARRIO: LAS PALMITAS; ID: 2017-08-14939</t>
  </si>
  <si>
    <t>REAS-384</t>
  </si>
  <si>
    <t>3075-342</t>
  </si>
  <si>
    <t>JUAN CARLOS GARCIA</t>
  </si>
  <si>
    <t>Asignación de recursos equivalentes a 70 salarios minimos legales vigentes, conforme a lo estipulado en el decreto 227 de 2015. LOCALIDAD: KENNEDY; BARRIO: LAS PALMITAS; ID: 22016-08-14844</t>
  </si>
  <si>
    <t>REAS-385</t>
  </si>
  <si>
    <t>EDUIN ALBERTO HERNANDEZ SANCHEZ</t>
  </si>
  <si>
    <t>Recursos para amparar traslado presupuestal</t>
  </si>
  <si>
    <t>REAS-386
 ANULADA</t>
  </si>
  <si>
    <t>3075-354</t>
  </si>
  <si>
    <t>Aprobado por el Consejo Directivo a través del Acuerdo 04 de 8 de junio de 2018 (incorporado en PREDIS el 19 de junio de 2018)</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</si>
  <si>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</si>
  <si>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</si>
  <si>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</si>
  <si>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</si>
  <si>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YENIFER GABRIELA ORJUELA PACHECO</t>
  </si>
  <si>
    <t>VUR de la actual vigencia. La asignación se realiza para dar cumplimiento al fallo de acción popular 2002-00152-Suba Gavilanes. Decreto 255 de 2013. LOCALIDAD: SUBA (GAVILANES); BARRIO: SANTA CECILIA; ID: 2018-11-15198</t>
  </si>
  <si>
    <t>REAS-388</t>
  </si>
  <si>
    <t>3075-339
3075-340</t>
  </si>
  <si>
    <t>FLOR ELISA ULLOA PUENTES</t>
  </si>
  <si>
    <t>Asignación del Instrumento financiero a las familias ocupantes del predio que hayan superado la fase de verificación dentro del marco del Decreto 457 de 2017. LOCALIDAD: KENNEDY; BARRIO: VEREDITAS; ID: 2018-08-384308</t>
  </si>
  <si>
    <t>REAS-393</t>
  </si>
  <si>
    <t>3075-92</t>
  </si>
  <si>
    <t>LUZ KATHERINE TAMAYO HERNANDEZ</t>
  </si>
  <si>
    <t>Asignación del Instrumento financiero a las familias ocupantes del predio que hayan superado la fase de verificación dentro del marco del Decreto 457 de 2017. LOCALIDAD: KENNEDY; BARRIO: VEREDITAS; ID: 2018-8-384317</t>
  </si>
  <si>
    <t>REAS-395</t>
  </si>
  <si>
    <t>CESAR ANDRES BARON LESMES</t>
  </si>
  <si>
    <t>VUR de la actual vigencia. La asignación se realiza para dar cumplimiento al fallo de acción popular 2002-00152 - Suba Gavilanes. Decreto 255 de 2013. LOCALIDAD: SUBA (GAVILANES); BARRIO: SANTA CECILIA; ID:2018-11-15140</t>
  </si>
  <si>
    <t>REAS-397</t>
  </si>
  <si>
    <t>3075-340</t>
  </si>
  <si>
    <t>LUZ MARINA ZEA GUTIERREZ</t>
  </si>
  <si>
    <t>VUR de la actual vigencia. La asignación se realiza para dar cumplimiento al fallo de acción popular 2002-00152 - Suba Gavilanes. Decreto 255 de 2013. LOCALIDAD: SUBA (GAVILANES); BARRIO: SANTA CECILIA; ID:2018-11-15186</t>
  </si>
  <si>
    <t>REAS-398
 ANULADA</t>
  </si>
  <si>
    <t>840
  ANULADO</t>
  </si>
  <si>
    <t>VUR de la actual vigencia. La asignación se realiza para dar cumplimiento al fallo de acción popular 2002-00152 - Suba Gavilanes. Decreto 255 de 2013. LOCALIDAD: SUBA (GAVILANES); BARRIO: SANTA CECILIA; ID:2018-11-15195</t>
  </si>
  <si>
    <t>REAS-399</t>
  </si>
  <si>
    <t>3075-340
3075-341</t>
  </si>
  <si>
    <t>BELEN  CASTAÑEDA</t>
  </si>
  <si>
    <t>VUR de la actual vigencia. La asignación se realiza para dar cumplimiento al fallo de acción popular 2002-00152 - Suba Gavilanes. Decreto 255 de 2013. LOCALIDAD: SUBA (GAVILANES); BARRIO: SANTA CECILIA; ID:2018-11-15214</t>
  </si>
  <si>
    <t>REAS-400</t>
  </si>
  <si>
    <t>3075-341</t>
  </si>
  <si>
    <t>BLANCA NORA MONTENEGRO</t>
  </si>
  <si>
    <t>VUR de la actual vigencia. La asignación se realiza para dar cumplimiento al fallo de acción popular 2002-00152 - Suba Gavilanes. Decreto 255 de 2013. LOCALIDAD: SUBA (GAVILANES); BARRIO: SANTA CECILIA; ID:2018-11-15303</t>
  </si>
  <si>
    <t>REAS-401</t>
  </si>
  <si>
    <t>LETICIA  FIERRO GARRIDO</t>
  </si>
  <si>
    <t>VUR de la actual vigencia. Decreto 255 de 2013. LOCALIDAD: CIUDAD BOLIVAR; BARRIO: EL MOCHUELO II; ID: 2015-Q09-03242</t>
  </si>
  <si>
    <t>REAS-402</t>
  </si>
  <si>
    <t>JOSE ALEXANDER MORALES MORALES</t>
  </si>
  <si>
    <t>VUR de la actual vigencia. Decreto 255 de 2013. LOCALIDAD: SAN CRISTOBAL; BARRIO: CANADA O GUIRA; ID: 2015-Q20-03845</t>
  </si>
  <si>
    <t>REAS-403</t>
  </si>
  <si>
    <t>ROSA ANTONIA VILLAMIL BUITRAGO</t>
  </si>
  <si>
    <t>REAS-406
 ANULADA</t>
  </si>
  <si>
    <t>3075-411</t>
  </si>
  <si>
    <t>VUR de la actual vigencia. Decreto 255 de 2013. LOCALIDAD: SAN CRISTOBAL; BARRIO: MONTEBELLO; ID: 2010-4-11860</t>
  </si>
  <si>
    <t>REAS-407</t>
  </si>
  <si>
    <t>ANA ZORAIDA LEGUIZAMON PICON</t>
  </si>
  <si>
    <t>VUR de la actual vigencia. Decreto 255 de 2013. LOCALIDAD: CIUDAD BOLIVAR; BARRIO: JUAN PABLO II; ID: 2015-Q03-03414</t>
  </si>
  <si>
    <t>REAS-408</t>
  </si>
  <si>
    <t>REINA DOLORES ORDOÑEZ NAVARRO</t>
  </si>
  <si>
    <t>Adquisción predial por Decreto 511 de 2010. LOCALIDAD: RAFAEL URIBE; BARRIO: MADRID; ID: 2004-18-5522</t>
  </si>
  <si>
    <t>REAS-409</t>
  </si>
  <si>
    <t>3075-333</t>
  </si>
  <si>
    <t>JOSE NELSON QUITIAN SANTAMARIA</t>
  </si>
  <si>
    <t>Adquisción predial por Decreto 511 de 2010. LOCALIDAD: CIUDAD BOLIVAR; BARRIO: PARAISO QUIBA; ID: 2013-Q04-00760</t>
  </si>
  <si>
    <t>REAS-410</t>
  </si>
  <si>
    <t>LUIS FRANCISCO PULIDO GONZALEZ</t>
  </si>
  <si>
    <t>Adquisción predial por Decreto 511 de 2010. LOCALIDAD: USAQUEN; BARRIO: EL CODITO; ID: 2006-1-7979</t>
  </si>
  <si>
    <t>REAS-411</t>
  </si>
  <si>
    <t>LUZ MARINA VARGAS</t>
  </si>
  <si>
    <t>Adquisición Predial por Decreto 511 de 2010. LOCALIDAD: USME; BARRIO: SAN JUAN DE USME; ID: 2010-5-11488</t>
  </si>
  <si>
    <t>REAS-412</t>
  </si>
  <si>
    <t>MARIA ROSMIRA ROJAS DE CEBALLOS</t>
  </si>
  <si>
    <t>VUR de la actual vigencia. Decreto 255 de 2013. LOCALIDAD: CIUDAD BOLIVAR; BARRIO: SAN FRANCISCO; ID: 2015-Q03-03557</t>
  </si>
  <si>
    <t>REAS-413</t>
  </si>
  <si>
    <t>MARIA NELCY SASTOQUE VARGAS</t>
  </si>
  <si>
    <t>VUR de la actual vigencia. Decreto 255 de 2013. LOCALIDAD: CIUDAD BOLIVAR; BARRIO: EL MOCHUELO; ID: 2015-Q09-03189</t>
  </si>
  <si>
    <t>REAS-414</t>
  </si>
  <si>
    <t>MARIA TERESA GARZON PATIÑO</t>
  </si>
  <si>
    <t>VUR de la actual vigencia. Decreto 255 de 2013. LOCALIDAD: CIUDAD BOLIVAR; BARRIO SAN FRANCISCO; ID: 2018-Q03-15552</t>
  </si>
  <si>
    <t>REAS-416</t>
  </si>
  <si>
    <t>WILLIAM ALEXANDER GONZALEZ SASTOQUE</t>
  </si>
  <si>
    <t>VUR de la actual vigencia. La asignación se realiza para dar cumplimiento al fallo de acción popular 2002-00152- Suba Gavilanes. Decreto 255 de 2013. LOCALIDAD: SUBA GAVILANES; BARRIO: SAN PEDRO DE TIBABUYES; ID: 2018-11-15335</t>
  </si>
  <si>
    <t>REAS-418</t>
  </si>
  <si>
    <t>3075-7
3075-342</t>
  </si>
  <si>
    <t>OCTAVIO  ARIAS SOSSA</t>
  </si>
  <si>
    <t>VUR de la actual vigencia. La asignación se realiza para dar cumplimiento al fallo de acción popular 2002-00152- Suba Gavilanes. Decreto 255 de 2013. LOCALIDAD: SUBA GAVILANES; BARRIO: SANTA CECILIA; ID: 2018-11-15362</t>
  </si>
  <si>
    <t>REAS-419</t>
  </si>
  <si>
    <t>TERESA DE JESUS ZAMUDIO SIABATO</t>
  </si>
  <si>
    <t>Reajuste de VUR por avalúo comercial. Decreto 255 de 2013. LOCALIDAD: SAN CRISTOBAL; BARRIO: LA GLORIA ORIENTAL; ID: 2014-Q20-01220</t>
  </si>
  <si>
    <t>REAS-424</t>
  </si>
  <si>
    <t>JORGE ENRIQUE MORENO OSORIO</t>
  </si>
  <si>
    <t>Adquisición predial por Decreto 511 de 2010. LOCALIDAD: CIUDAD BOLIVAR; BARRIO: SANTO DOMINGO; ID: 2012-ALES-311</t>
  </si>
  <si>
    <t>REAS-427</t>
  </si>
  <si>
    <t>GERMAN  DIAZ AGUILAR</t>
  </si>
  <si>
    <t>VUR de la actual vigencia. La asignación se realizapara dar cumplimiento al fallo de acción popular 2002-00152 - Suba Gavilanes. Decreto 255 de 2013. LOCALIDAD: SUBA GAVILANES; BARRIO: BILVAO; ID: 2018-11-15064</t>
  </si>
  <si>
    <t>REAS-428</t>
  </si>
  <si>
    <t>3075-343
 3075-344</t>
  </si>
  <si>
    <t>LILIANA  RODRIGUEZ TOLOSA</t>
  </si>
  <si>
    <t>VUR de la actual vigencia. La asignación se realizapara dar cumplimiento al fallo de acción popular 2002-00152 - Suba Gavilanes. Decreto 255 de 2013. LOCALIDAD: SUBA GAVILANES; BARRIO: SANTA CECILIA; ID: 2018-11-15165</t>
  </si>
  <si>
    <t>REAS-430</t>
  </si>
  <si>
    <t>3075-344</t>
  </si>
  <si>
    <t>LUIS ERNESTO CASTAÑEDA SANABRIA</t>
  </si>
  <si>
    <t>VUR de la actual vigencia. La asignación se realizapara dar cumplimiento al fallo de acción popular 2002-00152 - Suba Gavilanes. Decreto 255 de 2013. LOCALIDAD: SUBA GAVILANES; BARRIO: SANTA CECILIA; ID: 2018-11-15171</t>
  </si>
  <si>
    <t>REAS-431
 ANULADA</t>
  </si>
  <si>
    <t>920
 ANULADO</t>
  </si>
  <si>
    <t>VUR de la actual vigencia. La asignación se realizapara dar cumplimiento al fallo de acción popular 2002-00152 - Suba Gavilanes. Decreto 255 de 2013. LOCALIDAD: SUBA GAVILANES; BARRIO: SANTA CECILIA; ID: 2018-11-15173</t>
  </si>
  <si>
    <t>REAS-432</t>
  </si>
  <si>
    <t>LEONARDO  VARELA</t>
  </si>
  <si>
    <t>VUR de la actual vigencia. La asignación se realizapara dar cumplimiento al fallo de acción popular 2002-00152 - Suba Gavilanes. Decreto 255 de 2013. LOCALIDAD: SUBA GAVILANES; BARRIO: SANTA CECILIA; ID: 2018-11-15196</t>
  </si>
  <si>
    <t>REAS-433</t>
  </si>
  <si>
    <t>3075-344
 3075-345</t>
  </si>
  <si>
    <t>HILDA MARIA ROJAS DE PEÑUELA</t>
  </si>
  <si>
    <t>VUR de la actual vigencia. La asignación se realizapara dar cumplimiento al fallo de acción popular 2002-00152 - Suba Gavilanes. Decreto 255 de 2013. LOCALIDAD: SUBA GAVILANES; BARRIO: SAN PEDRO; ID: 2018-11-15297</t>
  </si>
  <si>
    <t>REAS-434</t>
  </si>
  <si>
    <t>3075-345</t>
  </si>
  <si>
    <t>JORGE ARMANDO FLORIAN FLORIAN</t>
  </si>
  <si>
    <t>VUR de la actual vigencia. La asignación se realizapara dar cumplimiento al fallo de acción popular 2002-00152 - Suba Gavilanes. Decreto 255 de 2013. LOCALIDAD: SUBA GAVILANES; BARRIO: BILVAO; ID: 2018-11-15120</t>
  </si>
  <si>
    <t>REAS-435</t>
  </si>
  <si>
    <t>JAIME ENRIQUE TAMBO CAMARGO</t>
  </si>
  <si>
    <t>Adquisición predial Decreto 511 de 2010. LOCALIDAD: CIUDAD BOLIVAR; BARRIO: PARAISO QUIBA; ID: 2013-Q04-00281</t>
  </si>
  <si>
    <t>REAS-436</t>
  </si>
  <si>
    <t>3075-333
 3075-334</t>
  </si>
  <si>
    <t>MARIA MERCEDES PEDRAZA CASTELLANOS</t>
  </si>
  <si>
    <t>Prestacion de servicios profesionales para el acompañamiento jurídico, en los procesos y procedimientos establecidos frente a la ejecución del programa misional de la Dirección de Reasentamientos de la Caja de la Vivienda Popular.</t>
  </si>
  <si>
    <t>REAS-437</t>
  </si>
  <si>
    <t>3075-50</t>
  </si>
  <si>
    <t>JUDY ANDREA ESPAÑOL FLOREZ</t>
  </si>
  <si>
    <t>Adquisición predial por Decreto 511 de 2010, de conformidad con solicitud realizada por el Dr. Miguel Perdomo, quien entrará a modificar la resolución No. 4003 del 20 de septiembre de 2017. LOCALIDAD: CIUDAD BOLIVAR; BARRIO: DIVINO NIÑO; ID: 2009-19-11128</t>
  </si>
  <si>
    <t>REAS-438</t>
  </si>
  <si>
    <t>3075-334</t>
  </si>
  <si>
    <t>MARIA ASCENETH DUQUE MARIN</t>
  </si>
  <si>
    <t>VUR de la actual vigencia. La asignación se realiza para dar cumplimiento al fallo de acción popular 2002-00152- Suba Gavilanes. Decreto 255 de 2013. LOCALIDAD: SUBA GAVILANES; BARRIO: BILVAO; ID: 2018-11-15258</t>
  </si>
  <si>
    <t>REAS-440</t>
  </si>
  <si>
    <t>3075-349</t>
  </si>
  <si>
    <t>ANA LUCIA GONZALEZ PARRA</t>
  </si>
  <si>
    <t>VUR de la actual vigencia. La asignación se realiza para dar cumplimiento al fallo de acción popular 2002-00152- Suba Gavilanes. Decreto 255 de 2013. LOCALIDAD: SUBA GAVILANES; BARRIO: SANTA RITA; ID: 2018-11-15354</t>
  </si>
  <si>
    <t>REAS-441</t>
  </si>
  <si>
    <t>3075-349
 3075-350</t>
  </si>
  <si>
    <t>BLANCA NELLY URBANO BAUTISTA</t>
  </si>
  <si>
    <t>Adquisición Predial por Decreto 511 de 2010. LOCALIDAD: CIUDAD BOLIVAR; BARRIO: VILLA GLORIA; ID: 2014-Q21-00936</t>
  </si>
  <si>
    <t>REAS-442</t>
  </si>
  <si>
    <t>ROMELIO  RODRIGUEZ RODRIGUEZ</t>
  </si>
  <si>
    <t>Adquisición Predial por Decreto 511 de 2010. LOCALIDAD: SAN CRISTOBAL; BARRIO: VILLA DEL CERRO; ID: 2015-Q24-04224</t>
  </si>
  <si>
    <t>REAS-443</t>
  </si>
  <si>
    <t>JOSE PASCUAL RISCANEVO</t>
  </si>
  <si>
    <t>VUR de la actual vigencia. Decreto 255 de 2013. LOCALIDAD: CIUDAD BOLIVAR; BARRIO: LAS BRISAS; ID: 2015-Q18-04433</t>
  </si>
  <si>
    <t>REAS-444</t>
  </si>
  <si>
    <t>3075-350</t>
  </si>
  <si>
    <t>JORGE HUMBERTO SILVA RAMIREZ</t>
  </si>
  <si>
    <t>Reajuste de VUR por avalúo comercial. Decreto 255 de 2013. LOCALIDAD: CIUDAD BOLIVAR; BARRIO: MIRADOR 3; ID: 2017-19-14976</t>
  </si>
  <si>
    <t>REAS-445</t>
  </si>
  <si>
    <t>Reajuste de VUR por avalúo comercial. Decreto 255 de 2013. LOCALIDAD: CIUDAD BOLIVAR; BARRIO: JUAN PABLO II; ID: 2013000508</t>
  </si>
  <si>
    <t>REAS-446</t>
  </si>
  <si>
    <t>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t>
  </si>
  <si>
    <t>REAS-447</t>
  </si>
  <si>
    <t>3075-52</t>
  </si>
  <si>
    <t>ELIA BEATRIZ SAMPAYO MEZA</t>
  </si>
  <si>
    <t>VUR de la actual vigencia. La asignación se realiza para dar cumplimiento al fallo de acción popular 2002-00152 - Suba Gavilanes. Decreto 255 de 2013. LOCALIDAD: SUBA GAVILANES; BARRIO: BILBAO; ID: 2018-11-15243</t>
  </si>
  <si>
    <t>REAS-448</t>
  </si>
  <si>
    <t>3075-7
 3075-345</t>
  </si>
  <si>
    <t>MARIA INES URIBE</t>
  </si>
  <si>
    <t>Prestacion de servicios profesionales en el componente social de la Dirección de Reasentamientos de la Caja de la Vivienda Popular, para la ejecución de planes y programas agenciados por el área misional</t>
  </si>
  <si>
    <t>REAS-449</t>
  </si>
  <si>
    <t>CAROLINA MARIA QUIMBAYA NOCHES</t>
  </si>
  <si>
    <t xml:space="preserve">Realizar los avalúos comerciales de los predios que hacen parte del programa de Reasentamientos y del proceso de adquisición predial de la Dirección de Reasentamientos de la Caja de la Vivienda Popular </t>
  </si>
  <si>
    <t>REAS-451</t>
  </si>
  <si>
    <t>REAS-452</t>
  </si>
  <si>
    <t>REAS-458</t>
  </si>
  <si>
    <t>3075-117</t>
  </si>
  <si>
    <t>REAS-459</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</si>
  <si>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</si>
  <si>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REAS-461</t>
  </si>
  <si>
    <t>MARIA ISABEL BARRERA CATAÑO</t>
  </si>
  <si>
    <t>REAS-462</t>
  </si>
  <si>
    <t>DIANA PAOLA CASTIBLANCO VENEGAS</t>
  </si>
  <si>
    <t>REAS-464</t>
  </si>
  <si>
    <t>3075-98
 3075-100
 3075-116</t>
  </si>
  <si>
    <t>REAS-467</t>
  </si>
  <si>
    <t>3075-184</t>
  </si>
  <si>
    <t>REAS-468</t>
  </si>
  <si>
    <t>3075-115
 3075-118
 3075-120
 3075-184
 3075-202</t>
  </si>
  <si>
    <t>Prestación de servicios profesionales para el acompañamiento jurídico en las actuaciones propias que requiera la Dirección de Reasentamientos de la Caja de la Vivienda Popular</t>
  </si>
  <si>
    <t>REAS-471</t>
  </si>
  <si>
    <t>3075-13
 3075-50
 3075-58
3075-69
 3075-87
 3075-88
 3075-89</t>
  </si>
  <si>
    <t>NATALIA  VELEZ DIAZ</t>
  </si>
  <si>
    <t>VUR de la actual vigencia. Decreto 255 de 2013. LOCALIDAD: SAN CRISTOBAL; BARRIO: MONTEBELLO; ID: 2010-4-11864</t>
  </si>
  <si>
    <t>REAS-474</t>
  </si>
  <si>
    <t>3075-350
 3075-351</t>
  </si>
  <si>
    <t>EFRAIN  ORJUELA</t>
  </si>
  <si>
    <t>VUR de la actual vigencia. Decreto 255 de 2013. LOCALIDAD: CIUDAD BOLIVAR; BARRIO: PARAISO QUIBA; ID: 2015-Q04-03686</t>
  </si>
  <si>
    <t>REAS-475</t>
  </si>
  <si>
    <t>3075-351</t>
  </si>
  <si>
    <t>MARGOTH  SANCHEZ NARVAEZ</t>
  </si>
  <si>
    <t>Reajuste de VUR de la actual vigencia. Decreto 249 de 2015 - Altos de la Estancia. LOCALIDAD: CIUDAD BOLIVAR; BARRIO: EL ESPINO III; ID: 2012-ALES-409</t>
  </si>
  <si>
    <t>REAS-476</t>
  </si>
  <si>
    <t>Prórroga y Adición al Contrato No. 319 de 2018 cuyo objeto es: "Prestación de servicios profesionales, para el acompañamiento jurídico en los procesos y procedimientos establecidos frente a la ejecución del programa misional de la Dirección de Reasentamientos de la Caja de la Vivienda Popular"</t>
  </si>
  <si>
    <t>REAS-477</t>
  </si>
  <si>
    <t>Adqusición Predial por Decreto 511 de 2010. LOCALIDAD: CIUDAD BOLIVAR; BARRIO: SOTAVENTO; ID:2004-19-5525</t>
  </si>
  <si>
    <t>REAS-478</t>
  </si>
  <si>
    <t>HECTOR  CONTRERAS MONRROY</t>
  </si>
  <si>
    <t>Adqusición Predial por Decreto 511 de 2010. LOCALIDAD: CIUDAD BOLIVAR; BARRIO:TIERRA LINDA; ID:2012-19-14242</t>
  </si>
  <si>
    <t>REAS-479</t>
  </si>
  <si>
    <t>MARIA ORLINDA ORTIZ DE RUIZ</t>
  </si>
  <si>
    <t>Adqusición Predial por Decreto 511 de 2010. LOCALIDAD: CIUDAD BOLIVAR; BARRIO:EL MIRADOR 3; ID:2017-19-14953</t>
  </si>
  <si>
    <t>REAS-480</t>
  </si>
  <si>
    <t>Reajuste de VUR por avalúo comercial. (Decreto 255 de 2013). LOCALIDAD: RAFAEL URIBE URIBE; BARRIO: PLAYÓN LA PLAYITA III SECTOR; ID: 2017-18-14937</t>
  </si>
  <si>
    <t>REAS-481</t>
  </si>
  <si>
    <t>ROSENDO  SANCHEZ</t>
  </si>
  <si>
    <t>Reajuste de VUR por avalúo comercial. Decreto 255 de 2013. LOCALIDAD: CIUDAD BOLIVAR; BARRIO: BOGOTA 1ER SECTOR; ID:2013-Q07-00064</t>
  </si>
  <si>
    <t>REAS-483</t>
  </si>
  <si>
    <t>Adquisición Predial por Decreto 511 de 2010. LOCALIDAD: SAN CRISTOBAL; BARRIO: QUINDIO; ID: 2015-Q20-01343</t>
  </si>
  <si>
    <t>REAS-484</t>
  </si>
  <si>
    <t>3 meses y 20 días</t>
  </si>
  <si>
    <t>REAS-485</t>
  </si>
  <si>
    <t>3075-11</t>
  </si>
  <si>
    <t>Prestación de servicios profesionales para el acompañamiento en la ejecución de las diferentes actividades relacionadas con el componente técnico de la Dirección de Reasentamientos de la Caja de la Vivienda Popular.</t>
  </si>
  <si>
    <t>REAS-486</t>
  </si>
  <si>
    <t>REAS-487</t>
  </si>
  <si>
    <t>REAS-488</t>
  </si>
  <si>
    <t xml:space="preserve">Prestación de servicios profesionales, como apoyo jurídico en las actuaciones propias que requiera la Dirección de Reasentamientos de la Caja de la Vivienda Popular en la ejecución del programa de Reasentamientos </t>
  </si>
  <si>
    <t>REAS-489</t>
  </si>
  <si>
    <t>REAS-490</t>
  </si>
  <si>
    <t>REAS-491</t>
  </si>
  <si>
    <t>Prestación de servicios de apoyo a la gestión en lo relacionado con el componente social de la Dirección de Reasentamientos de la Caja de la Vivienda Popular, para la ejecución de planes y programas agenciados por el área misional.</t>
  </si>
  <si>
    <t>REAS-492</t>
  </si>
  <si>
    <t>VIVIANA ISABEL GUTIERREZ QUIÑONEZ</t>
  </si>
  <si>
    <t>Prestación de servicios profesionales, en temas relacionados con el componente social apoyando procesos y procedimientos propios de la Dirección de Reasentamientos de la Caja de la Vivienda Popular.</t>
  </si>
  <si>
    <t>REAS-493</t>
  </si>
  <si>
    <t>OLGA LUCIA BONILLA SEBA</t>
  </si>
  <si>
    <t>REAS-494</t>
  </si>
  <si>
    <t>CARLOS MAURICIO SOLANO OCAMPO</t>
  </si>
  <si>
    <t>REAS-495</t>
  </si>
  <si>
    <t>VUR de la actual vigencia. La asignación se realiza para dar cumplimiento al fallo de acción popular 2002-00152 - Suba Gavilanes. LOCALIDAD: SUBA (GAVILANES); BARRIO: BILVAO; ID: 2018-11-15259</t>
  </si>
  <si>
    <t>REAS-496</t>
  </si>
  <si>
    <t>VUR de la actual vigencia. Decreto 255 de 2013. LOCALIDAD: CIUDAD BOLIVAR; BARRIO: LUCERO SUR BAJO; ID: 2017-Q23-15008</t>
  </si>
  <si>
    <t>REAS-497</t>
  </si>
  <si>
    <t>3075-338</t>
  </si>
  <si>
    <t>Asignación de 70 SMLMV según Decreto 249 de 2015 (Altos de la Estancia). LOCALIDAD: CIUDAD BOLIVAR; BARRIO: EL ESPINO III; ID: 2012- ALES-91.</t>
  </si>
  <si>
    <t>REAS-498</t>
  </si>
  <si>
    <t>Recursos faltantes para completar el VUR, de conformidad con el avalúo comercial Dto. 255 de 2013. LOCALIDAD: CIUDAD BOLIVAR; BARRIO: JUAN PABLO II; ID: 2013000508</t>
  </si>
  <si>
    <t>REAS-499</t>
  </si>
  <si>
    <t>3075-352</t>
  </si>
  <si>
    <t>Prorroga y adición al Contrato de prestación de servicios No. 370 de 2018 que tiene por objeto: “Prestación de servicios profesionales en la implementación de módulos alfanuméricos y geográficos para el Sistema de Información Geográfica de la Dirección de Reasentamientos de la Caja de la Vivienda Popular.”</t>
  </si>
  <si>
    <t>REAS-500</t>
  </si>
  <si>
    <t>3075-16</t>
  </si>
  <si>
    <t>REAS-502</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</si>
  <si>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</si>
  <si>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REAS-503</t>
  </si>
  <si>
    <t>3075-170</t>
  </si>
  <si>
    <t>Prestación de servicios de apoyo a la gestión en temas relacionados con asuntos precontractuales, trámites requeridos para los pagos y en general procesos y procedimientos establecidos frente a la ejecución del programa misional de la Dirección de reasentamientos de la Caja de la Vivienda Popular.</t>
  </si>
  <si>
    <t>REAS-504</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</si>
  <si>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</si>
  <si>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REAS-501</t>
  </si>
  <si>
    <t>3075-169</t>
  </si>
  <si>
    <t>Prestación de servicios de apoyo a la gestión en las diferentes actividades relacionadas con el manejo de archivo y gestión documental generado desde la Dirección de Reasentamientos de la Caja de la Vivienda Popular.</t>
  </si>
  <si>
    <t>REAS-505</t>
  </si>
  <si>
    <t>3075-157</t>
  </si>
  <si>
    <t>Prestación de servicios profesionales, para el acompañamiento jurídico, en los procesos y procedimientos establecidos frente a la ejecución del programa misional de la Dirección de Reasentamientos de la Caja de Vivienda Popular.</t>
  </si>
  <si>
    <t>REAS-506</t>
  </si>
  <si>
    <t>Prestación de servicios profesionales en la Dirección de Reasentamientos como enlace ante la Oficina Asesora de Comunicaciones de la Caja de la Vivienda Popular, para la implementación e interlocución del Plan Estratégico de Comunicaciones de la Entidad.</t>
  </si>
  <si>
    <t>REAS-507</t>
  </si>
  <si>
    <t>REAS-508</t>
  </si>
  <si>
    <t>REAS-509</t>
  </si>
  <si>
    <t>3075-174</t>
  </si>
  <si>
    <t>Prestación de servicios profesionales en la Dirección de Reasentamientos de la Caja de la Vivienda Popular para el acompañamiento jurídico  en los procesos y procedimientos establecidos frente a la ejecución del programa misional.</t>
  </si>
  <si>
    <t>REAS-510</t>
  </si>
  <si>
    <t>REAS-511</t>
  </si>
  <si>
    <t>3075-16
 3075-157</t>
  </si>
  <si>
    <t>REAS-512</t>
  </si>
  <si>
    <t>3075-157
 3075-489</t>
  </si>
  <si>
    <t>Prestacion de servicios de apoyo a la gestión en los procedimientos relacionados con el componente técncio del programa de Reasentamientos para el cumplimiento de sus metas.</t>
  </si>
  <si>
    <t>REAS-513</t>
  </si>
  <si>
    <t>3075-11
 3075-52
 3075-89
 3075-170
 3075-478
 3075-489</t>
  </si>
  <si>
    <t>REAS-514</t>
  </si>
  <si>
    <t>3075-16
 3075-174</t>
  </si>
  <si>
    <t>Prestación de servicios profesionales como referente financiero en la actuaciones que adelante la Caja de la Vivienda Popular conforme a la Resolución Nro. 0740 de 2018 de la Secretaría de Gobierno de Bogotá D.C. así como el apoyo al cumplimiento de las funciones financieras que tiene a cargo la Dirección de Reasentamientos de la Caja de la Vivienda Popular.</t>
  </si>
  <si>
    <t>REAS-515</t>
  </si>
  <si>
    <t>Prestacion de servicios profesionales en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Vivienda Popular en materia legal.</t>
  </si>
  <si>
    <t>REAS-516</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</si>
  <si>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tiente a cargo la Dirección de Reasentamientos de la Caja de la Vivienda Popular en materia legal</t>
  </si>
  <si>
    <t>REAS-517</t>
  </si>
  <si>
    <t>REAS-518</t>
  </si>
  <si>
    <t>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t>
  </si>
  <si>
    <t>REAS-519</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</si>
  <si>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</si>
  <si>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REAS-520</t>
  </si>
  <si>
    <t>REAS-521</t>
  </si>
  <si>
    <t>REAS-522</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</si>
  <si>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</si>
  <si>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REAS-523</t>
  </si>
  <si>
    <t>REAS-524</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</si>
  <si>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</si>
  <si>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REAS-525</t>
  </si>
  <si>
    <t>REAS-526</t>
  </si>
  <si>
    <t>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</si>
  <si>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REAS-527</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</si>
  <si>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</si>
  <si>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REAS-528</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</si>
  <si>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</si>
  <si>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REAS-529</t>
  </si>
  <si>
    <t>REAS-530</t>
  </si>
  <si>
    <t>REAS-531</t>
  </si>
  <si>
    <t>REAS-532</t>
  </si>
  <si>
    <t>REAS-533</t>
  </si>
  <si>
    <t>Prestación de Servivios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</si>
  <si>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REAS-534</t>
  </si>
  <si>
    <t>VUR de la actual vigencia Decreto 255 de 2013. LOCALIDAD: SAN CRISTOBAL; BARRIO: MANANTIAL; ID: 1999-4-3081</t>
  </si>
  <si>
    <t>REAS-535</t>
  </si>
  <si>
    <t xml:space="preserve">Prestación de servicios de apoyo a la gestión para el manejo técnico del archivo y la gestión documental que se genera en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t>
  </si>
  <si>
    <t>REAS-536</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</si>
  <si>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</si>
  <si>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REAS-537</t>
  </si>
  <si>
    <t>REAS-538</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</si>
  <si>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</si>
  <si>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REAS-539</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</si>
  <si>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</si>
  <si>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REAS-540</t>
  </si>
  <si>
    <t>REAS-541</t>
  </si>
  <si>
    <t>Prestación de servicios profesionales como referente social en las actuaciones que adelanta la Caja de la Vivienda Popular conforme a la Resolución Nro. 0740 de 2018 de la Secretaría de Gobierno de Bogotá D.C., así como el apoyo al cumplimiento de las funciones sociales que tiene a cargo la Dirección de Reasentamientos de la Caja de la Vivienda Popular</t>
  </si>
  <si>
    <t>REAS-542</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</si>
  <si>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funciiones que tiene a cargo la Dirección de Reasentamientos de la Caja de la Vivienda Popular en actividades relacionadas con el componente técnico del área misional.</t>
  </si>
  <si>
    <t>REAS-543</t>
  </si>
  <si>
    <t>REAS-544</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</si>
  <si>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funciiones sociales que tiene a cargo la Dirección de Reasentamientos de la Caja de la Vivienda Popular.</t>
  </si>
  <si>
    <t>REAS-545</t>
  </si>
  <si>
    <t>REAS-546</t>
  </si>
  <si>
    <t>3075-3
3075-347</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</si>
  <si>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</si>
  <si>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REAS-547</t>
  </si>
  <si>
    <t>3075-3</t>
  </si>
  <si>
    <t>REAS-548</t>
  </si>
  <si>
    <t>REAS-549</t>
  </si>
  <si>
    <t>REAS-550</t>
  </si>
  <si>
    <t>VUR de la actual vigencia Decreto 255 de 2013. LOCALIDAD: CIUDAD BOLIVAR; BARRIO: JUAN PABLO II; ID:2015-Q03-03427</t>
  </si>
  <si>
    <t>REAS-551</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</si>
  <si>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</si>
  <si>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REAS-552</t>
  </si>
  <si>
    <t>Prestación de servicios de apoyo a la gestión para el acompañamiento en la ejecución de las actividades técnicas que adelanta la Dirección de Reasentamientos de la Caja de la Vivienda Popular conforme a la Resolución Nro. 0740 de 2018 de la Secretaria de Gobierno de Bogotá D.C., así como el apoyo al cumplimiento de las funciones que tiene a cargo la Dirección de Reasentamientos de la Caja de la Vivienda Popular en actividades relacionadas con el componente técnico del área misional.</t>
  </si>
  <si>
    <t>REAS-553</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</si>
  <si>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</si>
  <si>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REAS-554</t>
  </si>
  <si>
    <t>REAS-555</t>
  </si>
  <si>
    <t>Prestación de servicios de apoyo a la gestión para el acompañamiento 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</si>
  <si>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REAS-556</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</si>
  <si>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Reasentamos de la Caja de la Vivienda Popular en materia legal</t>
  </si>
  <si>
    <t>REAS-557</t>
  </si>
  <si>
    <t>REAS-558</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</si>
  <si>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</si>
  <si>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REAS-559</t>
  </si>
  <si>
    <t>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</si>
  <si>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REAS-560</t>
  </si>
  <si>
    <t>REAS-561</t>
  </si>
  <si>
    <t>REAS-562</t>
  </si>
  <si>
    <t>REAS-563</t>
  </si>
  <si>
    <t>REAS-564</t>
  </si>
  <si>
    <t>REAS-565</t>
  </si>
  <si>
    <t>Prestación de servicios profesionales para la ejecución de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</si>
  <si>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REAS-566</t>
  </si>
  <si>
    <t>Prestación de servicios profesionales como referente técnico en las actuaciones que adelanta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</si>
  <si>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REAS-567</t>
  </si>
  <si>
    <t>Prestación de servicios profesionales para la ejecución de las actividades técncias que adelanta la Dirección de Reasentamientos de la Caja de la Vivienda Popular conforme a la Resolución Nro. 0740 de 2018 de la Secretaría de Gobierno de Bogotá D.C., así como el apoyo al cumplimiento de las funciones que tiene a cargo la Direccion de Reasentamientos de la Caja de la Vivienda Popular en actividades relacionadas con el componente técnico del área misional</t>
  </si>
  <si>
    <t>REAS-568</t>
  </si>
  <si>
    <t>REAS-569</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</si>
  <si>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</si>
  <si>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REAS-570</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</si>
  <si>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</si>
  <si>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REAS-571</t>
  </si>
  <si>
    <t>REAS-572</t>
  </si>
  <si>
    <t>REAS-573</t>
  </si>
  <si>
    <t>REAS-574</t>
  </si>
  <si>
    <t>REAS-575</t>
  </si>
  <si>
    <t>REAS-576</t>
  </si>
  <si>
    <t xml:space="preserve">Prestación de servcios preofesionales para la revisión y el acompañamiento juridico de las actuaciones propias que requiere la Dirección de Reasentamientos de la Caja de la Vivienda Popular conforme a la Resoluciòn Nro. 0740 de 2018 de la Secretaria de Gobierno de Bogotá D.C., asi como el apoyo al cumplimiento de la Caja de la Vivienda Popular en materia legal. </t>
  </si>
  <si>
    <t>REAS-577</t>
  </si>
  <si>
    <t>REAS-578</t>
  </si>
  <si>
    <t>Prestación de servicios profesionales como referente jurídico en las actuaciones que adelanta la Caja de la Vivienda Popular conforme a la Resolución Nro. 0740 de 2018 de la Secretaría de Gobierno de Bogotá D.C., así como el apoyo al cumplimiento de las funciones que tiene a cargo la Direcciòn de Reasentamientos de la Caja de la Vivienda Popular en materia legal</t>
  </si>
  <si>
    <t>REAS-579</t>
  </si>
  <si>
    <t>VUR de la actual vigencia. La asignación se realiza para dar cumplimiento al fallo de acción popular 2002-00152 Suba Gavilanes. LOCALIDAD: SUBA (GAVILANES); BARRIO: BILBAO; ID: 2018-11-15219</t>
  </si>
  <si>
    <t>REAS-580</t>
  </si>
  <si>
    <t>3075-346</t>
  </si>
  <si>
    <t>VUR de la actual vigencia. La asignación se realiza para dar cumplimiento al fallo de acción popular 2002-00152 Suba Gavilanes. LOCALIDAD: SUBA (GAVILANES); BARRIO: VILLA CINDY; ID: 2018-11-15396</t>
  </si>
  <si>
    <t>REAS-581</t>
  </si>
  <si>
    <t>Prestación de servicios profesionales, como apoyo jurídico en las actuaciones propiasa que requiera la Dirección de Reasentamientos de la Caja de la Vivienda Popular en la ejecución del programa de Reasentamientos</t>
  </si>
  <si>
    <t>2 m y 25 d</t>
  </si>
  <si>
    <t>REAS-582</t>
  </si>
  <si>
    <t>REAS-583</t>
  </si>
  <si>
    <t>REAS-584</t>
  </si>
  <si>
    <t>REAS-585</t>
  </si>
  <si>
    <t>REAS-586</t>
  </si>
  <si>
    <t>REAS-587</t>
  </si>
  <si>
    <t>REAS-588</t>
  </si>
  <si>
    <t>REAS-589</t>
  </si>
  <si>
    <t>REAS-590</t>
  </si>
  <si>
    <t>REAS-591</t>
  </si>
  <si>
    <t>REAS-592</t>
  </si>
  <si>
    <t>REAS-593</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</si>
  <si>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</si>
  <si>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REAS-594</t>
  </si>
  <si>
    <t>Adquisición Predial por Decreto 511 de 2010. LOCALIDAD: SAN CRISTOBAL; BARRIO: LA BELLEZA; ID; 2013-Q10-00211</t>
  </si>
  <si>
    <t>REAS-595</t>
  </si>
  <si>
    <t>3075-337</t>
  </si>
  <si>
    <t>VUR por avalúo comercial - Asignación primera vez. Decreto 255 de 2013. LOCALIDAD: SAN CRISTOBAL; BARRIO : NUEVA GLORIA; ID: 2015-Q20-01423</t>
  </si>
  <si>
    <t>REAS-596</t>
  </si>
  <si>
    <t>Prestación de servicios de aoyo a la gestión para el manejo técnico del archivo y la gestión documental que se genera en las actuaciones propias que requiera la Dirección de Reasentamientos de la Caja de la Vivienda Popular</t>
  </si>
  <si>
    <t>2 m y 10 d</t>
  </si>
  <si>
    <t>REAS-597</t>
  </si>
  <si>
    <t>Prestación de servicios de apoyo a la gestión como auxiliar de archivo y gestión documental para apoyar las actuaciones propias que requiera la Dirección de Reasentamientos de la Caja de la Vivienda Popular.</t>
  </si>
  <si>
    <t>REAS-598</t>
  </si>
  <si>
    <t>Prestación de servicios de apoyo a la gestión para el manejo técnico del archivo y la gestión documental que se genera en las actuaciones propias que requiera la Dirección de Reasentamientos de la Caja de la Vivienda Popular</t>
  </si>
  <si>
    <t>REAS-599</t>
  </si>
  <si>
    <t>REAS-600</t>
  </si>
  <si>
    <t>REAS-601</t>
  </si>
  <si>
    <t>REAS-602</t>
  </si>
  <si>
    <t>REAS-603</t>
  </si>
  <si>
    <t>REAS-604</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</si>
  <si>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</si>
  <si>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REAS-605</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</si>
  <si>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</si>
  <si>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REAS-606</t>
  </si>
  <si>
    <t>REAS-607</t>
  </si>
  <si>
    <t>7328-1</t>
  </si>
  <si>
    <t>7328 - Mejoramiento de vivienda en sus condiciones físicas y de habitabilidad en los asentamientos humanos priorizados en área urbana y rural.</t>
  </si>
  <si>
    <t>Realizar 22.900 asistencias técnicas, jurídicas y sociales a las intervenciones integrales de mejoramiento de vivienda en los territorios priorizados por la Secretaria Distrital del Hábitat en el área urbana y rural del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</si>
  <si>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</si>
  <si>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</si>
  <si>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</si>
  <si>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</si>
  <si>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</si>
  <si>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CAJA DE LA VIVIENDA POPULAR</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</si>
  <si>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</si>
  <si>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</si>
  <si>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</si>
  <si>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</si>
  <si>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</si>
  <si>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375 - 378 - 758 - 1021 - 1386 - 1531 - 1607 - 1797 - 1833 - 1905 - 1951 - 1985 - 2022 - 2049 - 2494 - 2528</t>
  </si>
  <si>
    <t>Viabilizacion</t>
  </si>
  <si>
    <t>Pago de Nómina y Pago patronales Planta Temporal</t>
  </si>
  <si>
    <t>7328-4</t>
  </si>
  <si>
    <t>Prestación de servicios profesionales para apoyar la estructuración, seguimiento y supervisión de los proyectos asignados por la Dirección de Mejoramiento de Vivienda de la CVP</t>
  </si>
  <si>
    <t>MV - 001</t>
  </si>
  <si>
    <t>ANULADA</t>
  </si>
  <si>
    <t>Se anula la viabilidad, por solicitud de la dirección de mejoramiento de vivienda, mediante radicado 2018IE286 del 11 de enero de 2018</t>
  </si>
  <si>
    <t>Contratacion recurso humano</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</si>
  <si>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</si>
  <si>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</si>
  <si>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</si>
  <si>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</si>
  <si>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</si>
  <si>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</si>
  <si>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</si>
  <si>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</si>
  <si>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</si>
  <si>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</si>
  <si>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</si>
  <si>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</si>
  <si>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</si>
  <si>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</si>
  <si>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</si>
  <si>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</si>
  <si>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</si>
  <si>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</si>
  <si>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</si>
  <si>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</si>
  <si>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Adicion y prorroga contrato 348</t>
  </si>
  <si>
    <t>7328-10</t>
  </si>
  <si>
    <t>MV - 007</t>
  </si>
  <si>
    <t>GIOVANNI QUIROGA BERMUDEZ</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</si>
  <si>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</si>
  <si>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</si>
  <si>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</si>
  <si>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</si>
  <si>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</si>
  <si>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</si>
  <si>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</si>
  <si>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</si>
  <si>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</si>
  <si>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</si>
  <si>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</si>
  <si>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</si>
  <si>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</si>
  <si>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</si>
  <si>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</si>
  <si>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</si>
  <si>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</si>
  <si>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</si>
  <si>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</si>
  <si>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</si>
  <si>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</si>
  <si>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NUÑEZ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</si>
  <si>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</si>
  <si>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</si>
  <si>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</si>
  <si>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</si>
  <si>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</si>
  <si>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</si>
  <si>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</si>
  <si>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</si>
  <si>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</si>
  <si>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</si>
  <si>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</si>
  <si>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</si>
  <si>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</si>
  <si>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</si>
  <si>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</si>
  <si>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</si>
  <si>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</si>
  <si>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</si>
  <si>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</si>
  <si>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</si>
  <si>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</si>
  <si>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</si>
  <si>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Adicion y prorroga contrato 145</t>
  </si>
  <si>
    <t>7328-23</t>
  </si>
  <si>
    <t>MV - 090</t>
  </si>
  <si>
    <t>VIVIANA  RODRIGUEZ MELO</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</si>
  <si>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</si>
  <si>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</si>
  <si>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</si>
  <si>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</si>
  <si>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</si>
  <si>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</si>
  <si>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</si>
  <si>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</si>
  <si>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</si>
  <si>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</si>
  <si>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</si>
  <si>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</si>
  <si>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</si>
  <si>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</si>
  <si>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</si>
  <si>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</si>
  <si>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</si>
  <si>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</si>
  <si>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</si>
  <si>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</si>
  <si>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</si>
  <si>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</si>
  <si>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</si>
  <si>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</si>
  <si>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</si>
  <si>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</si>
  <si>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</si>
  <si>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</si>
  <si>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</si>
  <si>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</si>
  <si>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</si>
  <si>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</si>
  <si>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</si>
  <si>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</si>
  <si>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</si>
  <si>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</si>
  <si>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</si>
  <si>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</si>
  <si>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</si>
  <si>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</si>
  <si>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</si>
  <si>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7328-35</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</si>
  <si>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</si>
  <si>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MV - 089 (Anulada)</t>
  </si>
  <si>
    <t>Viavilidad anulada mediante oficio número 2018IE9914</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</si>
  <si>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</si>
  <si>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</si>
  <si>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</si>
  <si>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</si>
  <si>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</si>
  <si>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</si>
  <si>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</si>
  <si>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</si>
  <si>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</si>
  <si>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</si>
  <si>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</si>
  <si>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</si>
  <si>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</si>
  <si>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</si>
  <si>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</si>
  <si>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</si>
  <si>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</si>
  <si>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</si>
  <si>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</si>
  <si>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</si>
  <si>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</si>
  <si>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</si>
  <si>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</si>
  <si>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</si>
  <si>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</si>
  <si>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</si>
  <si>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</si>
  <si>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</si>
  <si>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</si>
  <si>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</si>
  <si>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</si>
  <si>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</si>
  <si>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</si>
  <si>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</si>
  <si>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</si>
  <si>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</si>
  <si>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</si>
  <si>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</si>
  <si>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</si>
  <si>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</si>
  <si>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</si>
  <si>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</si>
  <si>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</si>
  <si>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</si>
  <si>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</si>
  <si>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</si>
  <si>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</si>
  <si>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</si>
  <si>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</si>
  <si>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</si>
  <si>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</si>
  <si>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</si>
  <si>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</si>
  <si>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</si>
  <si>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</si>
  <si>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</si>
  <si>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</si>
  <si>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</si>
  <si>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</si>
  <si>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</si>
  <si>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</si>
  <si>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</si>
  <si>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MV - 047</t>
  </si>
  <si>
    <t>7328-56</t>
  </si>
  <si>
    <t>Prestar los Servicios profesionales en la implementación y seguimiento de la política de responsabilidad social, bajo los tres pilares de sostenibilidad a los procesos de gestión misional de la entidad.</t>
  </si>
  <si>
    <t>MV - 052</t>
  </si>
  <si>
    <t>7328-57</t>
  </si>
  <si>
    <t>MV - 051</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</si>
  <si>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</si>
  <si>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</si>
  <si>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</si>
  <si>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</si>
  <si>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</si>
  <si>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</si>
  <si>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</si>
  <si>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</si>
  <si>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</si>
  <si>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</si>
  <si>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DIVULGACION</t>
  </si>
  <si>
    <t>7328-60</t>
  </si>
  <si>
    <t>7328-61</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</si>
  <si>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</si>
  <si>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</si>
  <si>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</si>
  <si>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</si>
  <si>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Mínima Cuantía</t>
  </si>
  <si>
    <t>7328-63</t>
  </si>
  <si>
    <t>0113- Estudios de Evaluación, diseño geotécnico y/o estructural de las viviendas a mejorar</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</si>
  <si>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</si>
  <si>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</si>
  <si>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</si>
  <si>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</si>
  <si>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</si>
  <si>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- 067 (Anulada)</t>
  </si>
  <si>
    <t>LAURA MARCELA MORENO CASTILLO</t>
  </si>
  <si>
    <t>Viavilidad anulada mediante oficio número 2018IE9824</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</si>
  <si>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</si>
  <si>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</si>
  <si>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MV - 068 (Anulada)</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</si>
  <si>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</si>
  <si>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</si>
  <si>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</si>
  <si>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- 069 (Anulada)</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</si>
  <si>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</si>
  <si>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</si>
  <si>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</si>
  <si>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MV - 070 (Anulada)</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</si>
  <si>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</si>
  <si>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</si>
  <si>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</si>
  <si>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- 071 (Anulada)</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</si>
  <si>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</si>
  <si>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</si>
  <si>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</si>
  <si>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MV - 072 (Anulada)</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</si>
  <si>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</si>
  <si>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</si>
  <si>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</si>
  <si>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MV - 073 (Anulada)</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</si>
  <si>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</si>
  <si>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</si>
  <si>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</si>
  <si>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- 074 (Anulada)</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</si>
  <si>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</si>
  <si>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</si>
  <si>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</si>
  <si>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MV - 075 (Anulada)</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</si>
  <si>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</si>
  <si>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</si>
  <si>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</si>
  <si>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MV - 076 (Anulada)</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</si>
  <si>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</si>
  <si>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</si>
  <si>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</si>
  <si>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MV - 077 (Anulada)</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</si>
  <si>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</si>
  <si>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</si>
  <si>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</si>
  <si>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MV - 078 (Anulada)</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</si>
  <si>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</si>
  <si>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</si>
  <si>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</si>
  <si>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MV - 079 (Anulada)</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</si>
  <si>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</si>
  <si>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</si>
  <si>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</si>
  <si>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MV - 080</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</si>
  <si>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</si>
  <si>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</si>
  <si>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</si>
  <si>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MV - 081 (Anulada)</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</si>
  <si>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</si>
  <si>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</si>
  <si>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</si>
  <si>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MV - 082</t>
  </si>
  <si>
    <t>1/06/208</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</si>
  <si>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</si>
  <si>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</si>
  <si>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</si>
  <si>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MV - 083 (Anulada)</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</si>
  <si>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</si>
  <si>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</si>
  <si>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</si>
  <si>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MV - 084 (Anulada)</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</si>
  <si>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</si>
  <si>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</si>
  <si>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</si>
  <si>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- 085 (Anulada)</t>
  </si>
  <si>
    <t xml:space="preserve">RAMIRO EDUARDO PACHON </t>
  </si>
  <si>
    <t>7328-83</t>
  </si>
  <si>
    <t>Adición y Prórroga al contrato 668 de 2017, cuyo objeto es:  “Prestar los servicios profesionales para apoyar desde el componente jurídico,  la ejecución de actividades asociadas a la estructuración de proyectos del subsidio distrital para el mejoramiento de vivienda”</t>
  </si>
  <si>
    <t>MV - 086 (Anulada)</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</si>
  <si>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</si>
  <si>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</si>
  <si>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</si>
  <si>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MV - 087</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</si>
  <si>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</si>
  <si>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</si>
  <si>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</si>
  <si>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- 088 (Anulada)</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</si>
  <si>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</si>
  <si>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</si>
  <si>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</si>
  <si>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</si>
  <si>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</si>
  <si>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</si>
  <si>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</si>
  <si>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</si>
  <si>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</si>
  <si>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</si>
  <si>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</si>
  <si>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</si>
  <si>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</si>
  <si>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</si>
  <si>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</si>
  <si>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</si>
  <si>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</si>
  <si>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</si>
  <si>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</si>
  <si>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</si>
  <si>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</si>
  <si>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</si>
  <si>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</si>
  <si>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</si>
  <si>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</si>
  <si>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MV- 060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</si>
  <si>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</si>
  <si>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</si>
  <si>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</si>
  <si>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7328-93</t>
  </si>
  <si>
    <t>146-Recursos del Balance de Libre Destinación</t>
  </si>
  <si>
    <t>Prestar los servicios profesionales para apoyar y gestionar los procedimientos técnicos y de información de la Dirección de Mejoramiento de Vivienda en el desarrollo de la estructuración de los proyectos para asignación de Subsidios de Vivienda en Especie.</t>
  </si>
  <si>
    <t>MV - 091</t>
  </si>
  <si>
    <t>NICOLAS  ROSERO PERALTA</t>
  </si>
  <si>
    <t>7328-94</t>
  </si>
  <si>
    <t>Prestar los servicios profesionales para apoyar la gestión de campo con componente técnico, para la ejecución de actividades  durante la ejecución de todo el proceso de estructuración de proyectos que optan por el subsidio distrital de vivienda en especie.</t>
  </si>
  <si>
    <t>MV - 092 (Anulada)</t>
  </si>
  <si>
    <t>7328-95</t>
  </si>
  <si>
    <t>Prestar los servicios profesionales para apoyar desde el componente social,  la ejecución de actividades asociadas a la estructuración de proyectos del subsidio distrital para el mejoramiento de vivienda.</t>
  </si>
  <si>
    <t>MV - 093</t>
  </si>
  <si>
    <t>DIEGO HERNÁN CALDERON</t>
  </si>
  <si>
    <t>7328-96</t>
  </si>
  <si>
    <t>Prestar los servicios para apoyar desde el componente de sistematización,  la ejecución de actividades asociadas a la estructuración de proyectos del subsidio distrital para el mejoramiento de vivienda.</t>
  </si>
  <si>
    <t>MV - 094 (Anulada)</t>
  </si>
  <si>
    <t>7328-97</t>
  </si>
  <si>
    <t>MV - 095</t>
  </si>
  <si>
    <t>JAIME ANDRES SAAVEDRA</t>
  </si>
  <si>
    <t>7328-98</t>
  </si>
  <si>
    <t>Prestar los servicios profesionales para apoyar desde el componente social, la ejecución de actividades asociadas a la estructuración de proyectos del subsidio distrital para el mejoramiento de vivienda.</t>
  </si>
  <si>
    <t>MV - 096</t>
  </si>
  <si>
    <t>INGRID ALEJANDRA QUINCHE LOAIZA</t>
  </si>
  <si>
    <t>7328-99</t>
  </si>
  <si>
    <t>MV - 097 (Anulada)</t>
  </si>
  <si>
    <t>Viavilidad anulada mediante oficio número 2018IE11311</t>
  </si>
  <si>
    <t>7328-100</t>
  </si>
  <si>
    <t>Apoyar desde el componente jurídico,  la ejecución de actividades asociadas a la estructuración de proyectos del subsidio distrital para el mejoramiento de vivienda.</t>
  </si>
  <si>
    <t>MV - 098 (Anulada)</t>
  </si>
  <si>
    <t>Viavilidad anulada mediante oficio número 2018IE9873</t>
  </si>
  <si>
    <t>7328-101</t>
  </si>
  <si>
    <t xml:space="preserve"> Prestar los servicios profesionales para apoyar desde el componente social,  la ejecución de actividades asociadas a la estructuración de proyectos del subsidio distrital para el mejoramiento de vivienda.</t>
  </si>
  <si>
    <t>MV - 099</t>
  </si>
  <si>
    <t>DAVID  ARREAZA MORENO</t>
  </si>
  <si>
    <t>7328-102</t>
  </si>
  <si>
    <t>MV - 100</t>
  </si>
  <si>
    <t>GINA QUITIAN</t>
  </si>
  <si>
    <t>7328-103</t>
  </si>
  <si>
    <t>MV - 101</t>
  </si>
  <si>
    <t>GIORDY H. CADENA</t>
  </si>
  <si>
    <t>7328-104</t>
  </si>
  <si>
    <t>Prestar los servicios para apoyar desde el componente de sistematización,  la ejecución de actividades asociadas a la estructuración de proyectos del subsidio distrital para el mejoramiento de vivienda</t>
  </si>
  <si>
    <t>MV - 102</t>
  </si>
  <si>
    <t>DIEGO FERNANDO CALDAS</t>
  </si>
  <si>
    <t>7328-105</t>
  </si>
  <si>
    <t>Prestar los servicios para apoyar en el manejo documental,  la ejecución de actividades asociadas a la estructuración de proyectos del subsidio distrital para el mejoramiento de vivienda. </t>
  </si>
  <si>
    <t>MV - 103</t>
  </si>
  <si>
    <t>NINI JOHANNA HERNANDEZ GALINDO</t>
  </si>
  <si>
    <t>7328-106</t>
  </si>
  <si>
    <t>Prestar los servicios profesionales para apoyar desde el componente jurídico, la ejecución de actividades asociadas a la estructuración de proyectos del subsidio distrital para el mejoramiento de vivienda.</t>
  </si>
  <si>
    <t>MV - 104</t>
  </si>
  <si>
    <t>DIANA MARCELA GALVEZ</t>
  </si>
  <si>
    <t>7328-107</t>
  </si>
  <si>
    <t>MV - 105</t>
  </si>
  <si>
    <t>MARIA CAMILA SANCHEZ</t>
  </si>
  <si>
    <t>7328-108</t>
  </si>
  <si>
    <t>MV - 106</t>
  </si>
  <si>
    <t>MARIA ALEJANDRA SIERRA</t>
  </si>
  <si>
    <t>7328-109</t>
  </si>
  <si>
    <t>MV - 108</t>
  </si>
  <si>
    <t>MIGUEL ANGEL MARTINEZ VANEGAS</t>
  </si>
  <si>
    <t>7328-110</t>
  </si>
  <si>
    <t>MV - 107</t>
  </si>
  <si>
    <t>HECTOR HERNANDO GARCIA BERNAL</t>
  </si>
  <si>
    <t>7328-111</t>
  </si>
  <si>
    <t>MV - 109</t>
  </si>
  <si>
    <t>LINA MARIA SAZIPA</t>
  </si>
  <si>
    <t>7328-112</t>
  </si>
  <si>
    <t>Prestar los servicios profesionales para apoyar desde el componente de sistematización,  la ejecución de actividades asociadas a la estructuración de proyectos del subsidio distrital para el mejoramiento de vivienda.</t>
  </si>
  <si>
    <t>7328-113</t>
  </si>
  <si>
    <t>7328-114</t>
  </si>
  <si>
    <t>7328-115</t>
  </si>
  <si>
    <t>7328-116</t>
  </si>
  <si>
    <t>Prestar los servicios profesionales para apoyar la ejecución de actividades asociadas a la estructuración de proyectos del subsidio distrital para el mejoramiento de vivienda.</t>
  </si>
  <si>
    <t>7328-117</t>
  </si>
  <si>
    <t>7328-118</t>
  </si>
  <si>
    <t>7328-119</t>
  </si>
  <si>
    <t>Prestar los servicios profesionales para apoyar desde el componente jurídico, la ejecución de actividades asociadas a la estructuración de proyectos del subsidio distrital para el mejoramiento de vivienda</t>
  </si>
  <si>
    <t>7328-120</t>
  </si>
  <si>
    <t>7328-121</t>
  </si>
  <si>
    <t>7328-122</t>
  </si>
  <si>
    <t>7328-123</t>
  </si>
  <si>
    <t>Prestar los servicios profesionales para apoyar desde el componente jurídico,  la ejecución de actividades asociadas a la estructuración de proyectos del subsidio distrital para el mejoramiento de vivienda</t>
  </si>
  <si>
    <t>7328-124</t>
  </si>
  <si>
    <t>7328-125</t>
  </si>
  <si>
    <t>Prestar los servicios para apoyar desde el componente de sistematización, la ejecución de actividades asociadas a la estructuración de proyectos del subsidio distrital para el mejoramiento de vivienda.</t>
  </si>
  <si>
    <t>7328-126</t>
  </si>
  <si>
    <t>7328-127</t>
  </si>
  <si>
    <t>Prestar los servicios asistenciales en la gestión documental, captura de datos, inventario y manejo de archivo físico, en cumplimiento de los procedimientos de la Direccion de Mejoramiento de Vivienda.</t>
  </si>
  <si>
    <t>MV - 110</t>
  </si>
  <si>
    <t>NINI JOJANA ALDANA ROJAS</t>
  </si>
  <si>
    <t>7328-128</t>
  </si>
  <si>
    <t>MV - 111</t>
  </si>
  <si>
    <t>12/072018</t>
  </si>
  <si>
    <t>FREDY HERNANDO SANTIAGO ROMERO</t>
  </si>
  <si>
    <t>7328-129</t>
  </si>
  <si>
    <t>MV-112</t>
  </si>
  <si>
    <t>MONICA LIZETTE CALDERON URREGO</t>
  </si>
  <si>
    <t>7328-130</t>
  </si>
  <si>
    <t>Prestar los servicios profesionales a la Dirección de Mejoramiento de Vivienda, en la proyección de conceptos, revisión de oficios y demás actuaciones administrativas y juridicas requeridas, en concordancia con los procesos propios de la Direccion.</t>
  </si>
  <si>
    <t>MV-113 (Anulada)</t>
  </si>
  <si>
    <t>Viavilidad anulada mediante oficio número 2018IE10209</t>
  </si>
  <si>
    <t>7328-131</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</si>
  <si>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</si>
  <si>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MV-114</t>
  </si>
  <si>
    <t>OSCAR JAVIER ZUÑIGA GOMEZ</t>
  </si>
  <si>
    <t>7328-132</t>
  </si>
  <si>
    <t>Prestar los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</si>
  <si>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MV-115</t>
  </si>
  <si>
    <t>SANDRA PATRICIA SALGUERO CELIS</t>
  </si>
  <si>
    <t>7328-133</t>
  </si>
  <si>
    <t xml:space="preserve">Prestar los servicios profesionales para apoyar desde el componente jurídico, la ejecución de actividades asociadas a la estructuración de proyectos del subsidio distrital para el mejoramiento de vivienda.  </t>
  </si>
  <si>
    <t>MV-116</t>
  </si>
  <si>
    <t>DAYANA PAOLA NIÑO CARCAMO</t>
  </si>
  <si>
    <t>7328-134</t>
  </si>
  <si>
    <t xml:space="preserve">Prestar los servicios profesionales para apoyar la gestión de campo con componente técnico, para la ejecución de actividades durante la ejecución de todo el proceso de estructuración de proyectos que optan por el subsidio distrital de vivienda en especie. </t>
  </si>
  <si>
    <t>MV-117</t>
  </si>
  <si>
    <t>RICARDO  SARMIENTO CHAVES</t>
  </si>
  <si>
    <t>7328-135</t>
  </si>
  <si>
    <t>MV-118</t>
  </si>
  <si>
    <t>HERNAN ALONSO CORREA MENDEZ</t>
  </si>
  <si>
    <t>7328-136</t>
  </si>
  <si>
    <t>MV-119</t>
  </si>
  <si>
    <t>ALBERTO  QUINTERO PARIAS</t>
  </si>
  <si>
    <t>7328-137</t>
  </si>
  <si>
    <t>MV-120</t>
  </si>
  <si>
    <t>7328-138</t>
  </si>
  <si>
    <t>Prestaer los servicios para apoyar en el manejo documental, la ejecución de actividades asociadas a la estructuración de proyectos del subcidio distrital para el mejoramiento de vivienda.</t>
  </si>
  <si>
    <t>MV-121</t>
  </si>
  <si>
    <t>LUIS ORLANDO TORRES ROMERO</t>
  </si>
  <si>
    <t>7328-139</t>
  </si>
  <si>
    <t>MV-122</t>
  </si>
  <si>
    <t>MARCO FERNANDO NUÑEZ JIMENEZ</t>
  </si>
  <si>
    <t>7328-140</t>
  </si>
  <si>
    <t>MV-123 (Anulada)</t>
  </si>
  <si>
    <t>7328-141</t>
  </si>
  <si>
    <t>MV-124</t>
  </si>
  <si>
    <t xml:space="preserve"> 32.359.167   
</t>
  </si>
  <si>
    <t>RAUL ALFONSO SORIANO GUZMAN</t>
  </si>
  <si>
    <t>7328-142</t>
  </si>
  <si>
    <t>MV-125</t>
  </si>
  <si>
    <t>CRISTIAN MAURICIO MORA MONTOYA</t>
  </si>
  <si>
    <t>7328-143</t>
  </si>
  <si>
    <t>MV-126</t>
  </si>
  <si>
    <t>CARLOS ADOLFO GRISALES IBARRA</t>
  </si>
  <si>
    <t>7328-144</t>
  </si>
  <si>
    <t>Prestar los servicios profesionales para apoyar desde el componente jurídico, la ejecución de actividades asociadas  a la estructuración de proyectos del subsidio distrital para el mejoramiento de vivienda.</t>
  </si>
  <si>
    <t>MV-127</t>
  </si>
  <si>
    <t>01/082018</t>
  </si>
  <si>
    <t>STEPHANIE  MURCIA MAYORGA</t>
  </si>
  <si>
    <t>7328-145</t>
  </si>
  <si>
    <t>Prestar los servicios profesionales para apoyar la gestión de campo con componente técnico, para la ejecución de actividades durante la ejecución de todo el proceso de estructuración de proyectos que optan por el subsidio distrital de vivienda en especie.</t>
  </si>
  <si>
    <t>MV-128</t>
  </si>
  <si>
    <t>02/082018</t>
  </si>
  <si>
    <t>RAMIRO EDUARDO PACHON VEGA</t>
  </si>
  <si>
    <t>7328-146</t>
  </si>
  <si>
    <t>MV-129</t>
  </si>
  <si>
    <t>LAURA JULIANA CUERVO MORALES</t>
  </si>
  <si>
    <t>7328-147</t>
  </si>
  <si>
    <t>7328-148</t>
  </si>
  <si>
    <t>7328-149</t>
  </si>
  <si>
    <t>Prestar los servicios profesionales para apoyar desde el componente de sistematización, la ejecución de actividades asociadas a la estructuración de proyectos del subsidio distrital para el mejoramiento de vivienda.</t>
  </si>
  <si>
    <t>7328-150</t>
  </si>
  <si>
    <t>Prestar los servicios para apoyar en el manejo documental, la ejecución de actividades asociadas a la estructuración de proyectos del subsidio distrital para el mejoramiento de vivienda.</t>
  </si>
  <si>
    <t>7328-151</t>
  </si>
  <si>
    <t>MV-130</t>
  </si>
  <si>
    <t>LIZETH ZORANY PARDO TORRES</t>
  </si>
  <si>
    <t>7328-152</t>
  </si>
  <si>
    <t>MV-131</t>
  </si>
  <si>
    <t>7328-153</t>
  </si>
  <si>
    <t>MV-132</t>
  </si>
  <si>
    <t>7328-154</t>
  </si>
  <si>
    <t>MV-133</t>
  </si>
  <si>
    <t>MARIA ISABEL MEJIA LONDOÑO</t>
  </si>
  <si>
    <t>7328-155</t>
  </si>
  <si>
    <t>MV-134</t>
  </si>
  <si>
    <t>7328-156</t>
  </si>
  <si>
    <t>MV-135</t>
  </si>
  <si>
    <t>7328-157</t>
  </si>
  <si>
    <t>MV-136</t>
  </si>
  <si>
    <t>7328-158</t>
  </si>
  <si>
    <t>MV-137</t>
  </si>
  <si>
    <t>JOHN SEBASTIAN ZAPATA CALLEJAS</t>
  </si>
  <si>
    <t>7328-159</t>
  </si>
  <si>
    <t>01-Adquisición y/o producción de equipo, suministros y servicios propios del sector</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</si>
  <si>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socializacion de las metas misionales de la entidad.   </t>
  </si>
  <si>
    <t>MV-138</t>
  </si>
  <si>
    <t>7328-160</t>
  </si>
  <si>
    <t>MV-139</t>
  </si>
  <si>
    <t>7328-161</t>
  </si>
  <si>
    <t>MV-140</t>
  </si>
  <si>
    <t>7328-162</t>
  </si>
  <si>
    <t>Prestar los servicios profesionales para apoyar la supervisión Social de las obras de los proyectos territoriales, además efectuar la gestión social a los hogares de los territoriales dirigidos que se presenten para optar al subsidio distrital de vivienda en especie.</t>
  </si>
  <si>
    <t>MV-141</t>
  </si>
  <si>
    <t>7328-163</t>
  </si>
  <si>
    <t>MV-142</t>
  </si>
  <si>
    <t>CAMILO  GUAJE NIETO</t>
  </si>
  <si>
    <t>7328-164</t>
  </si>
  <si>
    <t>Prestar los servicios técnicos para apoyar desde el componente social, la ejecución de actividades asociadas a la estructuración de proyectos del subsidio distrital para el mejoramiento de vivienda.</t>
  </si>
  <si>
    <t>MV-143</t>
  </si>
  <si>
    <t>LILIANA RAMIREZ CANO</t>
  </si>
  <si>
    <t>7328-165</t>
  </si>
  <si>
    <t>MV-144 (Anulada)</t>
  </si>
  <si>
    <t>Viavilidad anulada mediante oficio número 2018IE11605</t>
  </si>
  <si>
    <t>7328-166</t>
  </si>
  <si>
    <t>MV-145</t>
  </si>
  <si>
    <t>7328-167</t>
  </si>
  <si>
    <t xml:space="preserve">Prestar los servicios para apoyar en el manejo documental , la ejecución de actividades asociadas a la estructuración de proyectos del subsidio distrital para el mejoramiento de vivienda. </t>
  </si>
  <si>
    <t>MV-146</t>
  </si>
  <si>
    <t>7328-168</t>
  </si>
  <si>
    <t>Prestar los servicios profesionales para apoyar desde el componente social, la ejecuciónde actividades asociadas a la estructuración de proyectos del subsidio distrital para el mejoramiento de vivienda.</t>
  </si>
  <si>
    <t>MV-147</t>
  </si>
  <si>
    <t>7328-169</t>
  </si>
  <si>
    <t>MV-148</t>
  </si>
  <si>
    <t>7328-170</t>
  </si>
  <si>
    <t>MV-149</t>
  </si>
  <si>
    <t>7328-171</t>
  </si>
  <si>
    <t>Prestar los servicios técnicos en el área social para apoyar el proceso de asistencia técnica a las familias inscritas en la Direción de Mejoramiento de Vivienda, además de efectuar la gestión social a los hogares que se presenten para optar al Subsidio Distrital de Vivienda en Especie</t>
  </si>
  <si>
    <t>MV-150</t>
  </si>
  <si>
    <t>7328-172</t>
  </si>
  <si>
    <t xml:space="preserve">Prestar los servicios profecionales para apoyar la supervisión Social de las obras de proyectos territoriales, además de efectuar la gestión social a los hogares de los territoriales dirigidos que se presenten para optar al Subsidio Distrital de Vivienda en Especie. </t>
  </si>
  <si>
    <t>MV-151</t>
  </si>
  <si>
    <t>7328-173</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</si>
  <si>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claculo memorias y planos estructurales requeridos por la normatividad vigente de las curadurías urbanas; así como soporte a las actividades que se desarrollan dentro del marco de los proyectos de Mejoramiento Integral de la DMVde la CVP</t>
  </si>
  <si>
    <t>MV-152</t>
  </si>
  <si>
    <t>ANGELA PATRICIA HERNANDEZ NARANJO</t>
  </si>
  <si>
    <t>7328-174</t>
  </si>
  <si>
    <t xml:space="preserve">Prestación de servicios profesionales relacionados con la elaboración de levantamientos arquitectonicos, planos urbanísticos, arquitectónicos, estructurales, detalles constructivos y respuesta de requerimientos y actas de observación y/o condiciones exigidos por las Curadurías Urbanas solicitados por estas entidades para la expedición de licencias de construcción y/o actos de reconocimiento, para los proyectos de familias inscritas en la Dirección de Mejoramiento de Vivienda. </t>
  </si>
  <si>
    <t>MV-153</t>
  </si>
  <si>
    <t>7328-175</t>
  </si>
  <si>
    <t>Prestación de servicios técnicos relacionados con la elaboración de levantamientos arquitectónicos, planos urbanísticos, arquitectónicos, estructurales, detalles constructivos y respuesta de requerimientos y actas de observaciones y/o condiciones exigidos por Curadurías Urbanas, solicitados por estas entidades para la expedición de licencias de construcción y/o actos de reconocimiento, para los proyectos de familias inscritas en la Dirección de Mejoramiento de Vivienda.</t>
  </si>
  <si>
    <t>MV-154</t>
  </si>
  <si>
    <t>7328-176</t>
  </si>
  <si>
    <t>7328-177</t>
  </si>
  <si>
    <t>7328-178</t>
  </si>
  <si>
    <t>7328-179</t>
  </si>
  <si>
    <t>7328-180</t>
  </si>
  <si>
    <t>7328-181</t>
  </si>
  <si>
    <t>7328-182</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</si>
  <si>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</si>
  <si>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MV-155 (Anulada)</t>
  </si>
  <si>
    <t>7328-183</t>
  </si>
  <si>
    <t>Prestación de servicios profesionales para apoyar la gestión de campo con componente técnico, para la ejecución de todo el proceso de estructuración de proyectos que optan por el subsidio distrital de vivienda en especie.</t>
  </si>
  <si>
    <t>MV-156</t>
  </si>
  <si>
    <t>7328-184</t>
  </si>
  <si>
    <t>Prestar los servicios profecionales para apoyar la supervisión Social de las obras de proyectos territoriales, además de efectuar la gestión social a los hogares de los territoriales dirigidos que se presenten para optar al Subsidio Distrital de Vivienda en Especie.</t>
  </si>
  <si>
    <t>MV-157</t>
  </si>
  <si>
    <t>7328-185</t>
  </si>
  <si>
    <t>Prestar servicios profesionales para apoyar la estructuración, seguimiento y supervisión de los proyectos asignados por la Dirección de Mejoramiento de Vivienda de la CVP.</t>
  </si>
  <si>
    <t>MV-158</t>
  </si>
  <si>
    <t>MV - 176, 179</t>
  </si>
  <si>
    <t>7328-186</t>
  </si>
  <si>
    <t>Prestar los servicios profecionales en el área Social para apoyar el proceso de asistencia técnica a las familias inscritas en la Dirección de Mejoramiento de Vivienda, además de efectuar la gestión social a los hogares que se presenten para optar al Subsidio Distrital de Vivienda en Especie.</t>
  </si>
  <si>
    <t>MV-159</t>
  </si>
  <si>
    <t>7328-187</t>
  </si>
  <si>
    <t>MV-160</t>
  </si>
  <si>
    <t>MV - 177, 178</t>
  </si>
  <si>
    <t>7328-188</t>
  </si>
  <si>
    <t>MV-161</t>
  </si>
  <si>
    <t>MV - 178</t>
  </si>
  <si>
    <t>7328-189</t>
  </si>
  <si>
    <t xml:space="preserve">Prestar los servicios profesionales a la Dirección de Mejoramiento de Vivienda, en la proyección de conceptos, revisión de oficios y demás actuaciones administrativas y juridicas requeridas, en concordancia con los procesos propios de la Direccón. </t>
  </si>
  <si>
    <t>MV-162</t>
  </si>
  <si>
    <t>MV - 178, 179</t>
  </si>
  <si>
    <t>7328-190</t>
  </si>
  <si>
    <t>Prestar los servicios profecionales para apoyar la gestión de campo con componente técnico, para la ejecución de actividades durante la ejecución de todo el proceso de estructuración de proyectos que optan por el subsidio distrital de vivienda en especie.</t>
  </si>
  <si>
    <t>MV-163</t>
  </si>
  <si>
    <t>MV - 128, 140, 142,158</t>
  </si>
  <si>
    <t>FUN-001</t>
  </si>
  <si>
    <t>3-1-1-02-03-01-0000-00</t>
  </si>
  <si>
    <t>Honorarios Entidad</t>
  </si>
  <si>
    <t>04-JAN-18</t>
  </si>
  <si>
    <t>0-0-0</t>
  </si>
  <si>
    <t>Prestar servicios profesionales para apoyar la planeación, seguimiento y evaluación de los subsistemas del Sistema Integrado de Gestión de la Caja de la Vivienda Popular.</t>
  </si>
  <si>
    <t>12-Otros Distrito</t>
  </si>
  <si>
    <t>HECTOR ANDRES MEJIA MEJIA</t>
  </si>
  <si>
    <t>PRESTAR SERVICIOS PROFESIONALES PARA APOYAR LA PLANEACIÓN, SEGUIMIENTO Y EVALUACIÓN DE LOS SUBSISTEMAS DEL SISTEMA INTEGRADO DE GESTIÓN DE LA CAJA DE LA VIVIENDA POPULAR.</t>
  </si>
  <si>
    <t>FUN-003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</si>
  <si>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</si>
  <si>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ALEJANDRO  GUAYARA MURILLO</t>
  </si>
  <si>
    <t>FUN-004</t>
  </si>
  <si>
    <t>Prestar los servicios profesionales especializados para llevar a cabo la representacion judicial y extrajudicial de la Caja de la Vivienda Popular, en materia laboral y laboral administrativa.</t>
  </si>
  <si>
    <t>JUAN MANUEL RUSSY ESCOBAR</t>
  </si>
  <si>
    <t>FUN-005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</si>
  <si>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</si>
  <si>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YAMILE PATRICIA CASTIBLANCO VENEGAS</t>
  </si>
  <si>
    <t>FUN-006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</si>
  <si>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</si>
  <si>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ESTUDIO ASESORIAS PROFESIONALES S.A.S.</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</si>
  <si>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</si>
  <si>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</si>
  <si>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</si>
  <si>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DAVID ANDRES GIRALDO UMBARILA</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</si>
  <si>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</si>
  <si>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FUN-008</t>
  </si>
  <si>
    <t>Prestar los servicios profesionales para apoyar a la Subdirección Administrativa con el mantenimiento, actualización e implementación del Subsistema de Seguridad y Salud en el Trabajo y con los Sistemas de Evaluación de los Funcionarios de la Entidad.</t>
  </si>
  <si>
    <t>MAYERLI  AZUERO LOZANO</t>
  </si>
  <si>
    <t>FUN-010</t>
  </si>
  <si>
    <t>Prestar los servicios profesionales para brindar apoyo  en temas relacionados con la gestión de calidad de los procesos que lidera la Subdirección.</t>
  </si>
  <si>
    <t>GINETH VIVIANA FRANCO PRADA</t>
  </si>
  <si>
    <t>FUN-011</t>
  </si>
  <si>
    <t>Prestación de servicios profesionales para el acompañamiento de las diferentes etapas de los procesos contractuales y la revisión jurídica de los temas a cargo de la Subdirección Administrativa.</t>
  </si>
  <si>
    <t>IVAN DARIO GOMEZ HENAO</t>
  </si>
  <si>
    <t>FUN-012</t>
  </si>
  <si>
    <t>Prestar los servicios profesionales para llevar a cabo las actividades del Plan Anual de Adquisiciones a través de procesos de contratación y realizar la revisión de carácter jurídico en los temas inherentes a la Subdirección Administrativa.</t>
  </si>
  <si>
    <t>HAMILTON  DIAZ GARCIA</t>
  </si>
  <si>
    <t>FUN-013</t>
  </si>
  <si>
    <t>Prestación de servicios profesionales para realizar el monitoreo, acompañamiento y mejora continua desde el punto de vista jurídico, al proceso de adquisición de bienes y servicios a cargo de la Dirección de Gestión Corporativa y CID.</t>
  </si>
  <si>
    <t>ELITE CONSULTORA  S A S</t>
  </si>
  <si>
    <t>PRESTACIÓN DE SERVICIOS PROFESIONALES PARA LA ASISTENCIA, ACOMPAÑAMIENTO, CONTROL Y SEGUIMIENTO JURÍDICO EN TODO LO CONCERNIENTE AL PROCESO DE ADQUISICIÓN DE BIENES Y SERVICIOS A CARGO DE LA DIRECCIÓN DE GESTIÓN CORPORATIVA Y CID.</t>
  </si>
  <si>
    <t>FUN-014</t>
  </si>
  <si>
    <t>Prestación de servicios profesionales para brindar asesoria juridica y acompañamiento externo en la gestion contractual y demás trámites administrativos que sean requeridos.</t>
  </si>
  <si>
    <t>FUN-015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</si>
  <si>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</si>
  <si>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LUIS DARIO SOTELO CARREÑO</t>
  </si>
  <si>
    <t>FUN-017</t>
  </si>
  <si>
    <t>03-JAN-18</t>
  </si>
  <si>
    <t>Prestación de servicios profesionales para realizar el acompañamiento en el cumplimiento de los lineamientos relacionados con la atención y prestación del servicio a la ciudadanía, a cargo de la Caja de la Vivienda Popular</t>
  </si>
  <si>
    <t>ROBERTO CARLOS NARVAEZ CORTES</t>
  </si>
  <si>
    <t>FUN-018</t>
  </si>
  <si>
    <t>Prestación de servicios profesionales para apoyar a la Oficina Asesora de Planeación en actividades de gestión y administración del Sistema Integrado de Gestión.</t>
  </si>
  <si>
    <t>CRISTHIAN CAMILO RODRIGUEZ MELO</t>
  </si>
  <si>
    <t>FUN-020</t>
  </si>
  <si>
    <t>Prestación de servicios profesionales para apoyar en la  formulación, seguimiento, ejecución y programación presupuestal de la Caja de la Vivienda Popular.</t>
  </si>
  <si>
    <t>DORIS  CARVAJAL MOJICA</t>
  </si>
  <si>
    <t>FUN-021</t>
  </si>
  <si>
    <t>Prestación de servicios profesionales para registrar, depurar, analizar y ajustar la información contable de la Caja de la Vivienda Popular, encumplimiento a la normatividad, los procedimientos y lineamientos establecidos por la entidad.</t>
  </si>
  <si>
    <t>SANDRA YAMILE ROJAS RICO</t>
  </si>
  <si>
    <t>FUN-022</t>
  </si>
  <si>
    <t>Prestación de servicios profesionales para apoyar a la Subdirección Financiera en la estructuración, revisión y evaluación del componente financiero y de documentos de análisis del sector que se requieran en los diferentes procesos de contratación.</t>
  </si>
  <si>
    <t>JOSE LEONARDO PINTO COLORADO</t>
  </si>
  <si>
    <t>FUN-024</t>
  </si>
  <si>
    <t>Prestación de servicios profesionales para analizar, registrar, consolidar y presentar la información contable y tributaria de la Caja de la Vivienda Popular.</t>
  </si>
  <si>
    <t>RUTH YEIMMY CIPRIAN HUERTAS</t>
  </si>
  <si>
    <t>PRESTACIÓN DE SERVICIOS PROFESIONALES PARA ANALIZAR, REGISTRAR, CONSOLIDAR Y PRESENTAR LA INFORMACIÓN CONTABLE Y TRIBUTARIA DE LA CAJA DE LA VIVIENDA POPULAR.</t>
  </si>
  <si>
    <t>FUN-025</t>
  </si>
  <si>
    <t>3-1-1-02-04-00-0000-00</t>
  </si>
  <si>
    <t>Remuneración Servicios Técnicos</t>
  </si>
  <si>
    <t>Prestar los servicios de apoyo a la gestión a la Dirección Jurídica en lo relacionado con el archivo, seguimiento y control de los procesos judiciales y extrajudiciales en los que hace parte la Caja de la Vivienda Popular.</t>
  </si>
  <si>
    <t>WALTER ARLEY RINCON QUINTERO</t>
  </si>
  <si>
    <t>FUN-026</t>
  </si>
  <si>
    <t>Prestación de servicios de apoyo a la gestión para realizar ela compañamiento técnico en los temas relacionados con el proceso de Gestión Documental a cargo de la Subdirección Administrativa.</t>
  </si>
  <si>
    <t>ARNULFO  MACIAS MUÑOZ</t>
  </si>
  <si>
    <t>FUN-027</t>
  </si>
  <si>
    <t>Prestación de servicios de apoyo a la gestión en las actividades operativas requeridas en el proceso de Gestión Documental a cargo de la Subdirección Administrativa.</t>
  </si>
  <si>
    <t>CARLOS EDUARDO GARCIA AVILAN</t>
  </si>
  <si>
    <t>FUN-028</t>
  </si>
  <si>
    <t>Prestación de servicios de apoyo a la gestión para realizar el acompañamiento técnico en los temas relacionados con el proceso de Gestión Documental a cargo de la Subdirección Administrativa.</t>
  </si>
  <si>
    <t>LUZ MERY PEDRAZA PEDRAZA</t>
  </si>
  <si>
    <t>FUN-029</t>
  </si>
  <si>
    <t>Prestación de servicios para apoyar las actividades operativas requeridas en la organización y consulta de los archivos de gestión de la Caja de la Vivienda Popular</t>
  </si>
  <si>
    <t>NELLY  NOVA PINZON</t>
  </si>
  <si>
    <t>PRESTACIÓN DE SERVICIOS PARA APOYAR LAS ACTIVIDADES OPERATIVAS REQUERIDAS EN LA ORGANIZACIÓN Y CONSULTA DE LOS ARCHIVOS DE GESTIÓN DE LA CAJA DE LA VIVIENDA POPULAR.</t>
  </si>
  <si>
    <t>FUN-030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</si>
  <si>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</si>
  <si>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LEYDY YOJANA FLOREZ SOLANO</t>
  </si>
  <si>
    <t>FUN-031</t>
  </si>
  <si>
    <t>DAVID FELIPE CASTAÑEDA RUBIO</t>
  </si>
  <si>
    <t>FUN-033</t>
  </si>
  <si>
    <t>Prestación de servicios de apoyo a la gestión en actividades relacionadas con el proceso financiero, que permitan el pago opotuno de los compromisos adquiridos por la Caja de la Vivienda Popular con terceros.</t>
  </si>
  <si>
    <t>ANDRES FELIPE CELY LUQUE</t>
  </si>
  <si>
    <t>FUN-034</t>
  </si>
  <si>
    <t>Prestar los servicios de apoyo para el trámite, seguimiento y control de las PQRS y realizar la gestión documental de la Subdirección Financiera, aplicando los lineamientos y normatividad vigentes.</t>
  </si>
  <si>
    <t>ELIZABETH  CARRILLO MEDINA</t>
  </si>
  <si>
    <t>FUN-035</t>
  </si>
  <si>
    <t>Prestación de servicios de apoyo a la gestión en las actividades administrativas y operativas relacionadas con los procesos a cargo de la Dirección de Gestión Corporativa y CID, especificamente en el de adquisición de bienes y servicios.</t>
  </si>
  <si>
    <t>NELLY MARIA GUZMAN NEUTA</t>
  </si>
  <si>
    <t>PRESTACIÓN DE SERVICIOS DE APOYO A LA GESTIÓN EN LAS ACTIVIDADES ADMINISTRATIVAS Y OPERATIVAS RELACIONADAS CON LOS PROCESOS A CARGO DE LA DIRECCIÓN DE GESTIÓN CORPORATIVA Y CID, ESPECIFICAMENTE EN EL DE ADQUISICIÓN DE BIENES Y SERVICIOS.</t>
  </si>
  <si>
    <t>FUN-036</t>
  </si>
  <si>
    <t>DIANA SOFIA MELO CASTRO</t>
  </si>
  <si>
    <t>FUN-037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</si>
  <si>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</si>
  <si>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DIEGO ALEXANDER ROMERO PORRAS</t>
  </si>
  <si>
    <t>FUN-038</t>
  </si>
  <si>
    <t>Prestación de servicios para apoyar las actividades de administración y control de las bases de datos y de los sistemas de información utilizados por la Dirección de Gestión Corporativa y CID en el proceso de adquisición de bienes y servicios.</t>
  </si>
  <si>
    <t>ANDREA VANESSA JAIMES CARDENAS</t>
  </si>
  <si>
    <t>FUN-039</t>
  </si>
  <si>
    <t>LAURA VANESA MARTINEZ PEÑA</t>
  </si>
  <si>
    <t>FUN-040</t>
  </si>
  <si>
    <t>MARTHA CECILIA PERDOMO ORTIZ</t>
  </si>
  <si>
    <t>FUN-041</t>
  </si>
  <si>
    <t>MARIA LUISA VILLARREAL HERNANDEZ</t>
  </si>
  <si>
    <t>FUN-042</t>
  </si>
  <si>
    <t>Prestación de servicios de apoyo a la gestión en la Dirección de Gestión Corporativa y CID, para apoyar operativamente las actividades realacionadas con la aplicación de los instrumentos archivísticos de la entidad.</t>
  </si>
  <si>
    <t>MARIA ANGELICA AMEZQUITA GUZMAN</t>
  </si>
  <si>
    <t>FUN-044</t>
  </si>
  <si>
    <t>Prestación de servicios de apoyo a la gestion en las actividades relacionadas con el análisis y depuración de la cartera de la Entidad que se encuentran a cargo de la Subdireccion Financiera.</t>
  </si>
  <si>
    <t>JEIMY KATHERINE BERNAL GARCIA</t>
  </si>
  <si>
    <t>FUN-045</t>
  </si>
  <si>
    <t>10-JAN-18</t>
  </si>
  <si>
    <t>Prestar servicios profesionales para apoyar la formulación, seguimiento, evaluación, mantenimiento y mejora del Subsistema de Gestion Ambiental,  acorde a los lineamientos y normatividad vigente.</t>
  </si>
  <si>
    <t>PHILLIP  KLEIN GARAVITO</t>
  </si>
  <si>
    <t>FUN-046</t>
  </si>
  <si>
    <t>12-JAN-18</t>
  </si>
  <si>
    <t>Prestar los servicios profesionales para brindar apoyo respecto al seguimiento financiero y presupuestal de los contratos a cargo de la Subdirección Administrativa.</t>
  </si>
  <si>
    <t>AMALIA JEANNETTE SANCHEZ GUIO</t>
  </si>
  <si>
    <t>FUN-047</t>
  </si>
  <si>
    <t>11-JAN-18</t>
  </si>
  <si>
    <t>Prestación de servicios de apoyo a la gestión para el adelantamiento de actividades administrativas y operativas relacionadas con los procesos a cargo de la Dirección de Gestión Corporativa y CID.</t>
  </si>
  <si>
    <t>JESSICA VIVIAN JIMENEZ BERNAL</t>
  </si>
  <si>
    <t>FUN-048</t>
  </si>
  <si>
    <t>18-JAN-18</t>
  </si>
  <si>
    <t>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</si>
  <si>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FUN-050</t>
  </si>
  <si>
    <t>3-1-2-02-03-00-0000-00</t>
  </si>
  <si>
    <t>Gastos de Transporte y Comunicación</t>
  </si>
  <si>
    <t>Pago de internet de la Caja de la Vivienda Popular</t>
  </si>
  <si>
    <t>EMPRESA DE TELECOMUNICACIONES DE BOGOTA SA ESP</t>
  </si>
  <si>
    <t>PAGO DE INTERNET DE LA CAJA DE LA VIVIENDA POPULAR, PERIODO FACTURADO 01 DE DICIEMBRE DE 2017-31 DE DICIEMBRE DE 2017</t>
  </si>
  <si>
    <t>FUN-051</t>
  </si>
  <si>
    <t>Servicio de Telefonía Celular</t>
  </si>
  <si>
    <t>COLOMBIA TELECOMUNICACIONES S A E S P</t>
  </si>
  <si>
    <t>PAGO DE SERVICIO DE TELEFONÍA CELULAR DE LA CAJA DE CICIENDA POPULAR, PERIODO FACTURADO 17 DE ENERO DE 2018- 16 DE FEBRERO DE 2018</t>
  </si>
  <si>
    <t>PAGO DE SERVICIO DE TELEFONÍA CELULAR DE LA CAJA DE VIVIENDA POPULAR, PERÍODO FACTURADO 17 DE FEBRERO DE 2018 - 16 DE MARZO DE 2018</t>
  </si>
  <si>
    <t>PAGO DE SERVICIO DE TELEFONÍA CELULAR DE LA CAJA DE VIVIENDA POPULAR, PERÍODO FACTURADO 17 DE MARZO AL 16 DE ABRIL DE 2018</t>
  </si>
  <si>
    <t>PAGO SERVICIO DE TELEFONÍA CELULAR CVP PERIODO 17 ABRIL A 16 MAYO DE 2018</t>
  </si>
  <si>
    <t>SERVICIO DE TELEFONÍA CELULAR DE LA CAJA DE LA VIVIENDA POPULAR, PERIODO FACTURADO: MAYO 17 A JUNIO 16 DE 2018</t>
  </si>
  <si>
    <t>SERVICIO DE TELEFONÍA CELULAR CVP PERIODO JUNIO 17 A JULIO 16 DE 2018 S/G FACTURA EC178061701</t>
  </si>
  <si>
    <t>PAGO SERVICIO DE TELEFONÍA CELULAR, PERIODO FACTURADO: JULIO 17 A AGOSTO 16 DE 2018.</t>
  </si>
  <si>
    <t>SERVICIO DE TELEFONÍA CELULAR PERIODO AGOSTO 17 A SEPTIEMBRE 16 DE 2018 S/F 183652520</t>
  </si>
  <si>
    <t>PAGO DE SERVICIO DE TELEFONÍA CELULAR DE LA CAJA DE VIVIENDA POPULAR, PERÍODO FACTURADO: SEPTIEMBRE 17 A OCTUBRE 16 DE 2018.</t>
  </si>
  <si>
    <t>FUN-052</t>
  </si>
  <si>
    <t>3-1-2-01-04-00-0000-00</t>
  </si>
  <si>
    <t>Materiales y Suministros</t>
  </si>
  <si>
    <t>19-JAN-18</t>
  </si>
  <si>
    <t>CONSTITUCION CAJA MENOR DE LA CAJA DE LA VIVIENDA POPULAR PARA LA VIGENCIA 2018.</t>
  </si>
  <si>
    <t>REEMBOLSO DE CAJA MENOR DEL MES DE FEBRERO DE 2018</t>
  </si>
  <si>
    <t>REEMBOLSO CAJA MENOR DEL MES DE MARZO DE 2018.</t>
  </si>
  <si>
    <t>REEMBOLSO DE CAJA MENOR MES ABRIL DEL 2018</t>
  </si>
  <si>
    <t>REEMBOLSO DE CAJA MENOR MES DE MAYO DE 2018</t>
  </si>
  <si>
    <t>REEMBOLSO DE CAJA MENOR MES DE JUNIO DE 2018</t>
  </si>
  <si>
    <t>REEMBOLSO DE CAJA MENOR DEL MES DE JULIO 2018</t>
  </si>
  <si>
    <t>FUN-053</t>
  </si>
  <si>
    <t>REEMBOLSO DE CAJA MENOR DEL MES DE ENERO DE 2018</t>
  </si>
  <si>
    <t>FUN-054</t>
  </si>
  <si>
    <t>3-1-2-02-04-00-0000-00</t>
  </si>
  <si>
    <t>Impresos y  Publicaciones</t>
  </si>
  <si>
    <t>22-JAN-18</t>
  </si>
  <si>
    <t>CONSTITUCION CAJA MENOR DE LA CAJA DE LA VIVIENDA POPULAR PARA LA VIGENCIA 2018</t>
  </si>
  <si>
    <t>FUN-055</t>
  </si>
  <si>
    <t>3-1-2-02-05-01-0000-00</t>
  </si>
  <si>
    <t>Mantenimiento Entidad</t>
  </si>
  <si>
    <t>CONSTITUCIÓN CAJA MENOR DE LA CAJA DE LA VIVIENDA POPULAR PARA LA VIGENCIA 2018</t>
  </si>
  <si>
    <t>REEMBOLSO DE CAJA MENOR DEL MES DE MARZO DE 2018</t>
  </si>
  <si>
    <t>REEMBOLSO DE CAJA MENOR  DEL MES DE AGOSTO DE 2018</t>
  </si>
  <si>
    <t>FUN-056</t>
  </si>
  <si>
    <t>3-1-2-03-02-00-0000-00</t>
  </si>
  <si>
    <t>Impuestos, Tasas, Contribuciones, Derechos y Multas</t>
  </si>
  <si>
    <t>FUN-057</t>
  </si>
  <si>
    <t>PAGO DE INTERNET DE LA CAJA DE LA VIVIENDA POPULAR, FACTURA 247565515</t>
  </si>
  <si>
    <t>FUN-059</t>
  </si>
  <si>
    <t>ADQUISICIÓN DE ELEMENTOS DE FERRETERÍA PARA LA CAJA DE LA VIVIENDA POPULAR</t>
  </si>
  <si>
    <t>WILLIAM ALFONSO LAGUNA VARGAS</t>
  </si>
  <si>
    <t>FUN-060</t>
  </si>
  <si>
    <t>3-1-2-02-10-00-0000-00</t>
  </si>
  <si>
    <t>Bienestar e Incentivos</t>
  </si>
  <si>
    <t>PAGO AUXILIO DE ESTUDIO SEGÚN CONVENCIÓN COLECTIVA DE TRABAJADORES DE NOVIEMBRE 29 DE 1990 CLAUSULA 10</t>
  </si>
  <si>
    <t>JOSE IGNACIO BLANCO TORRES</t>
  </si>
  <si>
    <t>FUN-061</t>
  </si>
  <si>
    <t>PRESTACIÓN DEL SERVICIO INTEGRAL DE ASEO Y CAFETERIA PARA LA CAJA DE LA VIVIENDA POPULAR</t>
  </si>
  <si>
    <t>UNION TEMPORAL BIOLIMPIEZA</t>
  </si>
  <si>
    <t>FUN-062</t>
  </si>
  <si>
    <t>Pago de internet de la Caja de la Viviewnda Popular</t>
  </si>
  <si>
    <t>PAGO DE SERVICIO DE INTERNET DE LA CAJA DE VIVIENDA POPULAR, PERIODO FACTURADO 01 DE ENERO DE 2018 - 31 DE ENERO DE 2018</t>
  </si>
  <si>
    <t>FUN-063</t>
  </si>
  <si>
    <t>Adición y prórroga al contrato 419 de 2017 cuyo objeto es "Prestar el servicio de mensajería expresa y motorizada para la recolección, transporte y entrega de la correspondencia de la Caja de la Vivienda Popular."</t>
  </si>
  <si>
    <t>REDEX S A S</t>
  </si>
  <si>
    <t>FUN-065</t>
  </si>
  <si>
    <t>3-1-2-01-02-00-0000-00</t>
  </si>
  <si>
    <t>Gastos de Computador</t>
  </si>
  <si>
    <t>Adición al contrato 587 de 2017 cuyo objeto es "Suministro de tonner, cintas y demás elementos requeridos para equipos de impresión de la Caja de la Vivienda Popular." tarjetas canjeables.</t>
  </si>
  <si>
    <t>SISTEMAS Y DISTRIBUCIONES FORMACON LTDA</t>
  </si>
  <si>
    <t>FUN-071</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</si>
  <si>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</si>
  <si>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UNION TEMPORAL SS 2017</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</si>
  <si>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</si>
  <si>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FUN-072</t>
  </si>
  <si>
    <t>REEMPLAZO DEL CDP 549 DE 2018 PARA LA CONSTITUCION DE CAJA MENOR DE LA CAJA DE LA VIVIENDA POPULAR PARA LA VIGENCIA 2018</t>
  </si>
  <si>
    <t>FUN-073</t>
  </si>
  <si>
    <t>PAGO DE INTERNET DE LA CAJA DE LA VIVIENDA POPULAR</t>
  </si>
  <si>
    <t>PAGO DE INTERNET DE LA CAJA DE LA VIVIENDA POPULAR PERIODO FACTURADO FEBRERO 01 AL 28 DE 2018</t>
  </si>
  <si>
    <t>FUN-074</t>
  </si>
  <si>
    <t>Pago auxilio funerario de acuerdo a la cláusula novena, capítulo III de la Convención Colectiva de Trabajo firmada entre LA CAJA DE LA VIVIENDA POPULAR y el SINDICATO DE TRABAJADORES, del veintinueve (29) de noviembre de mil novecientos noventa (1990), ¿En caso de fallecimiento de alguno de los padres del trabajador, LA CAJA DE LA VIVIENDA POPULAR, reconocerá y pagará un auxilio funerario equivalente a un salario mínimo convencional, el cual se dará directamente al trabajador.</t>
  </si>
  <si>
    <t>MARISOL  MALAGON PARRA</t>
  </si>
  <si>
    <t>PAGO AUXILIO FUNERARIO A MARISOL MALAGON PARRA POR LA MUERTE DE SU SEÑOR PADRE, SERVILIO MALAGON MENJURA, PARA LO CUAL ANEXO COPIA DEL REGISTRO CIVIL DE DEFUNCION INDICATIVO SERIAL 09529960. DE ACUERDO A LA CLÁUSULA NOVENA, CAPÍTULO III DE LA CONVENCIÓN COLECTIVA DE TRABAJO FIRMADA ENTRE LA CAJA DE LA VIVIENDA POPULAR Y EL SINDICATO DE TRABAJADORES, DEL VEINTINUEVE (29) DE NOVIEMBRE DE MIL NOVECIENTOS NOVENTA (1990), ¿EN CASO DE FALLECIMIENTO DE ALGUNO DE LOS PADRES DEL TRABAJADOR, LA CAJA DE LA VIVIENDA POPULAR, RECONOCERÁ Y PAGARÁ UN AUXILIO FUNERARIO EQUIVALENTE A UN SALARIO MÍNIMO CONVENCIONAL, EL CUAL SE DARÁ DIRECTAMENTE AL TRABAJADOR.</t>
  </si>
  <si>
    <t>FUN-075</t>
  </si>
  <si>
    <t>12-APR-18</t>
  </si>
  <si>
    <t>Prestación de servicio integral de fotocopiado, anillado y fotoplanos que requiera la Caja de la Vivienda Popular, de acuerdo con las especificaciones técnicas.</t>
  </si>
  <si>
    <t>T &amp; G MINOLTA LIMITADA</t>
  </si>
  <si>
    <t>FUN-076</t>
  </si>
  <si>
    <t>17-APR-18</t>
  </si>
  <si>
    <t>PAGO DE INTERNET DE LA CAJA DE LA VIVIENDA POPULAR PERIODO FACTURADO : MARZO 1-31 DE 2018</t>
  </si>
  <si>
    <t>FUN-077</t>
  </si>
  <si>
    <t>Prestación del servicio de mensajería expresa y motorizada para la recolección, transporte y entrega de la correspondencia de la Caja de la Vivienda Popular.</t>
  </si>
  <si>
    <t>SERVICIOS POSTALES NACIONALES S A</t>
  </si>
  <si>
    <t>FUN-078</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</si>
  <si>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</si>
  <si>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CUIDAR LIMITADA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</si>
  <si>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</si>
  <si>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FUN-079</t>
  </si>
  <si>
    <t>3-1-2-02-12-00-0000-00</t>
  </si>
  <si>
    <t>Salud Ocupacional</t>
  </si>
  <si>
    <t>Contratar los servicios en salud ocupacional en especial lo relacionado con los exámenes médicos ocupacionales, de pre-ingreso, por cambio de ocupación, post-incapacidad y de egreso para la Caja de la Vivienda Popular.</t>
  </si>
  <si>
    <t>BIENESTAR Y SALUD EMPRESARIAL S A S</t>
  </si>
  <si>
    <t>FUN-086</t>
  </si>
  <si>
    <t>Contratar la adquisición de un desfibrilador externo automático que permita la aplicación de descargas eléctricas para lograr el restablecimiento del ritmo cardíaco normal en caso de requerirse.</t>
  </si>
  <si>
    <t>IMCOLMEDICA S A</t>
  </si>
  <si>
    <t>FUN-087</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</si>
  <si>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</si>
  <si>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CAJA DE COMPENSACION FAMILIAR - COMPENSAR</t>
  </si>
  <si>
    <t>FUN-088</t>
  </si>
  <si>
    <t>Contratar la adquisición de elementos de protección personal requeridos para el personal de la Caja de la Vivienda Popular de conformidad con las especificaciones técnicas establecidas por la Entidad.</t>
  </si>
  <si>
    <t>LABORUM FASHION LTDA</t>
  </si>
  <si>
    <t>FUN-089</t>
  </si>
  <si>
    <t>Adición al contrato 646 de 2017 cuyo objeto es: "Contratar los servicios en salud ocupacional referente a la realización de los exámenes médicos ocupacionales, de pre-ingreso, periódicos programados, por cambio de ocupación, post-incapacidad y de egreso para la Caja de la Vivienda Popular.</t>
  </si>
  <si>
    <t>PROTEGER IPS SAS</t>
  </si>
  <si>
    <t>FUN-090</t>
  </si>
  <si>
    <t>3-1-2-02-09-01-0000-00</t>
  </si>
  <si>
    <t>Capacitación Interna</t>
  </si>
  <si>
    <t>Prestación de servicios para la implementación del plan institucional de capacitación de la CVP a través de diplomados, talleres, conferencia, cursos, en procura del fortalecimiento institucional</t>
  </si>
  <si>
    <t>UNIVERSIDAD DISTRITAL FRANCISCO JOSE DE CALDAS</t>
  </si>
  <si>
    <t>FUN-091</t>
  </si>
  <si>
    <t>3-1-2-01-01-00-0000-00</t>
  </si>
  <si>
    <t>Dotación</t>
  </si>
  <si>
    <t>Contratar el suministro de dotación del vestido labor y calzado para los funcionarios de la Caja de la Vivienda Popular durante la vigencia 2018 a través del sistema de bonos, vales o tarjetas canjeables.</t>
  </si>
  <si>
    <t>FUN-092</t>
  </si>
  <si>
    <t>Prestación de servicios profesionales para asesorar a la Dirección General, en el desarrollo y seguimiento de actividades jurídicas, presupuestales y contractuales de los diferentes proyectos de la Caja de la Vivienda Popular.</t>
  </si>
  <si>
    <t>L&amp;L ASESORES</t>
  </si>
  <si>
    <t>FUN-094</t>
  </si>
  <si>
    <t>Contratar la prestación del servicio de mantenimiento preventivo y correctivo con suministro de repuestos para el elevador de la Caja de la Vivienda Popular</t>
  </si>
  <si>
    <t>ASCENSORES SCHINDLER DE COLOMBIA SAS</t>
  </si>
  <si>
    <t>CONTRATAR LA PRESTACIÓN DEL SERVICIO DE MANTENIMIENTO PREVENTIVO Y CORRECTIVO CON SUMINISTRO DE REPUESTOS PARA EL ELEVADOR DE LA CAJA DE LA VIVIENDA POPULAR.</t>
  </si>
  <si>
    <t>FUN-095</t>
  </si>
  <si>
    <t>Prestación de servicios de apoyo a la gestion de la Subdirección Financiera, en el desarrollo de actividades propias de su gestion, en especial las relacionadas con tesoreria, de acuerdo con las normas vigentes, los procedimientos y los lineamientos internos de la Caja de la Vivienda Popular.</t>
  </si>
  <si>
    <t>JUAN EDUARDO GUERRERO QUIROGA</t>
  </si>
  <si>
    <t>FUN-096</t>
  </si>
  <si>
    <t>Prestar el servicio de mantenimiento preventivo y correctivo para el sistema de bombeo de la Caja de la Vivienda Popular.</t>
  </si>
  <si>
    <t>GPS ELECTRONICS LTDA</t>
  </si>
  <si>
    <t>FUN-097</t>
  </si>
  <si>
    <t>Contratar la realización del diagnóstico, identificación, evaluación y propuesta de intervención de los factores de riesgo Psicosocial presentes en la Caja de la Vivienda Popular.</t>
  </si>
  <si>
    <t>BELISARIO VELASQUEZ &amp; ASOCIADOS SAS</t>
  </si>
  <si>
    <t>FUN-098</t>
  </si>
  <si>
    <t>SUMINISTRO DE TONNER, CINTAS Y DEMÁS ELEMENTOS REQUERIDOS PARA EQUIPOS DE IMPRESIÓN DE LA CAJA DE LA VIVIENDA POPULAR.</t>
  </si>
  <si>
    <t>FUN-099</t>
  </si>
  <si>
    <t>Prestación de servicios profesionales para el acompañamiento jurídico en las diferentes etapas de los procesos de contratación que adelante la Caja de la Vivienda Popular.</t>
  </si>
  <si>
    <t>LEYLA MARJIT BOTIVA RAMOS</t>
  </si>
  <si>
    <t>FUN-101</t>
  </si>
  <si>
    <t>Contratar la prestación del servicio de mantenimiento (revisión y recarga) de los extintores y Gabinetes Contra incendio de la Caja de la Vivienda Popular.</t>
  </si>
  <si>
    <t>FUN-102</t>
  </si>
  <si>
    <t>3-1-2-02-06-01-0000-00</t>
  </si>
  <si>
    <t>Seguros Entidad</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</si>
  <si>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</si>
  <si>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FUN-104</t>
  </si>
  <si>
    <t>Contratar la adquisición de elementos ergonómicos con los cuales se cumpla las normas ergonómicas de los puestos de trabajo de la Caja de la Vivienda Popular.</t>
  </si>
  <si>
    <t>FUN-105</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</si>
  <si>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</si>
  <si>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SIN</t>
  </si>
  <si>
    <t>3-1-2-02-08-01-0000-00</t>
  </si>
  <si>
    <t>Energía</t>
  </si>
  <si>
    <t>PAGO DEL SERVICIOS DE ENERGIA DE LA CAJA DE LA VIVIENDA POPULAR</t>
  </si>
  <si>
    <t>CODENSA S. A. ESP</t>
  </si>
  <si>
    <t>PAGO DEL SERVICIOS DE ENERGIA DE LA CAJA DE LA VIVIENDA POPULAR PERIODO DEL12 DICIEMBRE AL 11 DE ENERO 2018</t>
  </si>
  <si>
    <t>PAGO DEL SERVICIOS DE ENERGIA DE LA CAJA DE LA VIVIENDA POPULAR, PERIODO FACTURADO AL 11 DE ENERO DE 2018 AL 09 DE FEBRERO DE 2018.</t>
  </si>
  <si>
    <t>PAGO DEL SERVICIOS DE ENERGIA DE LA CAJA DE LA VIVIENDA POPULAR, PERIODO FACTURADO AL 09 DE FEBRERO DE 2018 AL 09 DE MARZO DE 2018</t>
  </si>
  <si>
    <t>PAGO DEL SERVICIOS DE ENERGIA DE LA CAJA DE LA VIVIENDA POPULAR- CUENTA N°0429213-0, PERIODO FACTURADO: MARZO 9- ABRIL 11 DE 2018</t>
  </si>
  <si>
    <t>PAGO DEL SERVICIOS DE ENERGIA DE LA CAJA DE LA VIVIENDA POPULAR- CUENTA N0429213-0,PERIODO FCATURADO: ABRIL 11 A MAYO 10 DE 2018</t>
  </si>
  <si>
    <t>PAGO DEL SERVICIOS DE ENERGIA DE LA CAJA DE LA VIVIENDA POPULAR S/G FACTURA 513023709 PERIODO MAYO 10 A JUNIO 12 DE 2018</t>
  </si>
  <si>
    <t>PAGO DEL SERVICIOS DE ENERGIA DE LA CAJA DE LA VIVIENDA POPULAR S/G FACTURA 516384559 PERIODO 12 JUNIO A 11 JULIO DE 2018</t>
  </si>
  <si>
    <t>PAGO DEL SERVICIOS DE ENERGIA DE LA CAJA DE LA VIVIENDA POPULAR CUENTA N°0429213-0, PERIODO FACTURADO : 11 DE JULIO A AGOSTO 10 DE 2018</t>
  </si>
  <si>
    <t>PAGO DEL SERVICIOS DE ENERGIA DE LA CAJA DE LA VIVIENDA POPULAR- CUENTA N°0429213-0 , PERIODO FACTURADO: AGOSTO 10 A SEPTIEMBRE 11 DE 2018</t>
  </si>
  <si>
    <t>3-1-2-02-08-02-0000-00</t>
  </si>
  <si>
    <t>Acueducto y Alcantarillado</t>
  </si>
  <si>
    <t>PAGO DEL SERVICIO DE ACUEDUCTO Y ALCANTARILLADO DE LA CAJA DE LA VIVIENDA POPULAR</t>
  </si>
  <si>
    <t>EMPRESA DE ACUEDUCTO ALCANTARILLADO Y ASEO DE BOGOTA ESP</t>
  </si>
  <si>
    <t>PAGO DEL SERVICIO DE ACUEDUCTO Y ALCANTARILLADO DE LA CAJA DE LA VIVIENDA POPULAR, PERIODO FACTURADO 16 DE NOVIEMBRE DE 2017-16 DE ENERO DE 2018</t>
  </si>
  <si>
    <t>PAGO DEL SERVICIO DE ACUEDUCTO DE LA CAJA DE LA VIVIENDA POPULAR- PERIODO FACTURADO: ENERO 17 A MARZO 15 DE 2018</t>
  </si>
  <si>
    <t>PAGO DEL SERVICIO DE ACUEDUCTO Y ALCANTARILLADO DE LA CAJA DE LA VIVIENDA POPULAR PERIODO FACTURADO MARZO 16 A MAYO 16 DE 2018 S/G FACTURA 29420961012</t>
  </si>
  <si>
    <t>PAGO DEL SERVICIO DE ACUEDUCTO Y ALCANTARILLADO DE LA CAJA DE LA VIVIENDA POPULAR, PERIODO FACTURADO: MAYO17 A JULIO 13 DE 2018</t>
  </si>
  <si>
    <t>3-1-2-02-08-03-0000-00</t>
  </si>
  <si>
    <t>Aseo</t>
  </si>
  <si>
    <t>PAGO DEL SERVICIO DE ASEO DE LA CAJA DE LA VIVIENDA POPULAR</t>
  </si>
  <si>
    <t>PAGO DEL SERVICIO DE ASEO DE LA CAJA DE LA VIVIENDA POPULAR, PERIODO FACTURADO 18 DE OCTUBRE DE 2017- 16 DE DICIEMBRE DE 2017</t>
  </si>
  <si>
    <t>PAGO DEL SERVICIO DE ASEO DE LA CAJA DE LA VIVIENDA POPULAR- PERIODO FACTURADO : DICIEMBRE 17 DE 2017 A FEBRERO 14 DE 2018</t>
  </si>
  <si>
    <t>PROMOAMBIENTAL DISTRITO S A S ESP</t>
  </si>
  <si>
    <t>PAGO DEL SERVICIO DE ASEO DE LA CAJA DE LA VIVIENDA POPULAR- PERIODO FACTURADO: FEBRERO 12 A ABRIL 30 DE 2018</t>
  </si>
  <si>
    <t>PAGO DE SERVICIO DE ASEO DE LA CAJA DE LA VIVIENDA POPULAR - PERIODO FACTURADO: MAYO 1 A JUNIO 30 DE 2018</t>
  </si>
  <si>
    <t>3-1-2-02-08-04-0000-00</t>
  </si>
  <si>
    <t>Teléfono</t>
  </si>
  <si>
    <t>PAGO DEL SERVICIO DE TELEFO DE LA CAJA DE LA VIVIENDA POPULAR</t>
  </si>
  <si>
    <t>PAGO DEL SERVICIO DE TELEFONO DE LA CAJA DE LA VIVIENDA POPULAR PERIODO FACTURADO DEL 01 DE DICIEMBRE AL 31 DICIEMBRE DE 2017</t>
  </si>
  <si>
    <t>PAGO DE SERVICIO DE TELEFONO DE LA CAJA DE VIVIENDA POPULAR, PERIODO FACTURADO 01 DE ENERO DE 2018 - 31 DE ENERO DE 2018</t>
  </si>
  <si>
    <t>PAGO DEL SERVICIO DE TELEFO DE LA CAJA DE LA VIVIENDA POPULAR PERIODO FACTURADO FEBRERO 01 AL 28 DE 2018</t>
  </si>
  <si>
    <t>PAGO DEL SERVICIO DE TELEFO DE LA CAJA DE LA VIVIENDA POPULAR PERIODO FACTURADO: MARZO 1-31 DE 2018</t>
  </si>
  <si>
    <t>PAGO DEL SERVICIO DE TELEFO DE LA CAJA DE LA VIVIENDA POPULAR. PERIODO FACTURADO : ABRIL 1-30 DE 2018</t>
  </si>
  <si>
    <t>PAGO DEL SERVICIO DE TELEFONO DE LA CAJA DE LA VIVIENDA POPULAR, PERIODO FACTURADO : MAYO 1-31 DE 2018</t>
  </si>
  <si>
    <t>PAGO DEL SERVICIO DE TELEFONO DE LA CAJA DE LA VIVIENDA POPULAR, PERIODO FACTURADO : JUNIO1-30 DE 2018</t>
  </si>
  <si>
    <t>PAGO DEL SERVICIO DE TELEFO DE LA CAJA DE LA VIVIENDA POPULAR. PERIODO FACTURADO: JULIO 1-31 DE 2018</t>
  </si>
  <si>
    <t>PAGO DEL SERVICIO DE TELEFONO DE LA CAJA DE LA VIVIENDA POPULAR PERIODO AGOSTO 01 A 31 AGOSTO 2018</t>
  </si>
  <si>
    <t>Cubrir el pago de incripción de los dos servidores públicos de la entidad para entidad para participar en la 40a JORNADAS INTERNACIONALES DE DERECHO PROCESAL en Bogotá DC.</t>
  </si>
  <si>
    <t>FUNDACION UNIVERSIDAD EXTERNADO DE COLOMBIA</t>
  </si>
  <si>
    <t>3-1-5-00-00-00-0000-00</t>
  </si>
  <si>
    <t>PASIVOS EXIGIBLES</t>
  </si>
  <si>
    <t>Pago de Pasivo Exigible a nombre de la señora GELEN LIZETH LOAIZA PARRA  identificada con CC. 1.031.150.800 Contrato 246 de 2015 Acta de fenecimiento del 31/12/2016.</t>
  </si>
  <si>
    <t>74-Recursos Pasivos Exigibles Otros Distrito</t>
  </si>
  <si>
    <t>GELEN LIZETH LOAIZA PARRA</t>
  </si>
  <si>
    <t>SEGUIMIENTO PLAN DE CONTRATACIÓN
VIGENCIA 2017</t>
  </si>
  <si>
    <t>Código:208-PLA-Ft-11</t>
  </si>
  <si>
    <t>Versión: 8</t>
  </si>
  <si>
    <t>Pág: 1 de 1</t>
  </si>
  <si>
    <t>Vigente desde:  02/10/2017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</si>
</sst>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quot;$&quot;\ * #,##0.00_-;\-&quot;$&quot;\ * #,##0.00_-;_-&quot;$&quot;\ * &quot;-&quot;_-;_-@_-"/>
    <numFmt numFmtId="167" formatCode="[$$-240A]\ #,##0;\-[$$-240A]\ #,##0"/>
    <numFmt numFmtId="168" formatCode="_-* #,##0.00\ _€_-;\-* #,##0.00\ _€_-;_-* &quot;-&quot;??\ _€_-;_-@_-"/>
    <numFmt numFmtId="169" formatCode="_-* #,##0\ _€_-;\-* #,##0\ _€_-;_-* &quot;-&quot;??\ _€_-;_-@_-"/>
    <numFmt numFmtId="170" formatCode="#,##0.0"/>
    <numFmt numFmtId="171" formatCode="_(&quot;$&quot;\ * #,##0.00_);_(&quot;$&quot;\ * \(#,##0.00\);_(&quot;$&quot;\ * &quot;-&quot;??_);_(@_)"/>
    <numFmt numFmtId="172" formatCode="_-&quot;$&quot;* #,##0_-;\-&quot;$&quot;* #,##0_-;_-&quot;$&quot;* &quot;-&quot;_-;_-@_-"/>
    <numFmt numFmtId="173" formatCode="_ * #,##0_ ;_ * \-#,##0_ ;_ * &quot;-&quot;??_ ;_ @_ "/>
    <numFmt numFmtId="174" formatCode="_ * #,##0.00_ ;_ * \-#,##0.00_ ;_ * &quot;-&quot;??_ ;_ @_ "/>
    <numFmt numFmtId="175" formatCode="_-&quot;$&quot;* #,##0.00_-;\-&quot;$&quot;* #,##0.00_-;_-&quot;$&quot;* &quot;-&quot;_-;_-@_-"/>
    <numFmt numFmtId="176" formatCode="0.0"/>
    <numFmt numFmtId="177" formatCode="#,##0_ ;\-#,##0\ "/>
    <numFmt numFmtId="178" formatCode="#,##0.0_ ;\-#,##0.0\ "/>
    <numFmt numFmtId="179" formatCode="dd\-mm\-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9"/>
      <name val="Arial Narrow"/>
      <family val="2"/>
    </font>
    <font>
      <sz val="10"/>
      <name val="Arial"/>
      <family val="2"/>
    </font>
    <font>
      <b/>
      <sz val="7"/>
      <name val="Verdana"/>
      <family val="2"/>
    </font>
    <font>
      <sz val="11"/>
      <color rgb="FF222222"/>
      <name val="Arial"/>
      <family val="2"/>
    </font>
    <font>
      <sz val="11"/>
      <color rgb="FF000000"/>
      <name val="Arial"/>
      <family val="2"/>
    </font>
    <font>
      <sz val="10"/>
      <color indexed="81"/>
      <name val="Tahoma"/>
      <family val="2"/>
    </font>
    <font>
      <b/>
      <sz val="8"/>
      <color indexed="81"/>
      <name val="Tahoma"/>
      <family val="2"/>
    </font>
    <font>
      <sz val="8"/>
      <color indexed="81"/>
      <name val="Tahoma"/>
      <family val="2"/>
    </font>
    <font>
      <b/>
      <sz val="10"/>
      <color indexed="81"/>
      <name val="Tahoma"/>
      <family val="2"/>
    </font>
    <font>
      <sz val="10"/>
      <color theme="1"/>
      <name val="Calibri"/>
      <family val="2"/>
      <scheme val="minor"/>
    </font>
    <font>
      <b/>
      <sz val="10"/>
      <color theme="1"/>
      <name val="Calibri"/>
      <family val="2"/>
      <scheme val="minor"/>
    </font>
    <font>
      <sz val="12"/>
      <color theme="1"/>
      <name val="Calibri"/>
      <family val="2"/>
      <scheme val="minor"/>
    </font>
    <font>
      <b/>
      <sz val="9"/>
      <color indexed="81"/>
      <name val="Tahoma"/>
      <family val="2"/>
    </font>
    <font>
      <sz val="9"/>
      <color indexed="81"/>
      <name val="Tahoma"/>
      <family val="2"/>
    </font>
    <font>
      <sz val="11"/>
      <color indexed="81"/>
      <name val="Tahoma"/>
      <family val="2"/>
    </font>
    <font>
      <sz val="12"/>
      <color indexed="81"/>
      <name val="Tahoma"/>
      <family val="2"/>
    </font>
    <font>
      <sz val="11"/>
      <color theme="1"/>
      <name val="Arial"/>
      <family val="2"/>
    </font>
    <font>
      <sz val="11"/>
      <name val="Arial"/>
      <family val="2"/>
    </font>
    <font>
      <b/>
      <sz val="11"/>
      <name val="Arial"/>
      <family val="2"/>
    </font>
    <font>
      <sz val="11"/>
      <color theme="5" tint="-0.249977111117893"/>
      <name val="Arial"/>
      <family val="2"/>
    </font>
    <font>
      <b/>
      <sz val="11"/>
      <color theme="1"/>
      <name val="Arial"/>
      <family val="2"/>
    </font>
    <font>
      <b/>
      <sz val="11"/>
      <color theme="5" tint="-0.249977111117893"/>
      <name val="Arial"/>
      <family val="2"/>
    </font>
    <font>
      <sz val="10"/>
      <name val="Arial Narrow"/>
      <family val="2"/>
    </font>
    <font>
      <b/>
      <sz val="10"/>
      <name val="Arial Narrow"/>
      <family val="2"/>
    </font>
    <font>
      <sz val="9"/>
      <name val="Arial Narrow"/>
      <family val="2"/>
    </font>
  </fonts>
  <fills count="10">
    <fill>
      <patternFill patternType="none"/>
    </fill>
    <fill>
      <patternFill patternType="gray125"/>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rgb="FFB2A1C7"/>
      </patternFill>
    </fill>
    <fill>
      <patternFill patternType="solid">
        <fgColor rgb="FFB2A1C7"/>
        <bgColor rgb="FFB2A1C7"/>
      </patternFill>
    </fill>
    <fill>
      <patternFill patternType="solid">
        <fgColor rgb="FFFFFF00"/>
        <bgColor rgb="FFB2A1C7"/>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168" fontId="4"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0" fontId="4" fillId="0" borderId="0"/>
    <xf numFmtId="171" fontId="4" fillId="0" borderId="0" applyFont="0" applyFill="0" applyBorder="0" applyAlignment="0" applyProtection="0"/>
    <xf numFmtId="0" fontId="4" fillId="0" borderId="0"/>
    <xf numFmtId="168" fontId="4" fillId="0" borderId="0" applyFont="0" applyFill="0" applyBorder="0" applyAlignment="0" applyProtection="0"/>
  </cellStyleXfs>
  <cellXfs count="244">
    <xf numFmtId="0" fontId="0" fillId="0" borderId="0" xfId="0"/>
    <xf numFmtId="0" fontId="3" fillId="2" borderId="1" xfId="0" applyFont="1" applyFill="1" applyBorder="1" applyAlignment="1">
      <alignment horizontal="center" vertical="center" wrapText="1"/>
    </xf>
    <xf numFmtId="15" fontId="3" fillId="2" borderId="1" xfId="0" applyNumberFormat="1" applyFont="1" applyFill="1" applyBorder="1" applyAlignment="1">
      <alignment horizontal="center" vertical="center" wrapText="1"/>
    </xf>
    <xf numFmtId="165" fontId="3" fillId="3" borderId="1" xfId="5" applyNumberFormat="1" applyFont="1" applyFill="1" applyBorder="1" applyAlignment="1">
      <alignment horizontal="center" vertical="center" wrapText="1"/>
    </xf>
    <xf numFmtId="165" fontId="3" fillId="2" borderId="1" xfId="5"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42" fontId="3" fillId="4" borderId="1" xfId="4"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vertical="center" wrapText="1"/>
    </xf>
    <xf numFmtId="1" fontId="3" fillId="4" borderId="1" xfId="0" applyNumberFormat="1" applyFont="1" applyFill="1" applyBorder="1" applyAlignment="1">
      <alignment horizontal="center" vertical="center" wrapText="1"/>
    </xf>
    <xf numFmtId="41"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1" fontId="0" fillId="0" borderId="1" xfId="2" applyFont="1" applyBorder="1"/>
    <xf numFmtId="0" fontId="0" fillId="0" borderId="1" xfId="0" applyBorder="1"/>
    <xf numFmtId="0" fontId="0" fillId="7" borderId="1" xfId="0" applyFill="1" applyBorder="1"/>
    <xf numFmtId="0" fontId="0"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179" fontId="0" fillId="0" borderId="1" xfId="0" applyNumberFormat="1" applyBorder="1" applyAlignment="1">
      <alignment horizontal="center"/>
    </xf>
    <xf numFmtId="0" fontId="14" fillId="7" borderId="1" xfId="0" applyFont="1" applyFill="1" applyBorder="1" applyAlignment="1">
      <alignment horizontal="center"/>
    </xf>
    <xf numFmtId="0" fontId="0" fillId="7" borderId="1" xfId="0" applyFill="1" applyBorder="1" applyAlignment="1">
      <alignment horizontal="center"/>
    </xf>
    <xf numFmtId="41" fontId="0" fillId="7" borderId="1" xfId="2" applyFont="1" applyFill="1" applyBorder="1"/>
    <xf numFmtId="15" fontId="0" fillId="0" borderId="1" xfId="0" applyNumberFormat="1" applyBorder="1" applyAlignment="1">
      <alignment horizontal="center"/>
    </xf>
    <xf numFmtId="41" fontId="0" fillId="8" borderId="1" xfId="2" applyFont="1" applyFill="1" applyBorder="1"/>
    <xf numFmtId="0" fontId="0" fillId="0" borderId="1" xfId="0" applyNumberFormat="1" applyFont="1" applyBorder="1" applyAlignment="1">
      <alignment horizontal="center"/>
    </xf>
    <xf numFmtId="0" fontId="12" fillId="0" borderId="1" xfId="0" applyFont="1" applyBorder="1" applyAlignment="1">
      <alignment horizontal="center"/>
    </xf>
    <xf numFmtId="41" fontId="0" fillId="0" borderId="1" xfId="2" applyFont="1" applyBorder="1" applyAlignment="1">
      <alignment horizontal="center"/>
    </xf>
    <xf numFmtId="0" fontId="0" fillId="9" borderId="1" xfId="0" applyFill="1" applyBorder="1" applyAlignment="1">
      <alignment horizontal="center"/>
    </xf>
    <xf numFmtId="0" fontId="0" fillId="9" borderId="1" xfId="0" applyFill="1" applyBorder="1"/>
    <xf numFmtId="14" fontId="0" fillId="9" borderId="1" xfId="0" applyNumberFormat="1" applyFill="1" applyBorder="1" applyAlignment="1">
      <alignment horizontal="center"/>
    </xf>
    <xf numFmtId="41" fontId="0" fillId="9" borderId="1" xfId="2" applyFont="1" applyFill="1" applyBorder="1"/>
    <xf numFmtId="14" fontId="0" fillId="0" borderId="1" xfId="0" applyNumberFormat="1" applyBorder="1"/>
    <xf numFmtId="0" fontId="2" fillId="7" borderId="1" xfId="0" applyFont="1" applyFill="1" applyBorder="1" applyAlignment="1">
      <alignment horizontal="center"/>
    </xf>
    <xf numFmtId="0" fontId="2" fillId="7" borderId="1" xfId="1" applyNumberFormat="1" applyFont="1" applyFill="1" applyBorder="1" applyAlignment="1">
      <alignment horizontal="center" vertical="center"/>
    </xf>
    <xf numFmtId="179" fontId="13" fillId="7" borderId="1" xfId="1" applyNumberFormat="1" applyFont="1" applyFill="1" applyBorder="1" applyAlignment="1">
      <alignment horizontal="center"/>
    </xf>
    <xf numFmtId="0" fontId="2" fillId="7" borderId="1" xfId="0" applyNumberFormat="1" applyFont="1" applyFill="1" applyBorder="1" applyAlignment="1">
      <alignment horizontal="center"/>
    </xf>
    <xf numFmtId="165" fontId="2" fillId="7" borderId="1" xfId="1" applyNumberFormat="1" applyFont="1" applyFill="1" applyBorder="1" applyAlignment="1">
      <alignment horizontal="center"/>
    </xf>
    <xf numFmtId="41" fontId="2" fillId="7" borderId="1" xfId="2" applyFont="1" applyFill="1" applyBorder="1" applyAlignment="1">
      <alignment horizontal="center"/>
    </xf>
    <xf numFmtId="0" fontId="0" fillId="0" borderId="1" xfId="0" applyFont="1" applyBorder="1"/>
    <xf numFmtId="41" fontId="1" fillId="0" borderId="1" xfId="2" applyFont="1" applyBorder="1"/>
    <xf numFmtId="41" fontId="14" fillId="0" borderId="1" xfId="2" applyFont="1" applyBorder="1" applyAlignment="1">
      <alignment horizontal="center"/>
    </xf>
    <xf numFmtId="41" fontId="14" fillId="0" borderId="1" xfId="2" applyFont="1" applyBorder="1"/>
    <xf numFmtId="42" fontId="19" fillId="0" borderId="1" xfId="4" applyFont="1" applyFill="1" applyBorder="1" applyAlignment="1">
      <alignment horizontal="right" vertical="center"/>
    </xf>
    <xf numFmtId="0" fontId="19" fillId="0" borderId="1" xfId="0" applyFont="1" applyFill="1" applyBorder="1" applyAlignment="1">
      <alignment horizontal="right" vertical="center" wrapText="1"/>
    </xf>
    <xf numFmtId="166" fontId="19" fillId="0" borderId="1" xfId="4" applyNumberFormat="1" applyFont="1" applyFill="1" applyBorder="1" applyAlignment="1">
      <alignment horizontal="righ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14" fontId="19" fillId="0" borderId="1" xfId="0" applyNumberFormat="1" applyFont="1" applyFill="1" applyBorder="1" applyAlignment="1">
      <alignment horizontal="center" vertical="center"/>
    </xf>
    <xf numFmtId="42" fontId="19" fillId="0" borderId="1" xfId="4" applyFont="1" applyFill="1" applyBorder="1" applyAlignment="1">
      <alignment vertical="center"/>
    </xf>
    <xf numFmtId="14" fontId="19" fillId="0" borderId="1" xfId="0" applyNumberFormat="1" applyFont="1" applyFill="1" applyBorder="1" applyAlignment="1">
      <alignment horizontal="right" vertical="center"/>
    </xf>
    <xf numFmtId="42" fontId="19" fillId="0" borderId="1" xfId="0" applyNumberFormat="1" applyFont="1" applyFill="1" applyBorder="1" applyAlignment="1">
      <alignment horizontal="right" vertical="center"/>
    </xf>
    <xf numFmtId="41" fontId="19" fillId="0" borderId="1" xfId="2" applyFont="1" applyFill="1" applyBorder="1" applyAlignment="1">
      <alignment horizontal="center" vertical="center"/>
    </xf>
    <xf numFmtId="0" fontId="19" fillId="0" borderId="1" xfId="0" applyFont="1" applyFill="1" applyBorder="1"/>
    <xf numFmtId="41" fontId="19" fillId="0" borderId="1" xfId="2" applyFont="1" applyFill="1" applyBorder="1"/>
    <xf numFmtId="0" fontId="19" fillId="0" borderId="1" xfId="0" applyFont="1" applyFill="1" applyBorder="1" applyAlignment="1">
      <alignment horizontal="justify" vertical="center"/>
    </xf>
    <xf numFmtId="0" fontId="19" fillId="0" borderId="0" xfId="0" applyFont="1" applyFill="1"/>
    <xf numFmtId="14" fontId="19" fillId="0" borderId="1" xfId="0" applyNumberFormat="1" applyFont="1" applyFill="1" applyBorder="1" applyAlignment="1">
      <alignment vertical="center"/>
    </xf>
    <xf numFmtId="14" fontId="19" fillId="0" borderId="1" xfId="0" applyNumberFormat="1" applyFont="1" applyFill="1" applyBorder="1" applyAlignment="1">
      <alignment horizontal="justify" vertical="center"/>
    </xf>
    <xf numFmtId="0" fontId="20" fillId="0" borderId="1" xfId="0" applyFont="1" applyFill="1" applyBorder="1" applyAlignment="1">
      <alignment wrapText="1"/>
    </xf>
    <xf numFmtId="0" fontId="20" fillId="0" borderId="1" xfId="0" applyFont="1" applyFill="1" applyBorder="1" applyAlignment="1">
      <alignment horizontal="center" vertical="center" wrapText="1"/>
    </xf>
    <xf numFmtId="0" fontId="19" fillId="0" borderId="1" xfId="0" applyFont="1" applyFill="1" applyBorder="1" applyAlignment="1">
      <alignment vertical="center"/>
    </xf>
    <xf numFmtId="167" fontId="19" fillId="0" borderId="1" xfId="1" applyNumberFormat="1" applyFont="1" applyFill="1" applyBorder="1" applyAlignment="1">
      <alignment horizontal="center" vertical="center"/>
    </xf>
    <xf numFmtId="0" fontId="19" fillId="0" borderId="1" xfId="0" applyFont="1" applyFill="1" applyBorder="1" applyAlignment="1">
      <alignment horizontal="right" vertical="center"/>
    </xf>
    <xf numFmtId="42" fontId="19" fillId="0" borderId="1" xfId="4" applyNumberFormat="1" applyFont="1" applyFill="1" applyBorder="1" applyAlignment="1">
      <alignment horizontal="right" vertical="center"/>
    </xf>
    <xf numFmtId="42" fontId="19" fillId="0" borderId="1" xfId="0" applyNumberFormat="1" applyFont="1" applyFill="1" applyBorder="1" applyAlignment="1">
      <alignment horizontal="center" vertical="center"/>
    </xf>
    <xf numFmtId="41" fontId="19" fillId="0" borderId="1" xfId="2" applyFont="1" applyFill="1" applyBorder="1" applyAlignment="1">
      <alignment vertical="center"/>
    </xf>
    <xf numFmtId="42" fontId="19" fillId="0" borderId="1" xfId="0" applyNumberFormat="1" applyFont="1" applyFill="1" applyBorder="1" applyAlignment="1">
      <alignment vertical="center"/>
    </xf>
    <xf numFmtId="167" fontId="19" fillId="0" borderId="1" xfId="0" applyNumberFormat="1" applyFont="1" applyFill="1" applyBorder="1" applyAlignment="1">
      <alignment vertical="center"/>
    </xf>
    <xf numFmtId="167" fontId="19" fillId="0" borderId="1" xfId="1" applyNumberFormat="1" applyFont="1" applyFill="1" applyBorder="1" applyAlignment="1">
      <alignment horizontal="center" vertical="center" wrapText="1"/>
    </xf>
    <xf numFmtId="166" fontId="19" fillId="0" borderId="1" xfId="0" applyNumberFormat="1" applyFont="1" applyFill="1" applyBorder="1" applyAlignment="1">
      <alignment vertical="center"/>
    </xf>
    <xf numFmtId="14" fontId="19" fillId="0" borderId="1" xfId="4" applyNumberFormat="1" applyFont="1" applyFill="1" applyBorder="1" applyAlignment="1">
      <alignment vertical="center"/>
    </xf>
    <xf numFmtId="0" fontId="19" fillId="0" borderId="1" xfId="0" applyFont="1" applyFill="1" applyBorder="1" applyAlignment="1">
      <alignment horizontal="center"/>
    </xf>
    <xf numFmtId="0" fontId="20" fillId="0" borderId="1" xfId="13" applyFont="1" applyFill="1" applyBorder="1" applyAlignment="1">
      <alignment horizontal="center" vertical="center" wrapText="1"/>
    </xf>
    <xf numFmtId="0" fontId="20" fillId="0" borderId="1" xfId="13" quotePrefix="1" applyFont="1" applyFill="1" applyBorder="1" applyAlignment="1">
      <alignment horizontal="center" vertical="center" wrapText="1"/>
    </xf>
    <xf numFmtId="0" fontId="20" fillId="0" borderId="1" xfId="13" quotePrefix="1" applyFont="1" applyFill="1" applyBorder="1" applyAlignment="1">
      <alignment horizontal="left" vertical="center" wrapText="1"/>
    </xf>
    <xf numFmtId="172" fontId="20" fillId="0" borderId="1" xfId="0" applyNumberFormat="1" applyFont="1" applyFill="1" applyBorder="1" applyAlignment="1">
      <alignment horizontal="center" vertical="center" wrapText="1"/>
    </xf>
    <xf numFmtId="41" fontId="20" fillId="0" borderId="1" xfId="2"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42" fontId="20" fillId="0" borderId="1" xfId="4" applyFont="1" applyFill="1" applyBorder="1" applyAlignment="1">
      <alignment horizontal="center" vertical="center" wrapText="1"/>
    </xf>
    <xf numFmtId="165" fontId="20" fillId="0" borderId="1" xfId="5"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1" fontId="20" fillId="0" borderId="1" xfId="2" applyFont="1" applyFill="1" applyBorder="1" applyAlignment="1">
      <alignment horizontal="center" vertical="center" wrapText="1"/>
    </xf>
    <xf numFmtId="41" fontId="20" fillId="0" borderId="1" xfId="0" applyNumberFormat="1" applyFont="1" applyFill="1" applyBorder="1" applyAlignment="1">
      <alignment horizontal="center" vertical="center" wrapText="1"/>
    </xf>
    <xf numFmtId="0" fontId="20" fillId="0" borderId="1" xfId="0" quotePrefix="1" applyFont="1" applyFill="1" applyBorder="1" applyAlignment="1">
      <alignment horizontal="center" vertical="center" wrapText="1"/>
    </xf>
    <xf numFmtId="14" fontId="20" fillId="0" borderId="1" xfId="5" applyNumberFormat="1" applyFont="1" applyFill="1" applyBorder="1" applyAlignment="1">
      <alignment horizontal="center" vertical="center" wrapText="1"/>
    </xf>
    <xf numFmtId="43" fontId="20" fillId="0" borderId="1" xfId="1" applyFont="1" applyFill="1" applyBorder="1" applyAlignment="1">
      <alignment horizontal="center" vertical="center" wrapText="1"/>
    </xf>
    <xf numFmtId="175" fontId="20" fillId="0" borderId="1" xfId="0" applyNumberFormat="1" applyFont="1" applyFill="1" applyBorder="1" applyAlignment="1">
      <alignment horizontal="center" vertical="center" wrapText="1"/>
    </xf>
    <xf numFmtId="0" fontId="20" fillId="0" borderId="1" xfId="0" quotePrefix="1" applyFont="1" applyFill="1" applyBorder="1" applyAlignment="1">
      <alignment horizontal="left" vertical="center" wrapText="1"/>
    </xf>
    <xf numFmtId="1" fontId="20" fillId="0" borderId="1" xfId="13"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172" fontId="20" fillId="0" borderId="1" xfId="4" applyNumberFormat="1" applyFont="1" applyFill="1" applyBorder="1" applyAlignment="1">
      <alignment horizontal="center" vertical="center" wrapText="1"/>
    </xf>
    <xf numFmtId="175" fontId="20" fillId="0" borderId="1" xfId="4"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20" fillId="0" borderId="1" xfId="13" quotePrefix="1" applyNumberFormat="1" applyFont="1" applyFill="1" applyBorder="1" applyAlignment="1">
      <alignment horizontal="left" vertical="center" wrapText="1"/>
    </xf>
    <xf numFmtId="14" fontId="20" fillId="0" borderId="1" xfId="0" applyNumberFormat="1" applyFont="1" applyFill="1" applyBorder="1" applyAlignment="1">
      <alignment horizontal="center" vertical="center"/>
    </xf>
    <xf numFmtId="42" fontId="20" fillId="0" borderId="1" xfId="4" applyFont="1" applyFill="1" applyBorder="1" applyAlignment="1">
      <alignment horizontal="right" vertical="center"/>
    </xf>
    <xf numFmtId="42" fontId="20" fillId="0" borderId="1" xfId="4" applyFont="1" applyFill="1" applyBorder="1" applyAlignment="1">
      <alignment vertical="center"/>
    </xf>
    <xf numFmtId="0" fontId="20" fillId="0" borderId="5"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165" fontId="20" fillId="0" borderId="3" xfId="5" applyNumberFormat="1" applyFont="1" applyFill="1" applyBorder="1" applyAlignment="1">
      <alignment horizontal="left" vertical="center" wrapText="1"/>
    </xf>
    <xf numFmtId="14" fontId="20" fillId="0" borderId="3" xfId="0" applyNumberFormat="1" applyFont="1" applyFill="1" applyBorder="1" applyAlignment="1">
      <alignment horizontal="center" vertical="center" wrapText="1"/>
    </xf>
    <xf numFmtId="165" fontId="20" fillId="0" borderId="3" xfId="5"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165" fontId="20" fillId="0" borderId="1" xfId="5"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69" fontId="20" fillId="0" borderId="1" xfId="0" applyNumberFormat="1" applyFont="1" applyFill="1" applyBorder="1" applyAlignment="1">
      <alignment horizontal="center" vertical="center" wrapText="1"/>
    </xf>
    <xf numFmtId="165" fontId="21" fillId="0" borderId="1" xfId="5" applyNumberFormat="1" applyFont="1" applyFill="1" applyBorder="1" applyAlignment="1">
      <alignment horizontal="center" vertical="center" wrapText="1"/>
    </xf>
    <xf numFmtId="0" fontId="20" fillId="0" borderId="0" xfId="0" applyFont="1" applyFill="1" applyAlignment="1">
      <alignment wrapText="1"/>
    </xf>
    <xf numFmtId="169" fontId="20" fillId="0" borderId="1" xfId="0" applyNumberFormat="1" applyFont="1" applyFill="1" applyBorder="1" applyAlignment="1">
      <alignmen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3" fillId="0" borderId="1" xfId="0" applyFont="1" applyFill="1" applyBorder="1" applyAlignment="1">
      <alignment horizontal="center"/>
    </xf>
    <xf numFmtId="179" fontId="19" fillId="0" borderId="1" xfId="0" applyNumberFormat="1" applyFont="1" applyFill="1" applyBorder="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49" fontId="20" fillId="0" borderId="1" xfId="6" applyNumberFormat="1" applyFont="1" applyFill="1" applyBorder="1" applyAlignment="1">
      <alignment horizontal="left" vertical="center" wrapText="1"/>
    </xf>
    <xf numFmtId="0" fontId="6" fillId="0" borderId="1" xfId="0" applyFont="1" applyFill="1" applyBorder="1" applyAlignment="1">
      <alignment vertical="center"/>
    </xf>
    <xf numFmtId="1" fontId="6" fillId="0" borderId="1" xfId="0" applyNumberFormat="1" applyFont="1" applyFill="1" applyBorder="1" applyAlignment="1">
      <alignment vertical="center"/>
    </xf>
    <xf numFmtId="0" fontId="20" fillId="0" borderId="1" xfId="7" applyFont="1" applyFill="1" applyBorder="1" applyAlignment="1">
      <alignment horizontal="center" vertical="center" wrapText="1"/>
    </xf>
    <xf numFmtId="165" fontId="20" fillId="0" borderId="1" xfId="8" applyNumberFormat="1" applyFont="1" applyFill="1" applyBorder="1" applyAlignment="1">
      <alignment vertical="center" wrapText="1"/>
    </xf>
    <xf numFmtId="0" fontId="20" fillId="0" borderId="1" xfId="7" applyFont="1" applyFill="1" applyBorder="1" applyAlignment="1">
      <alignment vertical="center" wrapText="1"/>
    </xf>
    <xf numFmtId="0" fontId="20" fillId="0" borderId="2" xfId="7"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 xfId="0" applyFont="1" applyFill="1" applyBorder="1" applyAlignment="1">
      <alignment vertical="center" wrapText="1"/>
    </xf>
    <xf numFmtId="168" fontId="20" fillId="0" borderId="2" xfId="8" applyNumberFormat="1" applyFont="1" applyFill="1" applyBorder="1" applyAlignment="1">
      <alignment horizontal="right" vertical="center" wrapText="1"/>
    </xf>
    <xf numFmtId="169" fontId="20" fillId="0" borderId="2" xfId="3" applyNumberFormat="1" applyFont="1" applyFill="1" applyBorder="1" applyAlignment="1">
      <alignment horizontal="center" vertical="center" wrapText="1"/>
    </xf>
    <xf numFmtId="168" fontId="20" fillId="0" borderId="1" xfId="8" applyNumberFormat="1" applyFont="1" applyFill="1" applyBorder="1" applyAlignment="1">
      <alignment vertical="center" wrapText="1"/>
    </xf>
    <xf numFmtId="168" fontId="20" fillId="0" borderId="1" xfId="9" applyNumberFormat="1" applyFont="1" applyFill="1" applyBorder="1" applyAlignment="1">
      <alignment vertical="center" wrapText="1"/>
    </xf>
    <xf numFmtId="17" fontId="20" fillId="0" borderId="2" xfId="7" applyNumberFormat="1" applyFont="1" applyFill="1" applyBorder="1" applyAlignment="1">
      <alignment horizontal="center" vertical="center" wrapText="1"/>
    </xf>
    <xf numFmtId="3" fontId="20" fillId="0" borderId="2" xfId="3" applyNumberFormat="1" applyFont="1" applyFill="1" applyBorder="1" applyAlignment="1">
      <alignment horizontal="center" vertical="center" wrapText="1"/>
    </xf>
    <xf numFmtId="165" fontId="20" fillId="0" borderId="1" xfId="5" applyNumberFormat="1" applyFont="1" applyFill="1" applyBorder="1" applyAlignment="1">
      <alignment vertical="center" wrapText="1"/>
    </xf>
    <xf numFmtId="1" fontId="20" fillId="0" borderId="1" xfId="5" applyNumberFormat="1" applyFont="1" applyFill="1" applyBorder="1" applyAlignment="1">
      <alignment vertical="center" wrapText="1"/>
    </xf>
    <xf numFmtId="0" fontId="21" fillId="0" borderId="1" xfId="0" applyFont="1" applyFill="1" applyBorder="1" applyAlignment="1">
      <alignment vertical="center" wrapText="1"/>
    </xf>
    <xf numFmtId="42" fontId="20" fillId="0" borderId="1" xfId="4" applyFont="1" applyFill="1" applyBorder="1" applyAlignment="1">
      <alignment vertical="center" wrapText="1"/>
    </xf>
    <xf numFmtId="43" fontId="20" fillId="0" borderId="1" xfId="0" applyNumberFormat="1" applyFont="1" applyFill="1" applyBorder="1" applyAlignment="1">
      <alignment vertical="center" wrapText="1"/>
    </xf>
    <xf numFmtId="0" fontId="20" fillId="0" borderId="1" xfId="7" applyFont="1" applyFill="1" applyBorder="1" applyAlignment="1">
      <alignment horizontal="left" vertical="center" wrapText="1"/>
    </xf>
    <xf numFmtId="169" fontId="20" fillId="0" borderId="1" xfId="3" applyNumberFormat="1" applyFont="1" applyFill="1" applyBorder="1" applyAlignment="1">
      <alignment horizontal="center" vertical="center" wrapText="1"/>
    </xf>
    <xf numFmtId="3" fontId="20" fillId="0" borderId="1" xfId="3" applyNumberFormat="1" applyFont="1" applyFill="1" applyBorder="1" applyAlignment="1">
      <alignment horizontal="center" vertical="center" wrapText="1"/>
    </xf>
    <xf numFmtId="17" fontId="20" fillId="0" borderId="1" xfId="7" applyNumberFormat="1" applyFont="1" applyFill="1" applyBorder="1" applyAlignment="1">
      <alignment horizontal="center" vertical="center" wrapText="1"/>
    </xf>
    <xf numFmtId="0" fontId="6" fillId="0" borderId="1" xfId="0" applyFont="1" applyFill="1" applyBorder="1" applyAlignment="1">
      <alignment horizontal="center" vertical="center"/>
    </xf>
    <xf numFmtId="14" fontId="20" fillId="0" borderId="1" xfId="0" applyNumberFormat="1" applyFont="1" applyFill="1" applyBorder="1" applyAlignment="1">
      <alignment vertical="center" wrapText="1"/>
    </xf>
    <xf numFmtId="168" fontId="20" fillId="0" borderId="1" xfId="10" applyNumberFormat="1" applyFont="1" applyFill="1" applyBorder="1" applyAlignment="1">
      <alignment vertical="center" wrapText="1"/>
    </xf>
    <xf numFmtId="43" fontId="20" fillId="0" borderId="1" xfId="0" applyNumberFormat="1" applyFont="1" applyFill="1" applyBorder="1" applyAlignment="1">
      <alignment horizontal="center" vertical="center" wrapText="1"/>
    </xf>
    <xf numFmtId="170" fontId="20" fillId="0" borderId="1" xfId="3" applyNumberFormat="1" applyFont="1" applyFill="1" applyBorder="1" applyAlignment="1">
      <alignment horizontal="center" vertical="center" wrapText="1"/>
    </xf>
    <xf numFmtId="168" fontId="20" fillId="0" borderId="1" xfId="0" applyNumberFormat="1" applyFont="1" applyFill="1" applyBorder="1" applyAlignment="1">
      <alignment vertical="center" wrapText="1"/>
    </xf>
    <xf numFmtId="42" fontId="20" fillId="0" borderId="0" xfId="4" applyFont="1" applyFill="1" applyAlignment="1">
      <alignment vertical="center" wrapText="1"/>
    </xf>
    <xf numFmtId="0" fontId="20" fillId="0" borderId="1" xfId="0" applyNumberFormat="1" applyFont="1" applyFill="1" applyBorder="1" applyAlignment="1">
      <alignment vertical="center" wrapText="1"/>
    </xf>
    <xf numFmtId="42" fontId="20" fillId="0" borderId="1" xfId="4" applyNumberFormat="1" applyFont="1" applyFill="1" applyBorder="1" applyAlignment="1">
      <alignment vertical="center" wrapText="1"/>
    </xf>
    <xf numFmtId="168" fontId="20" fillId="0" borderId="2" xfId="8" applyNumberFormat="1" applyFont="1" applyFill="1" applyBorder="1" applyAlignment="1">
      <alignment vertical="center" wrapText="1"/>
    </xf>
    <xf numFmtId="168" fontId="20" fillId="0" borderId="2" xfId="9" applyNumberFormat="1" applyFont="1" applyFill="1" applyBorder="1" applyAlignment="1">
      <alignment vertical="center" wrapText="1"/>
    </xf>
    <xf numFmtId="170" fontId="20" fillId="0" borderId="2" xfId="3" applyNumberFormat="1" applyFont="1" applyFill="1" applyBorder="1" applyAlignment="1">
      <alignment horizontal="center" vertical="center" wrapText="1"/>
    </xf>
    <xf numFmtId="0" fontId="20" fillId="0" borderId="2" xfId="0" applyFont="1" applyFill="1" applyBorder="1" applyAlignment="1">
      <alignment vertical="center" wrapText="1"/>
    </xf>
    <xf numFmtId="168" fontId="20" fillId="0" borderId="2" xfId="0" applyNumberFormat="1" applyFont="1" applyFill="1" applyBorder="1" applyAlignment="1">
      <alignment vertical="center" wrapText="1"/>
    </xf>
    <xf numFmtId="165" fontId="20" fillId="0" borderId="2" xfId="5" applyNumberFormat="1" applyFont="1" applyFill="1" applyBorder="1" applyAlignment="1">
      <alignment vertical="center" wrapText="1"/>
    </xf>
    <xf numFmtId="1" fontId="20" fillId="0" borderId="2" xfId="5" applyNumberFormat="1" applyFont="1" applyFill="1" applyBorder="1" applyAlignment="1">
      <alignment vertical="center" wrapText="1"/>
    </xf>
    <xf numFmtId="0" fontId="21" fillId="0" borderId="2" xfId="0" applyFont="1" applyFill="1" applyBorder="1" applyAlignment="1">
      <alignment vertical="center" wrapText="1"/>
    </xf>
    <xf numFmtId="42" fontId="20" fillId="0" borderId="2" xfId="4" applyFont="1" applyFill="1" applyBorder="1" applyAlignment="1">
      <alignment vertical="center" wrapText="1"/>
    </xf>
    <xf numFmtId="0" fontId="21"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43" fontId="20" fillId="0" borderId="2" xfId="0" applyNumberFormat="1" applyFont="1" applyFill="1" applyBorder="1" applyAlignment="1">
      <alignment vertical="center" wrapText="1"/>
    </xf>
    <xf numFmtId="14" fontId="20" fillId="0" borderId="2" xfId="0" applyNumberFormat="1" applyFont="1" applyFill="1" applyBorder="1" applyAlignment="1">
      <alignment vertical="center" wrapText="1"/>
    </xf>
    <xf numFmtId="1" fontId="20" fillId="0" borderId="1" xfId="0" applyNumberFormat="1" applyFont="1" applyFill="1" applyBorder="1" applyAlignment="1">
      <alignment vertical="center" wrapText="1"/>
    </xf>
    <xf numFmtId="168" fontId="20" fillId="0" borderId="1" xfId="8"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0" fontId="20" fillId="0" borderId="1" xfId="11" applyFont="1" applyFill="1" applyBorder="1" applyAlignment="1">
      <alignment horizontal="center" vertical="center" wrapText="1"/>
    </xf>
    <xf numFmtId="0" fontId="20" fillId="0" borderId="1" xfId="6" applyFont="1" applyFill="1" applyBorder="1" applyAlignment="1">
      <alignment horizontal="left" vertical="center" wrapText="1"/>
    </xf>
    <xf numFmtId="14" fontId="20" fillId="0" borderId="1" xfId="12" applyNumberFormat="1" applyFont="1" applyFill="1" applyBorder="1" applyAlignment="1">
      <alignment horizontal="center" vertical="center" wrapText="1"/>
    </xf>
    <xf numFmtId="170" fontId="20" fillId="0" borderId="1" xfId="12" applyNumberFormat="1" applyFont="1" applyFill="1" applyBorder="1" applyAlignment="1">
      <alignment horizontal="center" vertical="center" wrapText="1"/>
    </xf>
    <xf numFmtId="172" fontId="20" fillId="0" borderId="1" xfId="0" applyNumberFormat="1" applyFont="1" applyFill="1" applyBorder="1" applyAlignment="1">
      <alignment vertical="center" wrapText="1"/>
    </xf>
    <xf numFmtId="0" fontId="20" fillId="0" borderId="1" xfId="6" applyFont="1" applyFill="1" applyBorder="1" applyAlignment="1">
      <alignment vertical="center" wrapText="1"/>
    </xf>
    <xf numFmtId="0" fontId="20" fillId="0" borderId="2" xfId="6" applyFont="1" applyFill="1" applyBorder="1" applyAlignment="1">
      <alignment vertical="center" wrapText="1"/>
    </xf>
    <xf numFmtId="0" fontId="20" fillId="0" borderId="3" xfId="6" applyFont="1" applyFill="1" applyBorder="1" applyAlignment="1">
      <alignment vertical="center" wrapText="1"/>
    </xf>
    <xf numFmtId="165" fontId="20" fillId="0" borderId="1" xfId="5" applyNumberFormat="1" applyFont="1" applyFill="1" applyBorder="1" applyAlignment="1">
      <alignment horizontal="right" vertical="center" wrapText="1"/>
    </xf>
    <xf numFmtId="0" fontId="20" fillId="0" borderId="1" xfId="11" applyFont="1" applyFill="1" applyBorder="1" applyAlignment="1">
      <alignment horizontal="left" vertical="center" wrapText="1"/>
    </xf>
    <xf numFmtId="3" fontId="20" fillId="0" borderId="1" xfId="12" applyNumberFormat="1" applyFont="1" applyFill="1" applyBorder="1" applyAlignment="1">
      <alignment horizontal="center" vertical="center" wrapText="1"/>
    </xf>
    <xf numFmtId="173" fontId="20" fillId="0" borderId="1" xfId="9" applyNumberFormat="1" applyFont="1" applyFill="1" applyBorder="1" applyAlignment="1">
      <alignment horizontal="center" vertical="center" wrapText="1"/>
    </xf>
    <xf numFmtId="0" fontId="23" fillId="0" borderId="1" xfId="0" applyFont="1" applyFill="1" applyBorder="1" applyAlignment="1">
      <alignment vertical="center"/>
    </xf>
    <xf numFmtId="173" fontId="21" fillId="0" borderId="1" xfId="9" applyNumberFormat="1" applyFont="1" applyFill="1" applyBorder="1" applyAlignment="1">
      <alignment horizontal="center" vertical="center" wrapText="1"/>
    </xf>
    <xf numFmtId="173" fontId="21" fillId="0" borderId="1" xfId="9" applyNumberFormat="1" applyFont="1" applyFill="1" applyBorder="1" applyAlignment="1">
      <alignment horizontal="right" vertical="center" wrapText="1"/>
    </xf>
    <xf numFmtId="0" fontId="20" fillId="0" borderId="1" xfId="0" applyFont="1" applyFill="1" applyBorder="1" applyAlignment="1">
      <alignment horizontal="center" vertical="center"/>
    </xf>
    <xf numFmtId="0" fontId="6" fillId="0" borderId="0" xfId="0" applyFont="1" applyFill="1" applyAlignment="1">
      <alignment vertical="center" wrapText="1"/>
    </xf>
    <xf numFmtId="0" fontId="20" fillId="0" borderId="1" xfId="9" applyNumberFormat="1" applyFont="1" applyFill="1" applyBorder="1" applyAlignment="1">
      <alignment horizontal="center" vertical="center" wrapText="1"/>
    </xf>
    <xf numFmtId="43" fontId="20" fillId="0" borderId="1" xfId="9"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169" fontId="20" fillId="0" borderId="3" xfId="0" applyNumberFormat="1" applyFont="1" applyFill="1" applyBorder="1" applyAlignment="1">
      <alignment vertical="center"/>
    </xf>
    <xf numFmtId="169" fontId="20" fillId="0" borderId="3" xfId="14" applyNumberFormat="1" applyFont="1" applyFill="1" applyBorder="1" applyAlignment="1">
      <alignment vertical="center" wrapText="1"/>
    </xf>
    <xf numFmtId="169" fontId="20" fillId="0" borderId="1" xfId="14" applyNumberFormat="1" applyFont="1" applyFill="1" applyBorder="1" applyAlignment="1">
      <alignment horizontal="center" vertical="center" wrapText="1"/>
    </xf>
    <xf numFmtId="169" fontId="20" fillId="0" borderId="1" xfId="0" applyNumberFormat="1" applyFont="1" applyFill="1" applyBorder="1" applyAlignment="1">
      <alignment vertical="center"/>
    </xf>
    <xf numFmtId="169" fontId="20" fillId="0" borderId="1" xfId="14" applyNumberFormat="1" applyFont="1" applyFill="1" applyBorder="1" applyAlignment="1">
      <alignment vertical="center" wrapText="1"/>
    </xf>
    <xf numFmtId="177" fontId="20" fillId="0" borderId="1" xfId="14" applyNumberFormat="1" applyFont="1" applyFill="1" applyBorder="1" applyAlignment="1">
      <alignment horizontal="center" vertical="center"/>
    </xf>
    <xf numFmtId="0" fontId="24" fillId="0" borderId="1" xfId="0" applyFont="1" applyFill="1" applyBorder="1" applyAlignment="1">
      <alignment horizontal="center" vertical="center" wrapText="1"/>
    </xf>
    <xf numFmtId="169" fontId="22" fillId="0" borderId="6" xfId="14" applyNumberFormat="1" applyFont="1" applyFill="1" applyBorder="1" applyAlignment="1">
      <alignment horizontal="center" vertical="center" wrapText="1"/>
    </xf>
    <xf numFmtId="169" fontId="24" fillId="0" borderId="1" xfId="14" applyNumberFormat="1" applyFont="1" applyFill="1" applyBorder="1" applyAlignment="1">
      <alignment horizontal="center" vertical="center" wrapText="1"/>
    </xf>
    <xf numFmtId="14" fontId="20" fillId="0" borderId="1" xfId="14" applyNumberFormat="1" applyFont="1" applyFill="1" applyBorder="1" applyAlignment="1">
      <alignment horizontal="center" vertical="center" wrapText="1"/>
    </xf>
    <xf numFmtId="169" fontId="22" fillId="0" borderId="1" xfId="14" applyNumberFormat="1" applyFont="1" applyFill="1" applyBorder="1" applyAlignment="1">
      <alignment horizontal="center" vertical="center" wrapText="1"/>
    </xf>
    <xf numFmtId="14" fontId="20" fillId="0" borderId="6" xfId="14" applyNumberFormat="1" applyFont="1" applyFill="1" applyBorder="1" applyAlignment="1">
      <alignment horizontal="center" vertical="center" wrapText="1"/>
    </xf>
    <xf numFmtId="178" fontId="20" fillId="0" borderId="1" xfId="14" applyNumberFormat="1" applyFont="1" applyFill="1" applyBorder="1" applyAlignment="1">
      <alignment horizontal="center" vertical="center"/>
    </xf>
    <xf numFmtId="17" fontId="20" fillId="0" borderId="1" xfId="0" applyNumberFormat="1" applyFont="1" applyFill="1" applyBorder="1" applyAlignment="1">
      <alignment horizontal="center" vertical="center" wrapText="1"/>
    </xf>
    <xf numFmtId="169" fontId="20" fillId="0" borderId="2" xfId="14" applyNumberFormat="1" applyFont="1" applyFill="1" applyBorder="1" applyAlignment="1">
      <alignment vertical="center" wrapText="1"/>
    </xf>
    <xf numFmtId="0" fontId="21"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7" fillId="0" borderId="0" xfId="0" applyFont="1" applyFill="1" applyBorder="1" applyAlignment="1">
      <alignment vertical="center" wrapText="1"/>
    </xf>
    <xf numFmtId="0" fontId="25" fillId="0" borderId="1" xfId="0" applyFont="1" applyFill="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9" fillId="0" borderId="0" xfId="0" applyFont="1" applyFill="1" applyAlignment="1">
      <alignment vertical="center"/>
    </xf>
    <xf numFmtId="0" fontId="0" fillId="0" borderId="0" xfId="0" applyAlignment="1">
      <alignment vertical="center"/>
    </xf>
    <xf numFmtId="0" fontId="20" fillId="0" borderId="1" xfId="0" applyNumberFormat="1" applyFont="1" applyFill="1" applyBorder="1" applyAlignment="1">
      <alignment horizontal="justify" vertical="center" wrapText="1"/>
    </xf>
    <xf numFmtId="17" fontId="19" fillId="0" borderId="1" xfId="0" applyNumberFormat="1" applyFont="1" applyFill="1" applyBorder="1" applyAlignment="1">
      <alignment vertical="center"/>
    </xf>
    <xf numFmtId="44" fontId="19" fillId="0" borderId="1" xfId="0" applyNumberFormat="1" applyFont="1" applyFill="1" applyBorder="1" applyAlignment="1">
      <alignment vertical="center"/>
    </xf>
    <xf numFmtId="0" fontId="7" fillId="0" borderId="1" xfId="0" applyFont="1" applyFill="1" applyBorder="1" applyAlignment="1">
      <alignment horizontal="justify" vertical="center"/>
    </xf>
    <xf numFmtId="0" fontId="19"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14" fontId="20" fillId="0" borderId="2" xfId="0" applyNumberFormat="1" applyFont="1" applyFill="1" applyBorder="1" applyAlignment="1">
      <alignment horizontal="center" vertical="center" wrapText="1"/>
    </xf>
    <xf numFmtId="169" fontId="20" fillId="0" borderId="1" xfId="1" applyNumberFormat="1" applyFont="1" applyFill="1" applyBorder="1" applyAlignment="1">
      <alignment vertical="center" wrapText="1"/>
    </xf>
    <xf numFmtId="169" fontId="19" fillId="0" borderId="1" xfId="1" applyNumberFormat="1" applyFont="1" applyFill="1" applyBorder="1" applyAlignment="1">
      <alignment vertical="center"/>
    </xf>
    <xf numFmtId="169" fontId="19" fillId="0" borderId="1" xfId="0" applyNumberFormat="1" applyFont="1" applyFill="1" applyBorder="1" applyAlignment="1">
      <alignment vertical="center"/>
    </xf>
    <xf numFmtId="165" fontId="19" fillId="0" borderId="1" xfId="1" applyNumberFormat="1" applyFont="1" applyFill="1" applyBorder="1" applyAlignment="1">
      <alignment vertical="center"/>
    </xf>
    <xf numFmtId="165" fontId="20" fillId="0" borderId="1" xfId="0" applyNumberFormat="1" applyFont="1" applyFill="1" applyBorder="1" applyAlignment="1">
      <alignment vertical="center" wrapText="1"/>
    </xf>
    <xf numFmtId="0" fontId="23" fillId="0" borderId="1" xfId="0" applyFont="1" applyFill="1" applyBorder="1" applyAlignment="1">
      <alignment horizontal="left" vertical="center"/>
    </xf>
    <xf numFmtId="174" fontId="19" fillId="0" borderId="1" xfId="0" applyNumberFormat="1" applyFont="1" applyFill="1" applyBorder="1" applyAlignment="1">
      <alignment vertical="center"/>
    </xf>
    <xf numFmtId="165" fontId="19" fillId="0" borderId="1" xfId="0" applyNumberFormat="1" applyFont="1" applyFill="1" applyBorder="1" applyAlignment="1">
      <alignment vertical="center"/>
    </xf>
    <xf numFmtId="168" fontId="19" fillId="0" borderId="1" xfId="0" applyNumberFormat="1" applyFont="1" applyFill="1" applyBorder="1" applyAlignment="1">
      <alignment vertical="center"/>
    </xf>
    <xf numFmtId="173" fontId="19" fillId="0" borderId="1" xfId="0" applyNumberFormat="1" applyFont="1" applyFill="1" applyBorder="1" applyAlignment="1">
      <alignment vertical="center"/>
    </xf>
    <xf numFmtId="169" fontId="19" fillId="0" borderId="1" xfId="5" applyNumberFormat="1" applyFont="1" applyFill="1" applyBorder="1" applyAlignment="1">
      <alignment vertical="center"/>
    </xf>
    <xf numFmtId="169" fontId="23" fillId="0" borderId="1" xfId="5" applyNumberFormat="1" applyFont="1" applyFill="1" applyBorder="1" applyAlignment="1">
      <alignment horizontal="right" vertical="center"/>
    </xf>
    <xf numFmtId="0" fontId="21" fillId="0" borderId="1" xfId="0" applyFont="1" applyFill="1" applyBorder="1" applyAlignment="1">
      <alignment horizontal="left" vertical="center"/>
    </xf>
    <xf numFmtId="41" fontId="20" fillId="0" borderId="1" xfId="2" applyFont="1" applyFill="1" applyBorder="1" applyAlignment="1">
      <alignment vertical="center"/>
    </xf>
    <xf numFmtId="0" fontId="20" fillId="0" borderId="1" xfId="0" applyFont="1" applyFill="1" applyBorder="1" applyAlignment="1">
      <alignment vertical="center"/>
    </xf>
  </cellXfs>
  <cellStyles count="15">
    <cellStyle name="Millares" xfId="1" builtinId="3"/>
    <cellStyle name="Millares [0]" xfId="2" builtinId="6"/>
    <cellStyle name="Millares 2" xfId="9" xr:uid="{00000000-0005-0000-0000-000002000000}"/>
    <cellStyle name="Millares 2 3" xfId="14" xr:uid="{00000000-0005-0000-0000-000003000000}"/>
    <cellStyle name="Millares 58" xfId="10" xr:uid="{00000000-0005-0000-0000-000004000000}"/>
    <cellStyle name="Millares 6" xfId="5" xr:uid="{00000000-0005-0000-0000-000005000000}"/>
    <cellStyle name="Millares 6 2" xfId="8" xr:uid="{00000000-0005-0000-0000-000006000000}"/>
    <cellStyle name="Moneda" xfId="3" builtinId="4"/>
    <cellStyle name="Moneda [0]" xfId="4" builtinId="7"/>
    <cellStyle name="Moneda 3 2" xfId="12" xr:uid="{00000000-0005-0000-0000-000009000000}"/>
    <cellStyle name="Normal" xfId="0" builtinId="0"/>
    <cellStyle name="Normal 2 2" xfId="6" xr:uid="{00000000-0005-0000-0000-00000B000000}"/>
    <cellStyle name="Normal 3" xfId="7" xr:uid="{00000000-0005-0000-0000-00000C000000}"/>
    <cellStyle name="Normal 3 2" xfId="11" xr:uid="{00000000-0005-0000-0000-00000D000000}"/>
    <cellStyle name="Normal 6" xfId="13" xr:uid="{00000000-0005-0000-0000-00000E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312965</xdr:colOff>
      <xdr:row>0</xdr:row>
      <xdr:rowOff>93889</xdr:rowOff>
    </xdr:from>
    <xdr:to>
      <xdr:col>2</xdr:col>
      <xdr:colOff>795130</xdr:colOff>
      <xdr:row>2</xdr:row>
      <xdr:rowOff>419100</xdr:rowOff>
    </xdr:to>
    <xdr:pic>
      <xdr:nvPicPr>
        <xdr:cNvPr id="2" name="Picture 1" descr="Escudo color CVP">
          <a:extLst>
            <a:ext uri="{FF2B5EF4-FFF2-40B4-BE49-F238E27FC236}">
              <a16:creationId xmlns:a16="http://schemas.microsoft.com/office/drawing/2014/main" id="{3F9E3692-5FC1-482C-A3B5-6D592647C96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2965" y="93889"/>
          <a:ext cx="2101415" cy="8014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sanchez/Desktop/Plan%20Adquiciones%201174%20y%20943/Ejecucion%20Septiembre/EJECUCI&#211;N%20TRANSP%20-%200943%20A%20SEPTIEMBRE%2030%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jiaco/Desktop/FUSS%20AGOSTO%202018/CRP%20a%2031%20Agosto%20de%202018%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TIEMBRE 2018"/>
      <sheetName val="Hoja2"/>
      <sheetName val="Hoja3"/>
    </sheetNames>
    <sheetDataSet>
      <sheetData sheetId="0" refreshError="1">
        <row r="4">
          <cell r="N4" t="str">
            <v>FECHA</v>
          </cell>
          <cell r="O4" t="str">
            <v>BENEFICIARIO</v>
          </cell>
          <cell r="P4" t="str">
            <v>TIPO</v>
          </cell>
          <cell r="Q4" t="str">
            <v>NUMERO</v>
          </cell>
          <cell r="R4" t="str">
            <v>OBJETO</v>
          </cell>
          <cell r="S4" t="str">
            <v>VALOR</v>
          </cell>
          <cell r="T4" t="str">
            <v>ANUL</v>
          </cell>
          <cell r="U4" t="str">
            <v>AJ</v>
          </cell>
          <cell r="V4" t="str">
            <v>VAL NETO</v>
          </cell>
          <cell r="W4" t="str">
            <v>GIRO</v>
          </cell>
          <cell r="X4" t="str">
            <v>x GIRAR</v>
          </cell>
        </row>
        <row r="5">
          <cell r="N5">
            <v>43116</v>
          </cell>
          <cell r="O5" t="str">
            <v>JUAN FERNANDO BETANCOURT FRANCO</v>
          </cell>
          <cell r="P5">
            <v>145</v>
          </cell>
          <cell r="Q5">
            <v>85</v>
          </cell>
          <cell r="R5" t="str">
            <v>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v>
          </cell>
          <cell r="S5">
            <v>57922050</v>
          </cell>
          <cell r="T5">
            <v>0</v>
          </cell>
          <cell r="U5">
            <v>0</v>
          </cell>
          <cell r="V5">
            <v>57922050</v>
          </cell>
          <cell r="W5">
            <v>37607360</v>
          </cell>
          <cell r="X5">
            <v>20314690</v>
          </cell>
        </row>
        <row r="6">
          <cell r="N6">
            <v>43118</v>
          </cell>
          <cell r="O6" t="str">
            <v>ROBERT  URREGO RAMOS</v>
          </cell>
          <cell r="P6">
            <v>145</v>
          </cell>
          <cell r="Q6">
            <v>187</v>
          </cell>
          <cell r="R6" t="str">
            <v>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v>
          </cell>
          <cell r="S6">
            <v>46968000</v>
          </cell>
          <cell r="T6">
            <v>0</v>
          </cell>
          <cell r="U6">
            <v>0</v>
          </cell>
          <cell r="V6">
            <v>46968000</v>
          </cell>
          <cell r="W6">
            <v>30488000</v>
          </cell>
          <cell r="X6">
            <v>16480000</v>
          </cell>
        </row>
        <row r="7">
          <cell r="N7">
            <v>43116</v>
          </cell>
          <cell r="O7" t="str">
            <v>JULIO ANDRES CENDALES MORA</v>
          </cell>
          <cell r="P7">
            <v>145</v>
          </cell>
          <cell r="Q7">
            <v>90</v>
          </cell>
          <cell r="R7" t="str">
            <v>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v>
          </cell>
          <cell r="S7">
            <v>57922050</v>
          </cell>
          <cell r="T7">
            <v>0</v>
          </cell>
          <cell r="U7">
            <v>0</v>
          </cell>
          <cell r="V7">
            <v>57922050</v>
          </cell>
          <cell r="W7">
            <v>37607360</v>
          </cell>
          <cell r="X7">
            <v>20314690</v>
          </cell>
        </row>
        <row r="8">
          <cell r="N8">
            <v>43118</v>
          </cell>
          <cell r="O8" t="str">
            <v>JOHANA PATRICIA REYES MARCIALES</v>
          </cell>
          <cell r="P8">
            <v>145</v>
          </cell>
          <cell r="Q8">
            <v>198</v>
          </cell>
          <cell r="R8" t="str">
            <v>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v>
          </cell>
          <cell r="S8">
            <v>71070000</v>
          </cell>
          <cell r="T8">
            <v>0</v>
          </cell>
          <cell r="U8">
            <v>0</v>
          </cell>
          <cell r="V8">
            <v>71070000</v>
          </cell>
          <cell r="W8">
            <v>45732000</v>
          </cell>
          <cell r="X8">
            <v>25338000</v>
          </cell>
        </row>
        <row r="9">
          <cell r="N9">
            <v>43116</v>
          </cell>
          <cell r="O9" t="str">
            <v>JUAN PABLO BOTERO ARAGON</v>
          </cell>
          <cell r="P9">
            <v>145</v>
          </cell>
          <cell r="Q9">
            <v>86</v>
          </cell>
          <cell r="R9" t="str">
            <v>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v>
          </cell>
          <cell r="S9">
            <v>57922050</v>
          </cell>
          <cell r="T9">
            <v>0</v>
          </cell>
          <cell r="U9">
            <v>0</v>
          </cell>
          <cell r="V9">
            <v>57922050</v>
          </cell>
          <cell r="W9">
            <v>37607360</v>
          </cell>
          <cell r="X9">
            <v>20314690</v>
          </cell>
        </row>
        <row r="10">
          <cell r="N10">
            <v>43126</v>
          </cell>
          <cell r="O10" t="str">
            <v>EDNA MARGARITA GONZALEZ ARANA</v>
          </cell>
          <cell r="P10">
            <v>145</v>
          </cell>
          <cell r="Q10">
            <v>387</v>
          </cell>
          <cell r="R10" t="str">
            <v>Prestación de servicios profesionales para el apoyo de  la estrategia de comunicación externa, relaciones públicas y gestión de medios - Free Press de la Caja de la Vivienda Popular, garantizando la efectividad en medios masivos locales, regionales y nacionales.</v>
          </cell>
          <cell r="S10">
            <v>135960000</v>
          </cell>
          <cell r="T10">
            <v>0</v>
          </cell>
          <cell r="U10">
            <v>0</v>
          </cell>
          <cell r="V10">
            <v>135960000</v>
          </cell>
          <cell r="W10">
            <v>88580000</v>
          </cell>
          <cell r="X10">
            <v>47380000</v>
          </cell>
        </row>
        <row r="11">
          <cell r="N11">
            <v>43116</v>
          </cell>
          <cell r="O11" t="str">
            <v>IVAN RODRIGO ROJAS ARBOLEDA</v>
          </cell>
          <cell r="P11">
            <v>145</v>
          </cell>
          <cell r="Q11">
            <v>68</v>
          </cell>
          <cell r="R11" t="str">
            <v>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v>
          </cell>
          <cell r="S11">
            <v>82915000</v>
          </cell>
          <cell r="T11">
            <v>0</v>
          </cell>
          <cell r="U11">
            <v>0</v>
          </cell>
          <cell r="V11">
            <v>82915000</v>
          </cell>
          <cell r="W11">
            <v>50229666</v>
          </cell>
          <cell r="X11">
            <v>32685334</v>
          </cell>
        </row>
        <row r="12">
          <cell r="N12">
            <v>43117</v>
          </cell>
          <cell r="O12" t="str">
            <v>DIEGO ALEJANDRO RINCON PEREZ</v>
          </cell>
          <cell r="P12">
            <v>145</v>
          </cell>
          <cell r="Q12">
            <v>104</v>
          </cell>
          <cell r="R12" t="str">
            <v>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v>
          </cell>
          <cell r="S12">
            <v>39088500</v>
          </cell>
          <cell r="T12">
            <v>0</v>
          </cell>
          <cell r="U12">
            <v>0</v>
          </cell>
          <cell r="V12">
            <v>39088500</v>
          </cell>
          <cell r="W12">
            <v>25379200</v>
          </cell>
          <cell r="X12">
            <v>13709300</v>
          </cell>
        </row>
        <row r="13">
          <cell r="N13">
            <v>43116</v>
          </cell>
          <cell r="O13" t="str">
            <v>ALVARO  DAVILA REMOLINA</v>
          </cell>
          <cell r="P13">
            <v>148</v>
          </cell>
          <cell r="Q13">
            <v>51</v>
          </cell>
          <cell r="R13" t="str">
            <v>Prestación de servicios de apoyo a la gestión, en la atención al servicio al ciudadano, teniendo en cuenta los protocolos, procedimientos y lineamientos establecidos por la CVP.</v>
          </cell>
          <cell r="S13">
            <v>34942750</v>
          </cell>
          <cell r="T13">
            <v>0</v>
          </cell>
          <cell r="U13">
            <v>0</v>
          </cell>
          <cell r="V13">
            <v>34942750</v>
          </cell>
          <cell r="W13">
            <v>22687467</v>
          </cell>
          <cell r="X13">
            <v>12255283</v>
          </cell>
        </row>
        <row r="14">
          <cell r="N14">
            <v>43299</v>
          </cell>
          <cell r="O14" t="str">
            <v>JOHNNY ALEXANDER RADA ESTEBAN</v>
          </cell>
          <cell r="P14">
            <v>145</v>
          </cell>
          <cell r="Q14">
            <v>446</v>
          </cell>
          <cell r="R14" t="str">
            <v>PRESTAR LOS SERVICIOS PROFESIONALES A LA OFICINA ASESORA DE COMUNICACIONES COMO APOYO EN LA CONCEPTUALIZACIÓN Y DESARROLLO DE CAMPAÑAS DE COMUNICACIÓN CONFORME AL PLAN ESTRATÉGICO DE COMUNICACIONES DE LA ENTIDAD.</v>
          </cell>
          <cell r="S14">
            <v>24926000</v>
          </cell>
          <cell r="T14">
            <v>0</v>
          </cell>
          <cell r="U14">
            <v>0</v>
          </cell>
          <cell r="V14">
            <v>24926000</v>
          </cell>
          <cell r="W14">
            <v>6344800</v>
          </cell>
          <cell r="X14">
            <v>18581200</v>
          </cell>
        </row>
        <row r="15">
          <cell r="N15">
            <v>43329</v>
          </cell>
          <cell r="O15" t="str">
            <v>MORENO FLOREZ MARIA ANDREA</v>
          </cell>
          <cell r="P15">
            <v>145</v>
          </cell>
          <cell r="Q15">
            <v>507</v>
          </cell>
          <cell r="R15" t="str">
            <v>Contratar los servicios profesionales para apoyar en el diseño e implementación de estrategias de comunicación de la gestión de la caja de vivienda popular, garantizando el efectivo manejo de información destinada a los medios masivos de comunicación y distintos públicos de interés de la entidad.</v>
          </cell>
          <cell r="S15">
            <v>32445000</v>
          </cell>
          <cell r="T15">
            <v>0</v>
          </cell>
          <cell r="U15">
            <v>0</v>
          </cell>
          <cell r="V15">
            <v>32445000</v>
          </cell>
          <cell r="W15">
            <v>2403330</v>
          </cell>
          <cell r="X15">
            <v>30041670</v>
          </cell>
        </row>
        <row r="18">
          <cell r="S18">
            <v>642081400</v>
          </cell>
          <cell r="T18">
            <v>0</v>
          </cell>
          <cell r="U18">
            <v>0</v>
          </cell>
          <cell r="V18">
            <v>642081400</v>
          </cell>
          <cell r="W18">
            <v>384666543</v>
          </cell>
          <cell r="X18">
            <v>257414857</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P a 31 Agosto de 2018"/>
    </sheetNames>
    <sheetDataSet>
      <sheetData sheetId="0" refreshError="1">
        <row r="8">
          <cell r="J8" t="str">
            <v>No_RP</v>
          </cell>
          <cell r="K8" t="str">
            <v>Fech_Registro</v>
          </cell>
          <cell r="L8" t="str">
            <v>Beneficiario</v>
          </cell>
          <cell r="M8" t="str">
            <v>Tip_Compromiso</v>
          </cell>
          <cell r="N8" t="str">
            <v>Desc_Compro</v>
          </cell>
          <cell r="O8" t="str">
            <v>No_Compromiso</v>
          </cell>
          <cell r="P8" t="str">
            <v>Fecha_Inicial</v>
          </cell>
          <cell r="Q8" t="str">
            <v>Objeto</v>
          </cell>
          <cell r="R8" t="str">
            <v>Valor</v>
          </cell>
          <cell r="S8" t="str">
            <v>Anulaciones</v>
          </cell>
          <cell r="T8" t="str">
            <v>Ajustes</v>
          </cell>
          <cell r="U8" t="str">
            <v>Valor_Neto</v>
          </cell>
          <cell r="V8" t="str">
            <v>Giros</v>
          </cell>
        </row>
        <row r="9">
          <cell r="J9">
            <v>1738</v>
          </cell>
          <cell r="K9">
            <v>43199</v>
          </cell>
          <cell r="L9" t="str">
            <v>UNION TEMPORAL SS 2017</v>
          </cell>
          <cell r="M9">
            <v>12</v>
          </cell>
          <cell r="N9" t="str">
            <v>CONTRATO DE PRESTACION DE SERVICIOS</v>
          </cell>
          <cell r="O9">
            <v>423</v>
          </cell>
          <cell r="P9">
            <v>43199</v>
          </cell>
          <cell r="Q9" t="str">
            <v>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R9">
            <v>95729495</v>
          </cell>
          <cell r="S9">
            <v>95729495</v>
          </cell>
          <cell r="T9">
            <v>0</v>
          </cell>
          <cell r="U9">
            <v>0</v>
          </cell>
          <cell r="V9">
            <v>0</v>
          </cell>
        </row>
        <row r="10">
          <cell r="J10">
            <v>1739</v>
          </cell>
          <cell r="K10">
            <v>43199</v>
          </cell>
          <cell r="L10" t="str">
            <v>UNION TEMPORAL SS 2017</v>
          </cell>
          <cell r="M10">
            <v>12</v>
          </cell>
          <cell r="N10" t="str">
            <v>CONTRATO DE PRESTACION DE SERVICIOS</v>
          </cell>
          <cell r="O10">
            <v>423</v>
          </cell>
          <cell r="P10">
            <v>43199</v>
          </cell>
          <cell r="Q10" t="str">
            <v>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R10">
            <v>95729459</v>
          </cell>
          <cell r="S10">
            <v>0</v>
          </cell>
          <cell r="T10">
            <v>0</v>
          </cell>
          <cell r="U10">
            <v>95729459</v>
          </cell>
          <cell r="V10">
            <v>95729459</v>
          </cell>
        </row>
        <row r="11">
          <cell r="J11">
            <v>2739</v>
          </cell>
          <cell r="K11">
            <v>43336</v>
          </cell>
          <cell r="L11" t="str">
            <v>CUIDAR LIMITADA</v>
          </cell>
          <cell r="M11">
            <v>12</v>
          </cell>
          <cell r="N11" t="str">
            <v>CONTRATO DE PRESTACION DE SERVICIOS</v>
          </cell>
          <cell r="O11">
            <v>537</v>
          </cell>
          <cell r="P11">
            <v>43336</v>
          </cell>
          <cell r="Q11"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R11">
            <v>255579128</v>
          </cell>
          <cell r="S11">
            <v>0</v>
          </cell>
          <cell r="T11">
            <v>0</v>
          </cell>
          <cell r="U11">
            <v>255579128</v>
          </cell>
          <cell r="V11">
            <v>0</v>
          </cell>
        </row>
        <row r="12">
          <cell r="J12">
            <v>1281</v>
          </cell>
          <cell r="K12">
            <v>43144</v>
          </cell>
          <cell r="L12" t="str">
            <v>UNION TEMPORAL INTERVENCION VIAL CIV</v>
          </cell>
          <cell r="M12">
            <v>14</v>
          </cell>
          <cell r="N12" t="str">
            <v>CONTRATO DE OBRA</v>
          </cell>
          <cell r="O12">
            <v>597</v>
          </cell>
          <cell r="P12">
            <v>43144</v>
          </cell>
          <cell r="Q12" t="str">
            <v>Adición al contrato de obra número 597 de 2016 cuyo objeto es "Elaborar los estudios, diseños y la construcción de los códigos de identificación vial - CIV priorizados, ubicados en el sector de Caracolí en la localidad de Ciudad Bolívar y en el sector de Compostela en la localidad de Usme en Bogotá D.C.</v>
          </cell>
          <cell r="R12">
            <v>19967239</v>
          </cell>
          <cell r="S12">
            <v>0</v>
          </cell>
          <cell r="T12">
            <v>0</v>
          </cell>
          <cell r="U12">
            <v>19967239</v>
          </cell>
          <cell r="V12">
            <v>0</v>
          </cell>
        </row>
        <row r="13">
          <cell r="J13">
            <v>1547</v>
          </cell>
          <cell r="K13">
            <v>43168</v>
          </cell>
          <cell r="L13" t="str">
            <v>CONSTRUSOCIAL  S A S</v>
          </cell>
          <cell r="M13">
            <v>14</v>
          </cell>
          <cell r="N13" t="str">
            <v>CONTRATO DE OBRA</v>
          </cell>
          <cell r="O13">
            <v>584</v>
          </cell>
          <cell r="P13">
            <v>43168</v>
          </cell>
          <cell r="Q13" t="str">
            <v>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v>
          </cell>
          <cell r="R13">
            <v>331596631</v>
          </cell>
          <cell r="S13">
            <v>0</v>
          </cell>
          <cell r="T13">
            <v>0</v>
          </cell>
          <cell r="U13">
            <v>331596631</v>
          </cell>
          <cell r="V13">
            <v>303409338</v>
          </cell>
        </row>
        <row r="14">
          <cell r="J14">
            <v>2625</v>
          </cell>
          <cell r="K14">
            <v>43325</v>
          </cell>
          <cell r="L14" t="str">
            <v>CONSORCIO  VIAL  BOGOTA</v>
          </cell>
          <cell r="M14">
            <v>14</v>
          </cell>
          <cell r="N14" t="str">
            <v>CONTRATO DE OBRA</v>
          </cell>
          <cell r="O14">
            <v>700</v>
          </cell>
          <cell r="P14">
            <v>43325</v>
          </cell>
          <cell r="Q14" t="str">
            <v>ADICIÓN Y PRORROGA AL CONTRATO 700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v>
          </cell>
          <cell r="R14">
            <v>140048757</v>
          </cell>
          <cell r="S14">
            <v>0</v>
          </cell>
          <cell r="T14">
            <v>0</v>
          </cell>
          <cell r="U14">
            <v>140048757</v>
          </cell>
          <cell r="V14">
            <v>0</v>
          </cell>
        </row>
        <row r="15">
          <cell r="J15">
            <v>2626</v>
          </cell>
          <cell r="K15">
            <v>43325</v>
          </cell>
          <cell r="L15" t="str">
            <v>BELISARIO ALFREDO DE LEON NARVAEZ</v>
          </cell>
          <cell r="M15">
            <v>14</v>
          </cell>
          <cell r="N15" t="str">
            <v>CONTRATO DE OBRA</v>
          </cell>
          <cell r="O15">
            <v>690</v>
          </cell>
          <cell r="P15">
            <v>43325</v>
          </cell>
          <cell r="Q15" t="str">
            <v>ADICIÓN Y PRORROGA AL CONTRATO 690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v>
          </cell>
          <cell r="R15">
            <v>108476445</v>
          </cell>
          <cell r="S15">
            <v>0</v>
          </cell>
          <cell r="T15">
            <v>0</v>
          </cell>
          <cell r="U15">
            <v>108476445</v>
          </cell>
          <cell r="V15">
            <v>0</v>
          </cell>
        </row>
        <row r="16">
          <cell r="J16">
            <v>1475</v>
          </cell>
          <cell r="K16">
            <v>43159</v>
          </cell>
          <cell r="L16" t="str">
            <v>AXA COLPATRIA SEGUROS SA</v>
          </cell>
          <cell r="M16">
            <v>53</v>
          </cell>
          <cell r="N16" t="str">
            <v>CONTRATO DE SEGUROS</v>
          </cell>
          <cell r="O16">
            <v>434</v>
          </cell>
          <cell r="P16">
            <v>43159</v>
          </cell>
          <cell r="Q16" t="str">
            <v>ADICIONAR EL CONTRATO 434 DE 2017 CUYO OBJETO ES "CONTRATAR LOS SEGUROS QUE AMPAREN LOS INTERESES PATRIMONIALES ACTUALES Y FUTUROS ASÍ COMO LOS BIENES DE PROPIEDAD DE LA CAJA DE LA VIVIENDA POPULAR, QUE ESTEN BAJO SU RESPONSABILIDAD Y CUSTODIA Y AQUELLOS QUE SEAN ADQUIRIDOS PARA DESARROLLAR LAS FUNCIONES INHERENTES A SU ACTIVIDAD Y CUALQUIER OTRA PÓLIZA QUE REQUIERA LA ENTIDAD EN EL DESARROLLO DE SU ACTIVIDAD.</v>
          </cell>
          <cell r="R16">
            <v>26056087</v>
          </cell>
          <cell r="S16">
            <v>0</v>
          </cell>
          <cell r="T16">
            <v>0</v>
          </cell>
          <cell r="U16">
            <v>26056087</v>
          </cell>
          <cell r="V16">
            <v>0</v>
          </cell>
        </row>
        <row r="17">
          <cell r="J17">
            <v>1910</v>
          </cell>
          <cell r="K17">
            <v>43235</v>
          </cell>
          <cell r="L17" t="str">
            <v>AXA COLPATRIA SEGUROS SA</v>
          </cell>
          <cell r="M17">
            <v>53</v>
          </cell>
          <cell r="N17" t="str">
            <v>CONTRATO DE SEGUROS</v>
          </cell>
          <cell r="O17">
            <v>434</v>
          </cell>
          <cell r="P17">
            <v>43235</v>
          </cell>
          <cell r="Q17" t="str">
            <v>Adicionar el contrato 434 de 2017 cuyo objeto es "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v>
          </cell>
          <cell r="R17">
            <v>9098844</v>
          </cell>
          <cell r="S17">
            <v>0</v>
          </cell>
          <cell r="T17">
            <v>0</v>
          </cell>
          <cell r="U17">
            <v>9098844</v>
          </cell>
          <cell r="V17">
            <v>0</v>
          </cell>
        </row>
        <row r="18">
          <cell r="J18">
            <v>2501</v>
          </cell>
          <cell r="K18">
            <v>43298</v>
          </cell>
          <cell r="L18" t="str">
            <v>UNION TEMPORAL SS 2017</v>
          </cell>
          <cell r="M18">
            <v>12</v>
          </cell>
          <cell r="N18" t="str">
            <v>CONTRATO DE PRESTACION DE SERVICIOS</v>
          </cell>
          <cell r="O18">
            <v>423</v>
          </cell>
          <cell r="P18">
            <v>43298</v>
          </cell>
          <cell r="Q18" t="str">
            <v>ADICIÓN Y PRÓRROGA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R18">
            <v>140000000</v>
          </cell>
          <cell r="S18">
            <v>0</v>
          </cell>
          <cell r="T18">
            <v>0</v>
          </cell>
          <cell r="U18">
            <v>140000000</v>
          </cell>
          <cell r="V18">
            <v>55950803</v>
          </cell>
        </row>
        <row r="19">
          <cell r="J19">
            <v>2689</v>
          </cell>
          <cell r="K19">
            <v>43333</v>
          </cell>
          <cell r="L19" t="str">
            <v>MULTIMODAL EXPRESS S.A.S</v>
          </cell>
          <cell r="M19">
            <v>12</v>
          </cell>
          <cell r="N19" t="str">
            <v>CONTRATO DE PRESTACION DE SERVICIOS</v>
          </cell>
          <cell r="O19">
            <v>506</v>
          </cell>
          <cell r="P19">
            <v>43333</v>
          </cell>
          <cell r="Q19" t="str">
            <v>SUMINISTRO DE ALIMENTACIÓN Y CATERING REQUERIDOS PARA LAS ACTIVIDADES PROGRAMADAS A NIVEL INTERNO Y EXTERNO PARA EL DESARROLLO DE LAS FUNCIONES DE LA CAJA DE LA VIVIENDA POPULAR.</v>
          </cell>
          <cell r="R19">
            <v>296000000</v>
          </cell>
          <cell r="S19">
            <v>0</v>
          </cell>
          <cell r="T19">
            <v>0</v>
          </cell>
          <cell r="U19">
            <v>296000000</v>
          </cell>
          <cell r="V19">
            <v>0</v>
          </cell>
        </row>
        <row r="20">
          <cell r="J20">
            <v>2740</v>
          </cell>
          <cell r="K20">
            <v>43336</v>
          </cell>
          <cell r="L20" t="str">
            <v>CUIDAR LIMITADA</v>
          </cell>
          <cell r="M20">
            <v>12</v>
          </cell>
          <cell r="N20" t="str">
            <v>CONTRATO DE PRESTACION DE SERVICIOS</v>
          </cell>
          <cell r="O20">
            <v>537</v>
          </cell>
          <cell r="P20">
            <v>43336</v>
          </cell>
          <cell r="Q20" t="str">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v>
          </cell>
          <cell r="R20">
            <v>518671160</v>
          </cell>
          <cell r="S20">
            <v>0</v>
          </cell>
          <cell r="T20">
            <v>0</v>
          </cell>
          <cell r="U20">
            <v>518671160</v>
          </cell>
          <cell r="V20">
            <v>0</v>
          </cell>
        </row>
        <row r="21">
          <cell r="J21">
            <v>1613</v>
          </cell>
          <cell r="K21">
            <v>43181</v>
          </cell>
          <cell r="L21" t="str">
            <v>REDEX S A S</v>
          </cell>
          <cell r="M21">
            <v>12</v>
          </cell>
          <cell r="N21" t="str">
            <v>CONTRATO DE PRESTACION DE SERVICIOS</v>
          </cell>
          <cell r="O21">
            <v>419</v>
          </cell>
          <cell r="P21">
            <v>43181</v>
          </cell>
          <cell r="Q21" t="str">
            <v>Adición y prórroga al contrato 419 de 2017 cuyo objeto es "Prestar el servicio de mensajería expresa y motorizada para la recolección, transporte y entrega de la correspondencia de la Caja de la Vivienda Popular."</v>
          </cell>
          <cell r="R21">
            <v>22000000</v>
          </cell>
          <cell r="S21">
            <v>0</v>
          </cell>
          <cell r="T21">
            <v>0</v>
          </cell>
          <cell r="U21">
            <v>22000000</v>
          </cell>
          <cell r="V21">
            <v>22000000</v>
          </cell>
        </row>
        <row r="22">
          <cell r="J22">
            <v>2488</v>
          </cell>
          <cell r="K22">
            <v>43294</v>
          </cell>
          <cell r="L22" t="str">
            <v>WILVER FRANCINY RUSSY LADINO</v>
          </cell>
          <cell r="M22">
            <v>14</v>
          </cell>
          <cell r="N22" t="str">
            <v>CONTRATO DE OBRA</v>
          </cell>
          <cell r="O22">
            <v>694</v>
          </cell>
          <cell r="P22">
            <v>43294</v>
          </cell>
          <cell r="Q22" t="str">
            <v>La adición No. 1 al contrato No. 694 de 2017, cuyo objeto es: "Reparaciones locativas de acabados y líneas vitales que se requieran en las unidades de vivienda y zonas comunes de los proyectos de vivienda de in terés prioritario VIP de Bosa El Porvenir, Arborizadora Baja (MZ65) y Candelaria La Nuea (MZ67)</v>
          </cell>
          <cell r="R22">
            <v>24457140</v>
          </cell>
          <cell r="S22">
            <v>0</v>
          </cell>
          <cell r="T22">
            <v>0</v>
          </cell>
          <cell r="U22">
            <v>24457140</v>
          </cell>
          <cell r="V22">
            <v>0</v>
          </cell>
        </row>
        <row r="23">
          <cell r="J23">
            <v>1961</v>
          </cell>
          <cell r="K23">
            <v>43251</v>
          </cell>
          <cell r="L23" t="str">
            <v>REDEX S A S</v>
          </cell>
          <cell r="M23">
            <v>12</v>
          </cell>
          <cell r="N23" t="str">
            <v>CONTRATO DE PRESTACION DE SERVICIOS</v>
          </cell>
          <cell r="O23">
            <v>419</v>
          </cell>
          <cell r="P23">
            <v>43251</v>
          </cell>
          <cell r="Q23" t="str">
            <v>Adición y prorroga al contrato 419 de 2017 cuyo objeto es "Prestar el servicio de mensajería expresa y motorizada para la recolección, transporte y entrega de la correspondencia de la Caja de la Vivienda Popular."</v>
          </cell>
          <cell r="R23">
            <v>3000000</v>
          </cell>
          <cell r="S23">
            <v>0</v>
          </cell>
          <cell r="T23">
            <v>0</v>
          </cell>
          <cell r="U23">
            <v>3000000</v>
          </cell>
          <cell r="V23">
            <v>2746391</v>
          </cell>
        </row>
        <row r="24">
          <cell r="J24">
            <v>2555</v>
          </cell>
          <cell r="K24">
            <v>43313</v>
          </cell>
          <cell r="L24" t="str">
            <v>T &amp; G MINOLTA LIMITADA</v>
          </cell>
          <cell r="M24">
            <v>12</v>
          </cell>
          <cell r="N24" t="str">
            <v>CONTRATO DE PRESTACION DE SERVICIOS</v>
          </cell>
          <cell r="O24">
            <v>468</v>
          </cell>
          <cell r="P24">
            <v>43313</v>
          </cell>
          <cell r="Q24" t="str">
            <v>Prestación de servicio integral de fotocopiado, anillado y fotoplanos que requiera la Caja de la Vivienda Popular, de acuerdo con las especificaciones técnicas.</v>
          </cell>
          <cell r="R24">
            <v>3100000</v>
          </cell>
          <cell r="S24">
            <v>0</v>
          </cell>
          <cell r="T24">
            <v>0</v>
          </cell>
          <cell r="U24">
            <v>3100000</v>
          </cell>
          <cell r="V24">
            <v>0</v>
          </cell>
        </row>
        <row r="25">
          <cell r="J25">
            <v>527</v>
          </cell>
          <cell r="K25">
            <v>43132</v>
          </cell>
          <cell r="L25" t="str">
            <v>EXPRESOS Y SERVICIOS SOCIEDAD POR ACCIONES SIMPLIFICADA</v>
          </cell>
          <cell r="M25">
            <v>12</v>
          </cell>
          <cell r="N25" t="str">
            <v>CONTRATO DE PRESTACION DE SERVICIOS</v>
          </cell>
          <cell r="O25">
            <v>659</v>
          </cell>
          <cell r="P25">
            <v>43132</v>
          </cell>
          <cell r="Q25" t="str">
            <v>Adición al contrato 659 de 2017 cuyo objeto es "Contratar el servicio de transporte terrestre automotor especial en la modalidad de buses, busetas y vans para la caja de la vivienda popular.</v>
          </cell>
          <cell r="R25">
            <v>25000000</v>
          </cell>
          <cell r="S25">
            <v>0</v>
          </cell>
          <cell r="T25">
            <v>0</v>
          </cell>
          <cell r="U25">
            <v>25000000</v>
          </cell>
          <cell r="V25">
            <v>24912380</v>
          </cell>
        </row>
        <row r="26">
          <cell r="J26">
            <v>1667</v>
          </cell>
          <cell r="K26">
            <v>43194</v>
          </cell>
          <cell r="L26" t="str">
            <v>T &amp; G MINOLTA LIMITADA</v>
          </cell>
          <cell r="M26">
            <v>12</v>
          </cell>
          <cell r="N26" t="str">
            <v>CONTRATO DE PRESTACION DE SERVICIOS</v>
          </cell>
          <cell r="O26">
            <v>421</v>
          </cell>
          <cell r="P26">
            <v>43194</v>
          </cell>
          <cell r="Q26" t="str">
            <v>Adición y prórroga al contrato 421 de 2017 cuyo objeto es "Contratar la prestación del servicio integral de fotocopiado, encuadernación y fotoplanos que requiera la Caja de la Vivienda Popular de acuerdo con las especificaciones técnicas".</v>
          </cell>
          <cell r="R26">
            <v>35000000</v>
          </cell>
          <cell r="S26">
            <v>0</v>
          </cell>
          <cell r="T26">
            <v>0</v>
          </cell>
          <cell r="U26">
            <v>35000000</v>
          </cell>
          <cell r="V26">
            <v>35000000</v>
          </cell>
        </row>
        <row r="27">
          <cell r="J27">
            <v>1962</v>
          </cell>
          <cell r="K27">
            <v>43252</v>
          </cell>
          <cell r="L27" t="str">
            <v>T &amp; G MINOLTA LIMITADA</v>
          </cell>
          <cell r="M27">
            <v>12</v>
          </cell>
          <cell r="N27" t="str">
            <v>CONTRATO DE PRESTACION DE SERVICIOS</v>
          </cell>
          <cell r="O27">
            <v>421</v>
          </cell>
          <cell r="P27">
            <v>43252</v>
          </cell>
          <cell r="Q27" t="str">
            <v>ADICIÓN Y PRORROGA AL CONTRATO 421 DE 2017 CUYO OBJETO ES: CONTRATAR LA PRESTACIÓN DEL SERVICIO INTEGRAL DE FOTOCOPIADO, ENCUADERNACIÓN Y FOTOPLANOS QUE REQUIERA LA CAJA DE LA VIVIENDA POPULAR DE ACUERDO CON LAS ESPECIFICACIONES TÉCNICAS.</v>
          </cell>
          <cell r="R27">
            <v>26500000</v>
          </cell>
          <cell r="S27">
            <v>0</v>
          </cell>
          <cell r="T27">
            <v>0</v>
          </cell>
          <cell r="U27">
            <v>26500000</v>
          </cell>
          <cell r="V27">
            <v>25546927</v>
          </cell>
        </row>
        <row r="28">
          <cell r="J28">
            <v>2554</v>
          </cell>
          <cell r="K28">
            <v>43313</v>
          </cell>
          <cell r="L28" t="str">
            <v>T &amp; G MINOLTA LIMITADA</v>
          </cell>
          <cell r="M28">
            <v>12</v>
          </cell>
          <cell r="N28" t="str">
            <v>CONTRATO DE PRESTACION DE SERVICIOS</v>
          </cell>
          <cell r="O28">
            <v>468</v>
          </cell>
          <cell r="P28">
            <v>43313</v>
          </cell>
          <cell r="Q28" t="str">
            <v>Prestación de servicio integral de fotocopiado, anillado y fotoplanos que requiera la Caja de la Vivienda Popular, de acuerdo con las especificaciones técnicas.</v>
          </cell>
          <cell r="R28">
            <v>114537306</v>
          </cell>
          <cell r="S28">
            <v>0</v>
          </cell>
          <cell r="T28">
            <v>0</v>
          </cell>
          <cell r="U28">
            <v>114537306</v>
          </cell>
          <cell r="V28">
            <v>0</v>
          </cell>
        </row>
        <row r="29">
          <cell r="J29">
            <v>2671</v>
          </cell>
          <cell r="K29">
            <v>43329</v>
          </cell>
          <cell r="L29" t="str">
            <v>EXPRESOS Y SERVICIOS SOCIEDAD POR ACCIONES SIMPLIFICADA</v>
          </cell>
          <cell r="M29">
            <v>12</v>
          </cell>
          <cell r="N29" t="str">
            <v>CONTRATO DE PRESTACION DE SERVICIOS</v>
          </cell>
          <cell r="O29">
            <v>490</v>
          </cell>
          <cell r="P29">
            <v>43329</v>
          </cell>
          <cell r="Q29" t="str">
            <v>Contratar el servicio público de transporte terrestre automotor especial en la modalidad de buses, busetas y vans para la Caja de la Vivienda Popular.</v>
          </cell>
          <cell r="R29">
            <v>60000000</v>
          </cell>
          <cell r="S29">
            <v>0</v>
          </cell>
          <cell r="T29">
            <v>0</v>
          </cell>
          <cell r="U29">
            <v>60000000</v>
          </cell>
          <cell r="V29">
            <v>0</v>
          </cell>
        </row>
        <row r="30">
          <cell r="J30">
            <v>1589</v>
          </cell>
          <cell r="K30">
            <v>43175</v>
          </cell>
          <cell r="L30" t="str">
            <v>SISTEMAS Y DISTRIBUCIONES FORMACON LTDA</v>
          </cell>
          <cell r="M30">
            <v>16</v>
          </cell>
          <cell r="N30" t="str">
            <v>CONTRATO DE COMPRAVENTA</v>
          </cell>
          <cell r="O30">
            <v>587</v>
          </cell>
          <cell r="P30">
            <v>43175</v>
          </cell>
          <cell r="Q30" t="str">
            <v>Adición al contrato 587 de 2017 cuyo objeto es "Suministro de tonner, cintas y demás elementos requeridos para equipos de impresión de la Caja de la Vivienda Popular." tarjetas canjeables.</v>
          </cell>
          <cell r="R30">
            <v>16000000</v>
          </cell>
          <cell r="S30">
            <v>0</v>
          </cell>
          <cell r="T30">
            <v>0</v>
          </cell>
          <cell r="U30">
            <v>16000000</v>
          </cell>
          <cell r="V30">
            <v>15909828</v>
          </cell>
        </row>
        <row r="31">
          <cell r="J31">
            <v>1724</v>
          </cell>
          <cell r="K31">
            <v>43195</v>
          </cell>
          <cell r="L31" t="str">
            <v>WILLIAM ALFONSO LAGUNA VARGAS</v>
          </cell>
          <cell r="M31">
            <v>19</v>
          </cell>
          <cell r="N31" t="str">
            <v>CONTRATO DE SUMINISTRO</v>
          </cell>
          <cell r="O31">
            <v>432</v>
          </cell>
          <cell r="P31">
            <v>43195</v>
          </cell>
          <cell r="Q31" t="str">
            <v>ADQUISICIÓN DE ELEMENTOS DE FERRETERÍA PARA LA CAJA DE LA VIVIENDA POPULAR</v>
          </cell>
          <cell r="R31">
            <v>16479150</v>
          </cell>
          <cell r="S31">
            <v>0</v>
          </cell>
          <cell r="T31">
            <v>0</v>
          </cell>
          <cell r="U31">
            <v>16479150</v>
          </cell>
          <cell r="V31">
            <v>2393983</v>
          </cell>
        </row>
        <row r="32">
          <cell r="J32">
            <v>2506</v>
          </cell>
          <cell r="K32">
            <v>43299</v>
          </cell>
          <cell r="L32" t="str">
            <v>PROTEGER IPS SAS</v>
          </cell>
          <cell r="M32">
            <v>12</v>
          </cell>
          <cell r="N32" t="str">
            <v>CONTRATO DE PRESTACION DE SERVICIOS</v>
          </cell>
          <cell r="O32">
            <v>646</v>
          </cell>
          <cell r="P32">
            <v>43299</v>
          </cell>
          <cell r="Q32" t="str">
            <v>Adición al contrato 646 de 2017 cuyo objeto es: "Contratar los servicios en salud ocupacional referente a la realización de los exámenes médicos ocupacionales, de pre-ingreso, periódicos programados, por cambio de ocupación, post-incapacidad y de egreso para la Caja de la Vivienda Popular.</v>
          </cell>
          <cell r="R32">
            <v>2300000</v>
          </cell>
          <cell r="S32">
            <v>0</v>
          </cell>
          <cell r="T32">
            <v>0</v>
          </cell>
          <cell r="U32">
            <v>2300000</v>
          </cell>
          <cell r="V32">
            <v>888000</v>
          </cell>
        </row>
        <row r="33">
          <cell r="J33">
            <v>2550</v>
          </cell>
          <cell r="K33">
            <v>43312</v>
          </cell>
          <cell r="L33" t="str">
            <v>BIENESTAR Y SALUD EMPRESARIAL S A S</v>
          </cell>
          <cell r="M33">
            <v>12</v>
          </cell>
          <cell r="N33" t="str">
            <v>CONTRATO DE PRESTACION DE SERVICIOS</v>
          </cell>
          <cell r="O33">
            <v>467</v>
          </cell>
          <cell r="P33">
            <v>43312</v>
          </cell>
          <cell r="Q33" t="str">
            <v>Contratar los servicios en salud ocupacional en especial lo relacionado con los exámenes médicos ocupacionales, de pre-ingreso, por cambio de ocupación, post-incapacidad y de egreso para la Caja de la Vivienda Popular.</v>
          </cell>
          <cell r="R33">
            <v>5003370</v>
          </cell>
          <cell r="S33">
            <v>0</v>
          </cell>
          <cell r="T33">
            <v>0</v>
          </cell>
          <cell r="U33">
            <v>5003370</v>
          </cell>
          <cell r="V33">
            <v>0</v>
          </cell>
        </row>
        <row r="34">
          <cell r="J34">
            <v>2613</v>
          </cell>
          <cell r="K34">
            <v>43320</v>
          </cell>
          <cell r="L34" t="str">
            <v>LABORUM FASHION LTDA</v>
          </cell>
          <cell r="M34">
            <v>16</v>
          </cell>
          <cell r="N34" t="str">
            <v>CONTRATO DE COMPRAVENTA</v>
          </cell>
          <cell r="O34">
            <v>484</v>
          </cell>
          <cell r="P34">
            <v>43320</v>
          </cell>
          <cell r="Q34" t="str">
            <v>Contratar la adquisición de elementos de protección personal requeridos para el personal de la Caja de la Vivienda Popular de conformidad con las especificaciones técnicas establecidas por la Entidad.</v>
          </cell>
          <cell r="R34">
            <v>2139000</v>
          </cell>
          <cell r="S34">
            <v>0</v>
          </cell>
          <cell r="T34">
            <v>0</v>
          </cell>
          <cell r="U34">
            <v>2139000</v>
          </cell>
          <cell r="V34">
            <v>0</v>
          </cell>
        </row>
        <row r="35">
          <cell r="J35">
            <v>2617</v>
          </cell>
          <cell r="K35">
            <v>43322</v>
          </cell>
          <cell r="L35" t="str">
            <v>IMCOLMEDICA S A</v>
          </cell>
          <cell r="M35">
            <v>16</v>
          </cell>
          <cell r="N35" t="str">
            <v>CONTRATO DE COMPRAVENTA</v>
          </cell>
          <cell r="O35">
            <v>486</v>
          </cell>
          <cell r="P35">
            <v>43322</v>
          </cell>
          <cell r="Q35" t="str">
            <v>Contratar la adquisición de un desfibrilador externo automático que permita la aplicación de descargas eléctricas para lograr el restablecimiento del ritmo cardíaco normal en caso de requerirse.</v>
          </cell>
          <cell r="R35">
            <v>4972353</v>
          </cell>
          <cell r="S35">
            <v>0</v>
          </cell>
          <cell r="T35">
            <v>0</v>
          </cell>
          <cell r="U35">
            <v>4972353</v>
          </cell>
          <cell r="V35">
            <v>0</v>
          </cell>
        </row>
        <row r="36">
          <cell r="J36">
            <v>1725</v>
          </cell>
          <cell r="K36">
            <v>43195</v>
          </cell>
          <cell r="L36" t="str">
            <v>SGS COLOMBIA S.A.S</v>
          </cell>
          <cell r="M36">
            <v>12</v>
          </cell>
          <cell r="N36" t="str">
            <v>CONTRATO DE PRESTACION DE SERVICIOS</v>
          </cell>
          <cell r="O36">
            <v>431</v>
          </cell>
          <cell r="P36">
            <v>43195</v>
          </cell>
          <cell r="Q36" t="str">
            <v>Realizar la auditoria de re-certificación al Sistema de Gestión de Calidad de la Caja de la Vivienda Popular, de acuerdo a los parámetros establecidos en la Norma Técnica de Calidad para el Sector Público NTCGP 1000:2009 e ISO9001:2008</v>
          </cell>
          <cell r="R36">
            <v>8782200</v>
          </cell>
          <cell r="S36">
            <v>0</v>
          </cell>
          <cell r="T36">
            <v>0</v>
          </cell>
          <cell r="U36">
            <v>8782200</v>
          </cell>
          <cell r="V36">
            <v>8782200</v>
          </cell>
        </row>
        <row r="37">
          <cell r="J37">
            <v>1755</v>
          </cell>
          <cell r="K37">
            <v>43200</v>
          </cell>
          <cell r="L37" t="str">
            <v>METALWOOD DE COLOMBIA LTDA</v>
          </cell>
          <cell r="M37">
            <v>122</v>
          </cell>
          <cell r="N37" t="str">
            <v>CONTRATO DE ALQUILER</v>
          </cell>
          <cell r="O37">
            <v>570</v>
          </cell>
          <cell r="P37">
            <v>43200</v>
          </cell>
          <cell r="Q37" t="str">
            <v>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v>
          </cell>
          <cell r="R37">
            <v>5165000</v>
          </cell>
          <cell r="S37">
            <v>0</v>
          </cell>
          <cell r="T37">
            <v>0</v>
          </cell>
          <cell r="U37">
            <v>5165000</v>
          </cell>
          <cell r="V37">
            <v>5165000</v>
          </cell>
        </row>
        <row r="38">
          <cell r="J38">
            <v>2616</v>
          </cell>
          <cell r="K38">
            <v>43321</v>
          </cell>
          <cell r="L38" t="str">
            <v>G.O. COMERCIO DIGITAL SAS</v>
          </cell>
          <cell r="M38">
            <v>16</v>
          </cell>
          <cell r="N38" t="str">
            <v>CONTRATO DE COMPRAVENTA</v>
          </cell>
          <cell r="O38">
            <v>482</v>
          </cell>
          <cell r="P38">
            <v>43321</v>
          </cell>
          <cell r="Q38" t="str">
            <v>Adquisición de dos (2) grabadoras de voz para la Caja de la Vivienda Popular.</v>
          </cell>
          <cell r="R38">
            <v>620000</v>
          </cell>
          <cell r="S38">
            <v>0</v>
          </cell>
          <cell r="T38">
            <v>0</v>
          </cell>
          <cell r="U38">
            <v>620000</v>
          </cell>
          <cell r="V38">
            <v>0</v>
          </cell>
        </row>
        <row r="39">
          <cell r="J39">
            <v>1756</v>
          </cell>
          <cell r="K39">
            <v>43200</v>
          </cell>
          <cell r="L39" t="str">
            <v>SISELCOM SISTEMAS ELECTRICOS Y DE COMUNICACIONES SAS</v>
          </cell>
          <cell r="M39">
            <v>17</v>
          </cell>
          <cell r="N39" t="str">
            <v>CONTRATO DE ARRENDAMIENTO</v>
          </cell>
          <cell r="O39">
            <v>562</v>
          </cell>
          <cell r="P39">
            <v>43200</v>
          </cell>
          <cell r="Q39" t="str">
            <v>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v>
          </cell>
          <cell r="R39">
            <v>2511218</v>
          </cell>
          <cell r="S39">
            <v>0</v>
          </cell>
          <cell r="T39">
            <v>0</v>
          </cell>
          <cell r="U39">
            <v>2511218</v>
          </cell>
          <cell r="V39">
            <v>2511218</v>
          </cell>
        </row>
        <row r="40">
          <cell r="J40">
            <v>1546</v>
          </cell>
          <cell r="K40">
            <v>43168</v>
          </cell>
          <cell r="L40" t="str">
            <v>MIRS LATINOAMERICA S A S</v>
          </cell>
          <cell r="M40">
            <v>43</v>
          </cell>
          <cell r="N40" t="str">
            <v>CONTRATO DE INTERVENTORIA</v>
          </cell>
          <cell r="O40">
            <v>593</v>
          </cell>
          <cell r="P40">
            <v>43168</v>
          </cell>
          <cell r="Q40" t="str">
            <v>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v>
          </cell>
          <cell r="R40">
            <v>90752820</v>
          </cell>
          <cell r="S40">
            <v>0</v>
          </cell>
          <cell r="T40">
            <v>0</v>
          </cell>
          <cell r="U40">
            <v>90752820</v>
          </cell>
          <cell r="V40">
            <v>83542479</v>
          </cell>
        </row>
        <row r="41">
          <cell r="J41">
            <v>6</v>
          </cell>
          <cell r="K41">
            <v>43112</v>
          </cell>
          <cell r="L41" t="str">
            <v>HECTOR ANDRES MEJIA MEJIA</v>
          </cell>
          <cell r="M41">
            <v>145</v>
          </cell>
          <cell r="N41" t="str">
            <v>CONTRATO DE PRESTACION DE SERVICIOS PROFESIONALES</v>
          </cell>
          <cell r="O41">
            <v>6</v>
          </cell>
          <cell r="P41">
            <v>43112</v>
          </cell>
          <cell r="Q41" t="str">
            <v>PRESTAR SERVICIOS PROFESIONALES PARA APOYAR LA PLANEACIÓN, SEGUIMIENTO Y EVALUACIÓN DE LOS SUBSISTEMAS DEL SISTEMA INTEGRADO DE GESTIÓN DE LA CAJA DE LA VIVIENDA POPULAR.</v>
          </cell>
          <cell r="R41">
            <v>57922050</v>
          </cell>
          <cell r="S41">
            <v>35089010</v>
          </cell>
          <cell r="T41">
            <v>0</v>
          </cell>
          <cell r="U41">
            <v>22833040</v>
          </cell>
          <cell r="V41">
            <v>22833040</v>
          </cell>
        </row>
        <row r="42">
          <cell r="J42">
            <v>37</v>
          </cell>
          <cell r="K42">
            <v>43116</v>
          </cell>
          <cell r="L42" t="str">
            <v>ROBERTO CARLOS NARVAEZ CORTES</v>
          </cell>
          <cell r="M42">
            <v>145</v>
          </cell>
          <cell r="N42" t="str">
            <v>CONTRATO DE PRESTACION DE SERVICIOS PROFESIONALES</v>
          </cell>
          <cell r="O42">
            <v>47</v>
          </cell>
          <cell r="P42">
            <v>43116</v>
          </cell>
          <cell r="Q42" t="str">
            <v>Prestación de servicios profesionales para realizar el acompañamiento en el cumplimiento de los lineamientos relacionados con la atención y prestación del servicio a la ciudadanía, a cargo de la Caja de la Vivienda Popular</v>
          </cell>
          <cell r="R42">
            <v>47380000</v>
          </cell>
          <cell r="S42">
            <v>0</v>
          </cell>
          <cell r="T42">
            <v>0</v>
          </cell>
          <cell r="U42">
            <v>47380000</v>
          </cell>
          <cell r="V42">
            <v>26642667</v>
          </cell>
        </row>
        <row r="43">
          <cell r="J43">
            <v>47</v>
          </cell>
          <cell r="K43">
            <v>43116</v>
          </cell>
          <cell r="L43" t="str">
            <v>MAYERLI  AZUERO LOZANO</v>
          </cell>
          <cell r="M43">
            <v>145</v>
          </cell>
          <cell r="N43" t="str">
            <v>CONTRATO DE PRESTACION DE SERVICIOS PROFESIONALES</v>
          </cell>
          <cell r="O43">
            <v>37</v>
          </cell>
          <cell r="P43">
            <v>43116</v>
          </cell>
          <cell r="Q43" t="str">
            <v>Prestar los servicios profesionales para apoyar a la Subdirección Administrativa con el mantenimiento, actualización e implementación del Subsistema de Seguridad y Salud en el Trabajo y con los Sistemas de Evaluación de los Funcionarios de la Entidad.</v>
          </cell>
          <cell r="R43">
            <v>47380000</v>
          </cell>
          <cell r="S43">
            <v>0</v>
          </cell>
          <cell r="T43">
            <v>0</v>
          </cell>
          <cell r="U43">
            <v>47380000</v>
          </cell>
          <cell r="V43">
            <v>26642667</v>
          </cell>
        </row>
        <row r="44">
          <cell r="J44">
            <v>48</v>
          </cell>
          <cell r="K44">
            <v>43116</v>
          </cell>
          <cell r="L44" t="str">
            <v>LUIS DARIO SOTELO CARREÑO</v>
          </cell>
          <cell r="M44">
            <v>145</v>
          </cell>
          <cell r="N44" t="str">
            <v>CONTRATO DE PRESTACION DE SERVICIOS PROFESIONALES</v>
          </cell>
          <cell r="O44">
            <v>52</v>
          </cell>
          <cell r="P44">
            <v>43116</v>
          </cell>
          <cell r="Q44" t="str">
            <v>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v>
          </cell>
          <cell r="R44">
            <v>71070000</v>
          </cell>
          <cell r="S44">
            <v>0</v>
          </cell>
          <cell r="T44">
            <v>0</v>
          </cell>
          <cell r="U44">
            <v>71070000</v>
          </cell>
          <cell r="V44">
            <v>39964000</v>
          </cell>
        </row>
        <row r="45">
          <cell r="J45">
            <v>69</v>
          </cell>
          <cell r="K45">
            <v>43116</v>
          </cell>
          <cell r="L45" t="str">
            <v>JOSE LEONARDO PINTO COLORADO</v>
          </cell>
          <cell r="M45">
            <v>145</v>
          </cell>
          <cell r="N45" t="str">
            <v>CONTRATO DE PRESTACION DE SERVICIOS PROFESIONALES</v>
          </cell>
          <cell r="O45">
            <v>63</v>
          </cell>
          <cell r="P45">
            <v>43116</v>
          </cell>
          <cell r="Q45" t="str">
            <v>Prestación de servicios profesionales para apoyar a la Subdirección Financiera en la estructuración, revisión y evaluación del componente financiero y de documentos de análisis del sector que se requieran en los diferentes procesos de contratación.</v>
          </cell>
          <cell r="R45">
            <v>52118000</v>
          </cell>
          <cell r="S45">
            <v>0</v>
          </cell>
          <cell r="T45">
            <v>0</v>
          </cell>
          <cell r="U45">
            <v>52118000</v>
          </cell>
          <cell r="V45">
            <v>29306933</v>
          </cell>
        </row>
        <row r="46">
          <cell r="J46">
            <v>76</v>
          </cell>
          <cell r="K46">
            <v>43116</v>
          </cell>
          <cell r="L46" t="str">
            <v>DORIS  CARVAJAL MOJICA</v>
          </cell>
          <cell r="M46">
            <v>145</v>
          </cell>
          <cell r="N46" t="str">
            <v>CONTRATO DE PRESTACION DE SERVICIOS PROFESIONALES</v>
          </cell>
          <cell r="O46">
            <v>64</v>
          </cell>
          <cell r="P46">
            <v>43116</v>
          </cell>
          <cell r="Q46" t="str">
            <v>Prestación de servicios profesionales para apoyar en la  formulación, seguimiento, ejecución y programación presupuestal de la Caja de la Vivienda Popular.</v>
          </cell>
          <cell r="R46">
            <v>65147500</v>
          </cell>
          <cell r="S46">
            <v>0</v>
          </cell>
          <cell r="T46">
            <v>0</v>
          </cell>
          <cell r="U46">
            <v>65147500</v>
          </cell>
          <cell r="V46">
            <v>36633667</v>
          </cell>
        </row>
        <row r="47">
          <cell r="J47">
            <v>105</v>
          </cell>
          <cell r="K47">
            <v>43116</v>
          </cell>
          <cell r="L47" t="str">
            <v>ALEJANDRO  GUAYARA MURILLO</v>
          </cell>
          <cell r="M47">
            <v>145</v>
          </cell>
          <cell r="N47" t="str">
            <v>CONTRATO DE PRESTACION DE SERVICIOS PROFESIONALES</v>
          </cell>
          <cell r="O47">
            <v>92</v>
          </cell>
          <cell r="P47">
            <v>43116</v>
          </cell>
          <cell r="Q47" t="str">
            <v>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v>
          </cell>
          <cell r="R47">
            <v>76992500</v>
          </cell>
          <cell r="S47">
            <v>0</v>
          </cell>
          <cell r="T47">
            <v>0</v>
          </cell>
          <cell r="U47">
            <v>76992500</v>
          </cell>
          <cell r="V47">
            <v>43517500</v>
          </cell>
        </row>
        <row r="48">
          <cell r="J48">
            <v>109</v>
          </cell>
          <cell r="K48">
            <v>43117</v>
          </cell>
          <cell r="L48" t="str">
            <v>HAMILTON  DIAZ GARCIA</v>
          </cell>
          <cell r="M48">
            <v>145</v>
          </cell>
          <cell r="N48" t="str">
            <v>CONTRATO DE PRESTACION DE SERVICIOS PROFESIONALES</v>
          </cell>
          <cell r="O48">
            <v>102</v>
          </cell>
          <cell r="P48">
            <v>43117</v>
          </cell>
          <cell r="Q48" t="str">
            <v>Prestar los servicios profesionales para llevar a cabo las actividades del Plan Anual de Adquisiciones a través de procesos de contratación y realizar la revisión de carácter jurídico en los temas inherentes a la Subdirección Administrativa.</v>
          </cell>
          <cell r="R48">
            <v>60409500</v>
          </cell>
          <cell r="S48">
            <v>0</v>
          </cell>
          <cell r="T48">
            <v>0</v>
          </cell>
          <cell r="U48">
            <v>60409500</v>
          </cell>
          <cell r="V48">
            <v>33794300</v>
          </cell>
        </row>
        <row r="49">
          <cell r="J49">
            <v>110</v>
          </cell>
          <cell r="K49">
            <v>43117</v>
          </cell>
          <cell r="L49" t="str">
            <v>GINETH VIVIANA FRANCO PRADA</v>
          </cell>
          <cell r="M49">
            <v>145</v>
          </cell>
          <cell r="N49" t="str">
            <v>CONTRATO DE PRESTACION DE SERVICIOS PROFESIONALES</v>
          </cell>
          <cell r="O49">
            <v>103</v>
          </cell>
          <cell r="P49">
            <v>43117</v>
          </cell>
          <cell r="Q49" t="str">
            <v>Prestar los servicios profesionales para brindar apoyo  en temas relacionados con la gestión de calidad de los procesos que lidera la Subdirección.</v>
          </cell>
          <cell r="R49">
            <v>39088500</v>
          </cell>
          <cell r="S49">
            <v>0</v>
          </cell>
          <cell r="T49">
            <v>0</v>
          </cell>
          <cell r="U49">
            <v>39088500</v>
          </cell>
          <cell r="V49">
            <v>21980200</v>
          </cell>
        </row>
        <row r="50">
          <cell r="J50">
            <v>112</v>
          </cell>
          <cell r="K50">
            <v>43117</v>
          </cell>
          <cell r="L50" t="str">
            <v>AMALIA JEANNETTE SANCHEZ GUIO</v>
          </cell>
          <cell r="M50">
            <v>145</v>
          </cell>
          <cell r="N50" t="str">
            <v>CONTRATO DE PRESTACION DE SERVICIOS PROFESIONALES</v>
          </cell>
          <cell r="O50">
            <v>105</v>
          </cell>
          <cell r="P50">
            <v>43117</v>
          </cell>
          <cell r="Q50" t="str">
            <v>Prestar los servicios profesionales para brindar apoyo respecto al seguimiento financiero y presupuestal de los contratos a cargo de la Subdirección Administrativa.</v>
          </cell>
          <cell r="R50">
            <v>40865250</v>
          </cell>
          <cell r="S50">
            <v>0</v>
          </cell>
          <cell r="T50">
            <v>0</v>
          </cell>
          <cell r="U50">
            <v>40865250</v>
          </cell>
          <cell r="V50">
            <v>22979300</v>
          </cell>
        </row>
        <row r="51">
          <cell r="J51">
            <v>121</v>
          </cell>
          <cell r="K51">
            <v>43117</v>
          </cell>
          <cell r="L51" t="str">
            <v>YAMILE PATRICIA CASTIBLANCO VENEGAS</v>
          </cell>
          <cell r="M51">
            <v>145</v>
          </cell>
          <cell r="N51" t="str">
            <v>CONTRATO DE PRESTACION DE SERVICIOS PROFESIONALES</v>
          </cell>
          <cell r="O51">
            <v>101</v>
          </cell>
          <cell r="P51">
            <v>43117</v>
          </cell>
          <cell r="Q51" t="str">
            <v>Prestar los servicios profesionales a la Dirección Jurídica para el desarrollo de actividades tales como la elaboración de conceptos jurídicos, seguimiento a los negocios fiduciarios en los cuales hace parte la CVP, y demás actividades propias de la Dirección.</v>
          </cell>
          <cell r="R51">
            <v>106605000</v>
          </cell>
          <cell r="S51">
            <v>0</v>
          </cell>
          <cell r="T51">
            <v>0</v>
          </cell>
          <cell r="U51">
            <v>106605000</v>
          </cell>
          <cell r="V51">
            <v>60255000</v>
          </cell>
        </row>
        <row r="52">
          <cell r="J52">
            <v>150</v>
          </cell>
          <cell r="K52">
            <v>43117</v>
          </cell>
          <cell r="L52" t="str">
            <v>SANDRA YAMILE ROJAS RICO</v>
          </cell>
          <cell r="M52">
            <v>145</v>
          </cell>
          <cell r="N52" t="str">
            <v>CONTRATO DE PRESTACION DE SERVICIOS PROFESIONALES</v>
          </cell>
          <cell r="O52">
            <v>157</v>
          </cell>
          <cell r="P52">
            <v>43117</v>
          </cell>
          <cell r="Q52" t="str">
            <v>Prestación de servicios profesionales para registrar, depurar, analizar y ajustar la información contable de la Caja de la Vivienda Popular, encumplimiento a la normatividad, los procedimientos y lineamientos establecidos por la entidad.</v>
          </cell>
          <cell r="R52">
            <v>60409500</v>
          </cell>
          <cell r="S52">
            <v>0</v>
          </cell>
          <cell r="T52">
            <v>0</v>
          </cell>
          <cell r="U52">
            <v>60409500</v>
          </cell>
          <cell r="V52">
            <v>33794300</v>
          </cell>
        </row>
        <row r="53">
          <cell r="J53">
            <v>164</v>
          </cell>
          <cell r="K53">
            <v>43118</v>
          </cell>
          <cell r="L53" t="str">
            <v>PHILLIP  KLEIN GARAVITO</v>
          </cell>
          <cell r="M53">
            <v>145</v>
          </cell>
          <cell r="N53" t="str">
            <v>CONTRATO DE PRESTACION DE SERVICIOS PROFESIONALES</v>
          </cell>
          <cell r="O53">
            <v>122</v>
          </cell>
          <cell r="P53">
            <v>43118</v>
          </cell>
          <cell r="Q53" t="str">
            <v>Prestar servicios profesionales para apoyar la formulación, seguimiento, evaluación, mantenimiento y mejora del Subsistema de Gestion Ambiental,  acorde a los lineamientos y normatividad vigente.</v>
          </cell>
          <cell r="R53">
            <v>40865250</v>
          </cell>
          <cell r="S53">
            <v>0</v>
          </cell>
          <cell r="T53">
            <v>0</v>
          </cell>
          <cell r="U53">
            <v>40865250</v>
          </cell>
          <cell r="V53">
            <v>22860850</v>
          </cell>
        </row>
        <row r="54">
          <cell r="J54">
            <v>175</v>
          </cell>
          <cell r="K54">
            <v>43118</v>
          </cell>
          <cell r="L54" t="str">
            <v>IVAN DARIO GOMEZ HENAO</v>
          </cell>
          <cell r="M54">
            <v>145</v>
          </cell>
          <cell r="N54" t="str">
            <v>CONTRATO DE PRESTACION DE SERVICIOS PROFESIONALES</v>
          </cell>
          <cell r="O54">
            <v>107</v>
          </cell>
          <cell r="P54">
            <v>43118</v>
          </cell>
          <cell r="Q54" t="str">
            <v>Prestación de servicios profesionales para el acompañamiento de las diferentes etapas de los procesos contractuales y la revisión jurídica de los temas a cargo de la Subdirección Administrativa.</v>
          </cell>
          <cell r="R54">
            <v>65147500</v>
          </cell>
          <cell r="S54">
            <v>0</v>
          </cell>
          <cell r="T54">
            <v>0</v>
          </cell>
          <cell r="U54">
            <v>65147500</v>
          </cell>
          <cell r="V54">
            <v>36444833</v>
          </cell>
        </row>
        <row r="55">
          <cell r="J55">
            <v>214</v>
          </cell>
          <cell r="K55">
            <v>43118</v>
          </cell>
          <cell r="L55" t="str">
            <v>ESTUDIO ASESORIAS PROFESIONALES S.A.S.</v>
          </cell>
          <cell r="M55">
            <v>145</v>
          </cell>
          <cell r="N55" t="str">
            <v>CONTRATO DE PRESTACION DE SERVICIOS PROFESIONALES</v>
          </cell>
          <cell r="O55">
            <v>185</v>
          </cell>
          <cell r="P55">
            <v>43118</v>
          </cell>
          <cell r="Q55" t="str">
            <v>PRESTACIÓN DE SERVICIOS PROFESIONALES ESPECIALIZADOS PARA REPRESENTAR COMO APODERADO JUDICIAL Y EXTRAJUDICIAL A LA CAJA DE LA VIVIENDA POPULAR EN MATERIA ADMINISTRATIVA Y CONSTITUCIONAL, ATENDIENDO LOS PROCESOS ASIGNADOS ANTE LOS DESPACHOS JUDICIALES COMPETENTES.</v>
          </cell>
          <cell r="R55">
            <v>130900000</v>
          </cell>
          <cell r="S55">
            <v>0</v>
          </cell>
          <cell r="T55">
            <v>0</v>
          </cell>
          <cell r="U55">
            <v>130900000</v>
          </cell>
          <cell r="V55">
            <v>74970000</v>
          </cell>
        </row>
        <row r="56">
          <cell r="J56">
            <v>225</v>
          </cell>
          <cell r="K56">
            <v>43118</v>
          </cell>
          <cell r="L56" t="str">
            <v>RUTH YEIMMY CIPRIAN HUERTAS</v>
          </cell>
          <cell r="M56">
            <v>145</v>
          </cell>
          <cell r="N56" t="str">
            <v>CONTRATO DE PRESTACION DE SERVICIOS PROFESIONALES</v>
          </cell>
          <cell r="O56">
            <v>197</v>
          </cell>
          <cell r="P56">
            <v>43118</v>
          </cell>
          <cell r="Q56" t="str">
            <v>PRESTACIÓN DE SERVICIOS PROFESIONALES PARA ANALIZAR, REGISTRAR, CONSOLIDAR Y PRESENTAR LA INFORMACIÓN CONTABLE Y TRIBUTARIA DE LA CAJA DE LA VIVIENDA POPULAR.</v>
          </cell>
          <cell r="R56">
            <v>60409500</v>
          </cell>
          <cell r="S56">
            <v>0</v>
          </cell>
          <cell r="T56">
            <v>0</v>
          </cell>
          <cell r="U56">
            <v>60409500</v>
          </cell>
          <cell r="V56">
            <v>33619200</v>
          </cell>
        </row>
        <row r="57">
          <cell r="J57">
            <v>302</v>
          </cell>
          <cell r="K57">
            <v>43122</v>
          </cell>
          <cell r="L57" t="str">
            <v>CRISTHIAN CAMILO RODRIGUEZ MELO</v>
          </cell>
          <cell r="M57">
            <v>145</v>
          </cell>
          <cell r="N57" t="str">
            <v>CONTRATO DE PRESTACION DE SERVICIOS PROFESIONALES</v>
          </cell>
          <cell r="O57">
            <v>268</v>
          </cell>
          <cell r="P57">
            <v>43122</v>
          </cell>
          <cell r="Q57" t="str">
            <v>Prestación de servicios profesionales para apoyar a la Oficina Asesora de Planeación en actividades de gestión y administración del Sistema Integrado de Gestión.</v>
          </cell>
          <cell r="R57">
            <v>39088500</v>
          </cell>
          <cell r="S57">
            <v>0</v>
          </cell>
          <cell r="T57">
            <v>0</v>
          </cell>
          <cell r="U57">
            <v>39088500</v>
          </cell>
          <cell r="V57">
            <v>21300400</v>
          </cell>
        </row>
        <row r="58">
          <cell r="J58">
            <v>308</v>
          </cell>
          <cell r="K58">
            <v>43122</v>
          </cell>
          <cell r="L58" t="str">
            <v>MANUEL LEONARDO TELLEZ BELTRAN</v>
          </cell>
          <cell r="M58">
            <v>145</v>
          </cell>
          <cell r="N58" t="str">
            <v>CONTRATO DE PRESTACION DE SERVICIOS PROFESIONALES</v>
          </cell>
          <cell r="O58">
            <v>280</v>
          </cell>
          <cell r="P58">
            <v>43122</v>
          </cell>
          <cell r="Q58" t="str">
            <v>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v>
          </cell>
          <cell r="R58">
            <v>68425000</v>
          </cell>
          <cell r="S58">
            <v>0</v>
          </cell>
          <cell r="T58">
            <v>0</v>
          </cell>
          <cell r="U58">
            <v>68425000</v>
          </cell>
          <cell r="V58">
            <v>34113333</v>
          </cell>
        </row>
        <row r="59">
          <cell r="J59">
            <v>383</v>
          </cell>
          <cell r="K59">
            <v>43124</v>
          </cell>
          <cell r="L59" t="str">
            <v>JUAN MANUEL RUSSY ESCOBAR</v>
          </cell>
          <cell r="M59">
            <v>145</v>
          </cell>
          <cell r="N59" t="str">
            <v>CONTRATO DE PRESTACION DE SERVICIOS PROFESIONALES</v>
          </cell>
          <cell r="O59">
            <v>360</v>
          </cell>
          <cell r="P59">
            <v>43124</v>
          </cell>
          <cell r="Q59" t="str">
            <v>Prestar los servicios profesionales especializados para llevar a cabo la representacion judicial y extrajudicial de la Caja de la Vivienda Popular, en materia laboral y laboral administrativa.</v>
          </cell>
          <cell r="R59">
            <v>110000000</v>
          </cell>
          <cell r="S59">
            <v>0</v>
          </cell>
          <cell r="T59">
            <v>0</v>
          </cell>
          <cell r="U59">
            <v>110000000</v>
          </cell>
          <cell r="V59">
            <v>51666667</v>
          </cell>
        </row>
        <row r="60">
          <cell r="J60">
            <v>435</v>
          </cell>
          <cell r="K60">
            <v>43125</v>
          </cell>
          <cell r="L60" t="str">
            <v>ELITE CONSULTORA  S A S</v>
          </cell>
          <cell r="M60">
            <v>145</v>
          </cell>
          <cell r="N60" t="str">
            <v>CONTRATO DE PRESTACION DE SERVICIOS PROFESIONALES</v>
          </cell>
          <cell r="O60">
            <v>375</v>
          </cell>
          <cell r="P60">
            <v>43125</v>
          </cell>
          <cell r="Q60" t="str">
            <v>Prestación de servicios profesionales para realizar el monitoreo, acompañamiento y mejora continua desde el punto de vista jurídico, al proceso de adquisición de bienes y servicios a cargo de la Dirección de Gestión Corporativa y CID.</v>
          </cell>
          <cell r="R60">
            <v>130900000</v>
          </cell>
          <cell r="S60">
            <v>130900000</v>
          </cell>
          <cell r="T60">
            <v>0</v>
          </cell>
          <cell r="U60">
            <v>0</v>
          </cell>
          <cell r="V60">
            <v>0</v>
          </cell>
        </row>
        <row r="61">
          <cell r="J61">
            <v>439</v>
          </cell>
          <cell r="K61">
            <v>43125</v>
          </cell>
          <cell r="L61" t="str">
            <v>LOTERO ZULUAGA ABOGADOS S A S</v>
          </cell>
          <cell r="M61">
            <v>145</v>
          </cell>
          <cell r="N61" t="str">
            <v>CONTRATO DE PRESTACION DE SERVICIOS PROFESIONALES</v>
          </cell>
          <cell r="O61">
            <v>379</v>
          </cell>
          <cell r="P61">
            <v>43125</v>
          </cell>
          <cell r="Q61" t="str">
            <v>Prestación de servicios profesionales para brindar asesoria juridica y acompañamiento externo en la gestion contractual y demás trámites administrativos que sean requeridos.</v>
          </cell>
          <cell r="R61">
            <v>66000000</v>
          </cell>
          <cell r="S61">
            <v>0</v>
          </cell>
          <cell r="T61">
            <v>0</v>
          </cell>
          <cell r="U61">
            <v>66000000</v>
          </cell>
          <cell r="V61">
            <v>37000000</v>
          </cell>
        </row>
        <row r="62">
          <cell r="J62">
            <v>443</v>
          </cell>
          <cell r="K62">
            <v>43125</v>
          </cell>
          <cell r="L62" t="str">
            <v>ELITE CONSULTORA  S A S</v>
          </cell>
          <cell r="M62">
            <v>145</v>
          </cell>
          <cell r="N62" t="str">
            <v>CONTRATO DE PRESTACION DE SERVICIOS PROFESIONALES</v>
          </cell>
          <cell r="O62">
            <v>375</v>
          </cell>
          <cell r="P62">
            <v>43125</v>
          </cell>
          <cell r="Q62" t="str">
            <v>PRESTACIÓN DE SERVICIOS PROFESIONALES PARA LA ASISTENCIA, ACOMPAÑAMIENTO, CONTROL Y SEGUIMIENTO JURÍDICO EN TODO LO CONCERNIENTE AL PROCESO DE ADQUISICIÓN DE BIENES Y SERVICIOS A CARGO DE LA DIRECCIÓN DE GESTIÓN CORPORATIVA Y CID.</v>
          </cell>
          <cell r="R62">
            <v>132000000</v>
          </cell>
          <cell r="S62">
            <v>132000000</v>
          </cell>
          <cell r="T62">
            <v>0</v>
          </cell>
          <cell r="U62">
            <v>0</v>
          </cell>
          <cell r="V62">
            <v>0</v>
          </cell>
        </row>
        <row r="63">
          <cell r="J63">
            <v>445</v>
          </cell>
          <cell r="K63">
            <v>43125</v>
          </cell>
          <cell r="L63" t="str">
            <v>ELITE CONSULTORA  S A S</v>
          </cell>
          <cell r="M63">
            <v>145</v>
          </cell>
          <cell r="N63" t="str">
            <v>CONTRATO DE PRESTACION DE SERVICIOS PROFESIONALES</v>
          </cell>
          <cell r="O63">
            <v>375</v>
          </cell>
          <cell r="P63">
            <v>43125</v>
          </cell>
          <cell r="Q63" t="str">
            <v>PRESTACIÓN DE SERVICIOS PROFESIONALES PARA LA ASISTENCIA, ACOMPAÑAMIENTO, CONTROL Y SEGUIMIENTO JURÍDICO EN TODO LO CONCERNIENTE AL PROCESO DE ADQUISICIÓN DE BIENES Y SERVICIOS A CARGO DE LA DIRECCIÓN DE GESTIÓN CORPORATIVA Y CID.</v>
          </cell>
          <cell r="R63">
            <v>130900000</v>
          </cell>
          <cell r="S63">
            <v>0</v>
          </cell>
          <cell r="T63">
            <v>0</v>
          </cell>
          <cell r="U63">
            <v>130900000</v>
          </cell>
          <cell r="V63">
            <v>73383333</v>
          </cell>
        </row>
        <row r="64">
          <cell r="J64">
            <v>462</v>
          </cell>
          <cell r="K64">
            <v>43126</v>
          </cell>
          <cell r="L64" t="str">
            <v>ANDRES JOSE PAJON SAMPER</v>
          </cell>
          <cell r="M64">
            <v>145</v>
          </cell>
          <cell r="N64" t="str">
            <v>CONTRATO DE PRESTACION DE SERVICIOS PROFESIONALES</v>
          </cell>
          <cell r="O64">
            <v>389</v>
          </cell>
          <cell r="P64">
            <v>43126</v>
          </cell>
          <cell r="Q64" t="str">
            <v>Prestación de servicios profesionales para realizar el acompañamiento jurídico en asuntos relacionados con el manejo y administración de bienes inmuebles que requiera la Caja de la Vivienda Popular.</v>
          </cell>
          <cell r="R64">
            <v>51479400</v>
          </cell>
          <cell r="S64">
            <v>51479400</v>
          </cell>
          <cell r="T64">
            <v>0</v>
          </cell>
          <cell r="U64">
            <v>0</v>
          </cell>
          <cell r="V64">
            <v>0</v>
          </cell>
        </row>
        <row r="65">
          <cell r="J65">
            <v>482</v>
          </cell>
          <cell r="K65">
            <v>43126</v>
          </cell>
          <cell r="L65" t="str">
            <v>DAVID ANDRES GIRALDO UMBARILA</v>
          </cell>
          <cell r="M65">
            <v>145</v>
          </cell>
          <cell r="N65" t="str">
            <v>CONTRATO DE PRESTACION DE SERVICIOS PROFESIONALES</v>
          </cell>
          <cell r="O65">
            <v>404</v>
          </cell>
          <cell r="P65">
            <v>43126</v>
          </cell>
          <cell r="Q65" t="str">
            <v>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v>
          </cell>
          <cell r="R65">
            <v>49440000</v>
          </cell>
          <cell r="S65">
            <v>0</v>
          </cell>
          <cell r="T65">
            <v>0</v>
          </cell>
          <cell r="U65">
            <v>49440000</v>
          </cell>
          <cell r="V65">
            <v>49440000</v>
          </cell>
        </row>
        <row r="66">
          <cell r="J66">
            <v>2427</v>
          </cell>
          <cell r="K66">
            <v>43285</v>
          </cell>
          <cell r="L66" t="str">
            <v>L&amp;L ASESORES</v>
          </cell>
          <cell r="M66">
            <v>145</v>
          </cell>
          <cell r="N66" t="str">
            <v>CONTRATO DE PRESTACION DE SERVICIOS PROFESIONALES</v>
          </cell>
          <cell r="O66">
            <v>438</v>
          </cell>
          <cell r="P66">
            <v>43285</v>
          </cell>
          <cell r="Q66" t="str">
            <v>Prestación de servicios profesionales para asesorar a la Dirección General, en el desarrollo y seguimiento de actividades jurídicas, presupuestales y contractuales de los diferentes proyectos de la Caja de la Vivienda Popular.</v>
          </cell>
          <cell r="R66">
            <v>85680000</v>
          </cell>
          <cell r="S66">
            <v>0</v>
          </cell>
          <cell r="T66">
            <v>0</v>
          </cell>
          <cell r="U66">
            <v>85680000</v>
          </cell>
          <cell r="V66">
            <v>12852000</v>
          </cell>
        </row>
        <row r="67">
          <cell r="J67">
            <v>2747</v>
          </cell>
          <cell r="K67">
            <v>43336</v>
          </cell>
          <cell r="L67" t="str">
            <v>LEYLA MARJIT BOTIVA RAMOS</v>
          </cell>
          <cell r="M67">
            <v>145</v>
          </cell>
          <cell r="N67" t="str">
            <v>CONTRATO DE PRESTACION DE SERVICIOS PROFESIONALES</v>
          </cell>
          <cell r="O67">
            <v>532</v>
          </cell>
          <cell r="P67">
            <v>43336</v>
          </cell>
          <cell r="Q67" t="str">
            <v>Prestación de servicios profesionales para el acompañamiento jurídico en las diferentes etapas de los procesos de contratación que adelante la Caja de la Vivienda Popular.</v>
          </cell>
          <cell r="R67">
            <v>27604000</v>
          </cell>
          <cell r="S67">
            <v>0</v>
          </cell>
          <cell r="T67">
            <v>0</v>
          </cell>
          <cell r="U67">
            <v>27604000</v>
          </cell>
          <cell r="V67">
            <v>0</v>
          </cell>
        </row>
        <row r="68">
          <cell r="J68">
            <v>36</v>
          </cell>
          <cell r="K68">
            <v>43116</v>
          </cell>
          <cell r="L68" t="str">
            <v>MARTHA CECILIA PERDOMO ORTIZ</v>
          </cell>
          <cell r="M68">
            <v>148</v>
          </cell>
          <cell r="N68" t="str">
            <v>CONTRATO DE PRESTACION DE SERVICIOS DE APOYO A LA GESTION</v>
          </cell>
          <cell r="O68">
            <v>46</v>
          </cell>
          <cell r="P68">
            <v>43116</v>
          </cell>
          <cell r="Q68" t="str">
            <v>Prestación de servicios de apoyo a la gestión, en la atención al servicio al ciudadano, teniendo en cuenta los protocolos, procedimientos y lineamientos establecidos por la CVP.</v>
          </cell>
          <cell r="R68">
            <v>17767500</v>
          </cell>
          <cell r="S68">
            <v>0</v>
          </cell>
          <cell r="T68">
            <v>0</v>
          </cell>
          <cell r="U68">
            <v>17767500</v>
          </cell>
          <cell r="V68">
            <v>9991000</v>
          </cell>
        </row>
        <row r="69">
          <cell r="J69">
            <v>41</v>
          </cell>
          <cell r="K69">
            <v>43116</v>
          </cell>
          <cell r="L69" t="str">
            <v>DIANA SOFIA MELO CASTRO</v>
          </cell>
          <cell r="M69">
            <v>148</v>
          </cell>
          <cell r="N69" t="str">
            <v>CONTRATO DE PRESTACION DE SERVICIOS DE APOYO A LA GESTION</v>
          </cell>
          <cell r="O69">
            <v>49</v>
          </cell>
          <cell r="P69">
            <v>43116</v>
          </cell>
          <cell r="Q69" t="str">
            <v>Prestación de servicios de apoyo a la gestión, en la atención al servicio al ciudadano, teniendo en cuenta los protocolos, procedimientos y lineamientos establecidos por la CVP.</v>
          </cell>
          <cell r="R69">
            <v>34942750</v>
          </cell>
          <cell r="S69">
            <v>0</v>
          </cell>
          <cell r="T69">
            <v>0</v>
          </cell>
          <cell r="U69">
            <v>34942750</v>
          </cell>
          <cell r="V69">
            <v>19648967</v>
          </cell>
        </row>
        <row r="70">
          <cell r="J70">
            <v>43</v>
          </cell>
          <cell r="K70">
            <v>43116</v>
          </cell>
          <cell r="L70" t="str">
            <v>LAURA VANESA MARTINEZ PEÑA</v>
          </cell>
          <cell r="M70">
            <v>148</v>
          </cell>
          <cell r="N70" t="str">
            <v>CONTRATO DE PRESTACION DE SERVICIOS DE APOYO A LA GESTION</v>
          </cell>
          <cell r="O70">
            <v>50</v>
          </cell>
          <cell r="P70">
            <v>43116</v>
          </cell>
          <cell r="Q70" t="str">
            <v>Prestación de servicios de apoyo a la gestión, en la atención al servicio al ciudadano, teniendo en cuenta los protocolos, procedimientos y lineamientos establecidos por la CVP.</v>
          </cell>
          <cell r="R70">
            <v>17767500</v>
          </cell>
          <cell r="S70">
            <v>0</v>
          </cell>
          <cell r="T70">
            <v>0</v>
          </cell>
          <cell r="U70">
            <v>17767500</v>
          </cell>
          <cell r="V70">
            <v>9991000</v>
          </cell>
        </row>
        <row r="71">
          <cell r="J71">
            <v>49</v>
          </cell>
          <cell r="K71">
            <v>43116</v>
          </cell>
          <cell r="L71" t="str">
            <v>MARIA ANGELICA AMEZQUITA GUZMAN</v>
          </cell>
          <cell r="M71">
            <v>148</v>
          </cell>
          <cell r="N71" t="str">
            <v>CONTRATO DE PRESTACION DE SERVICIOS DE APOYO A LA GESTION</v>
          </cell>
          <cell r="O71">
            <v>53</v>
          </cell>
          <cell r="P71">
            <v>43116</v>
          </cell>
          <cell r="Q71" t="str">
            <v>Prestación de servicios de apoyo a la gestión en la Dirección de Gestión Corporativa y CID, para apoyar operativamente las actividades realacionadas con la aplicación de los instrumentos archivísticos de la entidad.</v>
          </cell>
          <cell r="R71">
            <v>20136500</v>
          </cell>
          <cell r="S71">
            <v>0</v>
          </cell>
          <cell r="T71">
            <v>0</v>
          </cell>
          <cell r="U71">
            <v>20136500</v>
          </cell>
          <cell r="V71">
            <v>11323133</v>
          </cell>
        </row>
        <row r="72">
          <cell r="J72">
            <v>55</v>
          </cell>
          <cell r="K72">
            <v>43116</v>
          </cell>
          <cell r="L72" t="str">
            <v>JESSICA VIVIAN JIMENEZ BERNAL</v>
          </cell>
          <cell r="M72">
            <v>148</v>
          </cell>
          <cell r="N72" t="str">
            <v>CONTRATO DE PRESTACION DE SERVICIOS DE APOYO A LA GESTION</v>
          </cell>
          <cell r="O72">
            <v>40</v>
          </cell>
          <cell r="P72">
            <v>43116</v>
          </cell>
          <cell r="Q72" t="str">
            <v>Prestación de servicios de apoyo a la gestión para el adelantamiento de actividades administrativas y operativas relacionadas con los procesos a cargo de la Dirección de Gestión Corporativa y CID.</v>
          </cell>
          <cell r="R72">
            <v>28428000</v>
          </cell>
          <cell r="S72">
            <v>0</v>
          </cell>
          <cell r="T72">
            <v>0</v>
          </cell>
          <cell r="U72">
            <v>28428000</v>
          </cell>
          <cell r="V72">
            <v>15985600</v>
          </cell>
        </row>
        <row r="73">
          <cell r="J73">
            <v>59</v>
          </cell>
          <cell r="K73">
            <v>43116</v>
          </cell>
          <cell r="L73" t="str">
            <v>NELLY MARIA GUZMAN NEUTA</v>
          </cell>
          <cell r="M73">
            <v>148</v>
          </cell>
          <cell r="N73" t="str">
            <v>CONTRATO DE PRESTACION DE SERVICIOS DE APOYO A LA GESTION</v>
          </cell>
          <cell r="O73">
            <v>42</v>
          </cell>
          <cell r="P73">
            <v>43116</v>
          </cell>
          <cell r="Q73" t="str">
            <v>PRESTACIÓN DE SERVICIOS DE APOYO A LA GESTIÓN EN LAS ACTIVIDADES ADMINISTRATIVAS Y OPERATIVAS RELACIONADAS CON LOS PROCESOS A CARGO DE LA DIRECCIÓN DE GESTIÓN CORPORATIVA Y CID, ESPECIFICAMENTE EN EL DE ADQUISICIÓN DE BIENES Y SERVICIOS.</v>
          </cell>
          <cell r="R73">
            <v>38259350</v>
          </cell>
          <cell r="S73">
            <v>0</v>
          </cell>
          <cell r="T73">
            <v>0</v>
          </cell>
          <cell r="U73">
            <v>38259350</v>
          </cell>
          <cell r="V73">
            <v>21513953</v>
          </cell>
        </row>
        <row r="74">
          <cell r="J74">
            <v>68</v>
          </cell>
          <cell r="K74">
            <v>43116</v>
          </cell>
          <cell r="L74" t="str">
            <v>ANDRES FELIPE CELY LUQUE</v>
          </cell>
          <cell r="M74">
            <v>148</v>
          </cell>
          <cell r="N74" t="str">
            <v>CONTRATO DE PRESTACION DE SERVICIOS DE APOYO A LA GESTION</v>
          </cell>
          <cell r="O74">
            <v>62</v>
          </cell>
          <cell r="P74">
            <v>43116</v>
          </cell>
          <cell r="Q74" t="str">
            <v>Prestación de servicios de apoyo a la gestión en actividades relacionadas con el proceso financiero, que permitan el pago opotuno de los compromisos adquiridos por la Caja de la Vivienda Popular con terceros.</v>
          </cell>
          <cell r="R74">
            <v>34942750</v>
          </cell>
          <cell r="S74">
            <v>0</v>
          </cell>
          <cell r="T74">
            <v>0</v>
          </cell>
          <cell r="U74">
            <v>34942750</v>
          </cell>
          <cell r="V74">
            <v>19648967</v>
          </cell>
        </row>
        <row r="75">
          <cell r="J75">
            <v>70</v>
          </cell>
          <cell r="K75">
            <v>43116</v>
          </cell>
          <cell r="L75" t="str">
            <v>JEIMY KATHERINE BERNAL GARCIA</v>
          </cell>
          <cell r="M75">
            <v>148</v>
          </cell>
          <cell r="N75" t="str">
            <v>CONTRATO DE PRESTACION DE SERVICIOS DE APOYO A LA GESTION</v>
          </cell>
          <cell r="O75">
            <v>56</v>
          </cell>
          <cell r="P75">
            <v>43116</v>
          </cell>
          <cell r="Q75" t="str">
            <v>Prestación de servicios de apoyo a la gestion en las actividades relacionadas con el análisis y depuración de la cartera de la Entidad que se encuentran a cargo de la Subdireccion Financiera.</v>
          </cell>
          <cell r="R75">
            <v>20136500</v>
          </cell>
          <cell r="S75">
            <v>0</v>
          </cell>
          <cell r="T75">
            <v>0</v>
          </cell>
          <cell r="U75">
            <v>20136500</v>
          </cell>
          <cell r="V75">
            <v>11323133</v>
          </cell>
        </row>
        <row r="76">
          <cell r="J76">
            <v>71</v>
          </cell>
          <cell r="K76">
            <v>43116</v>
          </cell>
          <cell r="L76" t="str">
            <v>DIEGO ALEXANDER ROMERO PORRAS</v>
          </cell>
          <cell r="M76">
            <v>148</v>
          </cell>
          <cell r="N76" t="str">
            <v>CONTRATO DE PRESTACION DE SERVICIOS DE APOYO A LA GESTION</v>
          </cell>
          <cell r="O76">
            <v>57</v>
          </cell>
          <cell r="P76">
            <v>43116</v>
          </cell>
          <cell r="Q76" t="str">
            <v>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v>
          </cell>
          <cell r="R76">
            <v>38259350</v>
          </cell>
          <cell r="S76">
            <v>0</v>
          </cell>
          <cell r="T76">
            <v>0</v>
          </cell>
          <cell r="U76">
            <v>38259350</v>
          </cell>
          <cell r="V76">
            <v>21513953</v>
          </cell>
        </row>
        <row r="77">
          <cell r="J77">
            <v>73</v>
          </cell>
          <cell r="K77">
            <v>43116</v>
          </cell>
          <cell r="L77" t="str">
            <v>LEYDY YOJANA FLOREZ SOLANO</v>
          </cell>
          <cell r="M77">
            <v>148</v>
          </cell>
          <cell r="N77" t="str">
            <v>CONTRATO DE PRESTACION DE SERVICIOS DE APOYO A LA GESTION</v>
          </cell>
          <cell r="O77">
            <v>59</v>
          </cell>
          <cell r="P77">
            <v>43116</v>
          </cell>
          <cell r="Q77" t="str">
            <v>Prestación de servicios para apoyar a la Subdirección Financiera en el desarrollo de las actividades propias de su gestión, en especial las relacionadas con tesorería, de acuerdo con las normas vigentes, los procedimientos y los lineamientos internos de la CVP.</v>
          </cell>
          <cell r="R77">
            <v>34942750</v>
          </cell>
          <cell r="S77">
            <v>0</v>
          </cell>
          <cell r="T77">
            <v>0</v>
          </cell>
          <cell r="U77">
            <v>34942750</v>
          </cell>
          <cell r="V77">
            <v>19648967</v>
          </cell>
        </row>
        <row r="78">
          <cell r="J78">
            <v>75</v>
          </cell>
          <cell r="K78">
            <v>43116</v>
          </cell>
          <cell r="L78" t="str">
            <v>ELIZABETH  CARRILLO MEDINA</v>
          </cell>
          <cell r="M78">
            <v>148</v>
          </cell>
          <cell r="N78" t="str">
            <v>CONTRATO DE PRESTACION DE SERVICIOS DE APOYO A LA GESTION</v>
          </cell>
          <cell r="O78">
            <v>61</v>
          </cell>
          <cell r="P78">
            <v>43116</v>
          </cell>
          <cell r="Q78" t="str">
            <v>Prestar los servicios de apoyo para el trámite, seguimiento y control de las PQRS y realizar la gestión documental de la Subdirección Financiera, aplicando los lineamientos y normatividad vigentes.</v>
          </cell>
          <cell r="R78">
            <v>28428000</v>
          </cell>
          <cell r="S78">
            <v>0</v>
          </cell>
          <cell r="T78">
            <v>0</v>
          </cell>
          <cell r="U78">
            <v>28428000</v>
          </cell>
          <cell r="V78">
            <v>15985600</v>
          </cell>
        </row>
        <row r="79">
          <cell r="J79">
            <v>97</v>
          </cell>
          <cell r="K79">
            <v>43116</v>
          </cell>
          <cell r="L79" t="str">
            <v>ANDREA VANESSA JAIMES CARDENAS</v>
          </cell>
          <cell r="M79">
            <v>145</v>
          </cell>
          <cell r="N79" t="str">
            <v>CONTRATO DE PRESTACION DE SERVICIOS PROFESIONALES</v>
          </cell>
          <cell r="O79">
            <v>84</v>
          </cell>
          <cell r="P79">
            <v>43116</v>
          </cell>
          <cell r="Q79" t="str">
            <v>Prestación de servicios para apoyar las actividades de administración y control de las bases de datos y de los sistemas de información utilizados por la Dirección de Gestión Corporativa y CID en el proceso de adquisición de bienes y servicios.</v>
          </cell>
          <cell r="R79">
            <v>34942750</v>
          </cell>
          <cell r="S79">
            <v>34942750</v>
          </cell>
          <cell r="T79">
            <v>0</v>
          </cell>
          <cell r="U79">
            <v>0</v>
          </cell>
          <cell r="V79">
            <v>0</v>
          </cell>
        </row>
        <row r="80">
          <cell r="J80">
            <v>103</v>
          </cell>
          <cell r="K80">
            <v>43116</v>
          </cell>
          <cell r="L80" t="str">
            <v>WALTER ARLEY RINCON QUINTERO</v>
          </cell>
          <cell r="M80">
            <v>148</v>
          </cell>
          <cell r="N80" t="str">
            <v>CONTRATO DE PRESTACION DE SERVICIOS DE APOYO A LA GESTION</v>
          </cell>
          <cell r="O80">
            <v>91</v>
          </cell>
          <cell r="P80">
            <v>43116</v>
          </cell>
          <cell r="Q80" t="str">
            <v>Prestar los servicios de apoyo a la gestión a la Dirección Jurídica en lo relacionado con el archivo, seguimiento y control de los procesos judiciales y extrajudiciales en los que hace parte la Caja de la Vivienda Popular.</v>
          </cell>
          <cell r="R80">
            <v>38259350</v>
          </cell>
          <cell r="S80">
            <v>0</v>
          </cell>
          <cell r="T80">
            <v>0</v>
          </cell>
          <cell r="U80">
            <v>38259350</v>
          </cell>
          <cell r="V80">
            <v>21624850</v>
          </cell>
        </row>
        <row r="81">
          <cell r="J81">
            <v>106</v>
          </cell>
          <cell r="K81">
            <v>43116</v>
          </cell>
          <cell r="L81" t="str">
            <v>ANDREA VANESSA JAIMES CARDENAS</v>
          </cell>
          <cell r="M81">
            <v>148</v>
          </cell>
          <cell r="N81" t="str">
            <v>CONTRATO DE PRESTACION DE SERVICIOS DE APOYO A LA GESTION</v>
          </cell>
          <cell r="O81">
            <v>84</v>
          </cell>
          <cell r="P81">
            <v>43116</v>
          </cell>
          <cell r="Q81" t="str">
            <v>Prestación de servicios para apoyar las actividades de administración y control de las bases de datos y de los sistemas de información utilizados por la Dirección de Gestión Corporativa y CID en el proceso de adquisición de bienes y servicios.</v>
          </cell>
          <cell r="R81">
            <v>34942750</v>
          </cell>
          <cell r="S81">
            <v>0</v>
          </cell>
          <cell r="T81">
            <v>0</v>
          </cell>
          <cell r="U81">
            <v>34942750</v>
          </cell>
          <cell r="V81">
            <v>19648967</v>
          </cell>
        </row>
        <row r="82">
          <cell r="J82">
            <v>118</v>
          </cell>
          <cell r="K82">
            <v>43117</v>
          </cell>
          <cell r="L82" t="str">
            <v>LUZ MERY PEDRAZA PEDRAZA</v>
          </cell>
          <cell r="M82">
            <v>148</v>
          </cell>
          <cell r="N82" t="str">
            <v>CONTRATO DE PRESTACION DE SERVICIOS DE APOYO A LA GESTION</v>
          </cell>
          <cell r="O82">
            <v>97</v>
          </cell>
          <cell r="P82">
            <v>43117</v>
          </cell>
          <cell r="Q82" t="str">
            <v>Prestación de servicios de apoyo a la gestión para realizar el acompañamiento técnico en los temas relacionados con el proceso de Gestión Documental a cargo de la Subdirección Administrativa.</v>
          </cell>
          <cell r="R82">
            <v>28428000</v>
          </cell>
          <cell r="S82">
            <v>0</v>
          </cell>
          <cell r="T82">
            <v>0</v>
          </cell>
          <cell r="U82">
            <v>28428000</v>
          </cell>
          <cell r="V82">
            <v>15903200</v>
          </cell>
        </row>
        <row r="83">
          <cell r="J83">
            <v>132</v>
          </cell>
          <cell r="K83">
            <v>43117</v>
          </cell>
          <cell r="L83" t="str">
            <v>DAVID FELIPE CASTAÑEDA RUBIO</v>
          </cell>
          <cell r="M83">
            <v>148</v>
          </cell>
          <cell r="N83" t="str">
            <v>CONTRATO DE PRESTACION DE SERVICIOS DE APOYO A LA GESTION</v>
          </cell>
          <cell r="O83">
            <v>113</v>
          </cell>
          <cell r="P83">
            <v>43117</v>
          </cell>
          <cell r="Q83" t="str">
            <v>Prestación de servicios para apoyar a la Subdirección Financiera en el desarrollo de las actividades propias de su gestión, en especial las relacionadas con tesorería, de acuerdo con las normas vigentes, los procedimientos y los lineamientos internos de la CVP.</v>
          </cell>
          <cell r="R83">
            <v>38259350</v>
          </cell>
          <cell r="S83">
            <v>38259350</v>
          </cell>
          <cell r="T83">
            <v>0</v>
          </cell>
          <cell r="U83">
            <v>0</v>
          </cell>
          <cell r="V83">
            <v>0</v>
          </cell>
        </row>
        <row r="84">
          <cell r="J84">
            <v>203</v>
          </cell>
          <cell r="K84">
            <v>43118</v>
          </cell>
          <cell r="L84" t="str">
            <v>DAVID FELIPE CASTAÑEDA RUBIO</v>
          </cell>
          <cell r="M84">
            <v>148</v>
          </cell>
          <cell r="N84" t="str">
            <v>CONTRATO DE PRESTACION DE SERVICIOS DE APOYO A LA GESTION</v>
          </cell>
          <cell r="O84">
            <v>113</v>
          </cell>
          <cell r="P84">
            <v>43118</v>
          </cell>
          <cell r="Q84" t="str">
            <v>Prestación de servicios para apoyar a la Subdirección Financiera en el desarrollo de las actividades propias de su gestión, en especial las relacionadas con tesorería, de acuerdo con las normas vigentes, los procedimientos y los lineamientos internos de la CVP.</v>
          </cell>
          <cell r="R84">
            <v>19961400</v>
          </cell>
          <cell r="S84">
            <v>0</v>
          </cell>
          <cell r="T84">
            <v>0</v>
          </cell>
          <cell r="U84">
            <v>19961400</v>
          </cell>
          <cell r="V84">
            <v>19961400</v>
          </cell>
        </row>
        <row r="85">
          <cell r="J85">
            <v>226</v>
          </cell>
          <cell r="K85">
            <v>43118</v>
          </cell>
          <cell r="L85" t="str">
            <v>MARIA LUISA VILLARREAL HERNANDEZ</v>
          </cell>
          <cell r="M85">
            <v>148</v>
          </cell>
          <cell r="N85" t="str">
            <v>CONTRATO DE PRESTACION DE SERVICIOS DE APOYO A LA GESTION</v>
          </cell>
          <cell r="O85">
            <v>196</v>
          </cell>
          <cell r="P85">
            <v>43118</v>
          </cell>
          <cell r="Q85" t="str">
            <v>Prestación de servicios de apoyo a la gestión en actividades relacionadas con el proceso financiero, que permitan el pago opotuno de los compromisos adquiridos por la Caja de la Vivienda Popular con terceros.</v>
          </cell>
          <cell r="R85">
            <v>28428000</v>
          </cell>
          <cell r="S85">
            <v>0</v>
          </cell>
          <cell r="T85">
            <v>0</v>
          </cell>
          <cell r="U85">
            <v>28428000</v>
          </cell>
          <cell r="V85">
            <v>15820800</v>
          </cell>
        </row>
        <row r="86">
          <cell r="J86">
            <v>432</v>
          </cell>
          <cell r="K86">
            <v>43124</v>
          </cell>
          <cell r="L86" t="str">
            <v>CARLOS EDUARDO GARCIA AVILAN</v>
          </cell>
          <cell r="M86">
            <v>148</v>
          </cell>
          <cell r="N86" t="str">
            <v>CONTRATO DE PRESTACION DE SERVICIOS DE APOYO A LA GESTION</v>
          </cell>
          <cell r="O86">
            <v>373</v>
          </cell>
          <cell r="P86">
            <v>43124</v>
          </cell>
          <cell r="Q86" t="str">
            <v>Prestación de servicios de apoyo a la gestión en las actividades operativas requeridas en el proceso de Gestión Documental a cargo de la Subdirección Administrativa.</v>
          </cell>
          <cell r="R86">
            <v>17767500</v>
          </cell>
          <cell r="S86">
            <v>0</v>
          </cell>
          <cell r="T86">
            <v>0</v>
          </cell>
          <cell r="U86">
            <v>17767500</v>
          </cell>
          <cell r="V86">
            <v>9579000</v>
          </cell>
        </row>
        <row r="87">
          <cell r="J87">
            <v>433</v>
          </cell>
          <cell r="K87">
            <v>43124</v>
          </cell>
          <cell r="L87" t="str">
            <v>ARNULFO  MACIAS MUÑOZ</v>
          </cell>
          <cell r="M87">
            <v>148</v>
          </cell>
          <cell r="N87" t="str">
            <v>CONTRATO DE PRESTACION DE SERVICIOS DE APOYO A LA GESTION</v>
          </cell>
          <cell r="O87">
            <v>374</v>
          </cell>
          <cell r="P87">
            <v>43124</v>
          </cell>
          <cell r="Q87" t="str">
            <v>Prestación de servicios de apoyo a la gestión para realizar ela compañamiento técnico en los temas relacionados con el proceso de Gestión Documental a cargo de la Subdirección Administrativa.</v>
          </cell>
          <cell r="R87">
            <v>28428000</v>
          </cell>
          <cell r="S87">
            <v>0</v>
          </cell>
          <cell r="T87">
            <v>0</v>
          </cell>
          <cell r="U87">
            <v>28428000</v>
          </cell>
          <cell r="V87">
            <v>15326400</v>
          </cell>
        </row>
        <row r="88">
          <cell r="J88">
            <v>442</v>
          </cell>
          <cell r="K88">
            <v>43125</v>
          </cell>
          <cell r="L88" t="str">
            <v>NELLY  NOVA PINZON</v>
          </cell>
          <cell r="M88">
            <v>148</v>
          </cell>
          <cell r="N88" t="str">
            <v>CONTRATO DE PRESTACION DE SERVICIOS DE APOYO A LA GESTION</v>
          </cell>
          <cell r="O88">
            <v>377</v>
          </cell>
          <cell r="P88">
            <v>43125</v>
          </cell>
          <cell r="Q88" t="str">
            <v>PRESTACIÓN DE SERVICIOS PARA APOYAR LAS ACTIVIDADES OPERATIVAS REQUERIDAS EN LA ORGANIZACIÓN Y CONSULTA DE LOS ARCHIVOS DE GESTIÓN DE LA CAJA DE LA VIVIENDA POPULAR.</v>
          </cell>
          <cell r="R88">
            <v>17767500</v>
          </cell>
          <cell r="S88">
            <v>0</v>
          </cell>
          <cell r="T88">
            <v>0</v>
          </cell>
          <cell r="U88">
            <v>17767500</v>
          </cell>
          <cell r="V88">
            <v>9579000</v>
          </cell>
        </row>
        <row r="89">
          <cell r="J89">
            <v>2505</v>
          </cell>
          <cell r="K89">
            <v>43299</v>
          </cell>
          <cell r="L89" t="str">
            <v>JUAN EDUARDO GUERRERO QUIROGA</v>
          </cell>
          <cell r="M89">
            <v>148</v>
          </cell>
          <cell r="N89" t="str">
            <v>CONTRATO DE PRESTACION DE SERVICIOS DE APOYO A LA GESTION</v>
          </cell>
          <cell r="O89">
            <v>448</v>
          </cell>
          <cell r="P89">
            <v>43299</v>
          </cell>
          <cell r="Q89" t="str">
            <v>Prestación de servicios de apoyo a la gestion de la Subdirección Financiera, en el desarrollo de actividades propias de su gestion, en especial las relacionadas con tesoreria, de acuerdo con las normas vigentes, los procedimientos y los lineamientos internos de la Caja de la Vivienda Popular.</v>
          </cell>
          <cell r="R89">
            <v>18076157</v>
          </cell>
          <cell r="S89">
            <v>0</v>
          </cell>
          <cell r="T89">
            <v>0</v>
          </cell>
          <cell r="U89">
            <v>18076157</v>
          </cell>
          <cell r="V89">
            <v>1441657</v>
          </cell>
        </row>
        <row r="90">
          <cell r="J90">
            <v>2446</v>
          </cell>
          <cell r="K90">
            <v>43286</v>
          </cell>
          <cell r="L90" t="str">
            <v>SERVICIOS POSTALES NACIONALES S A</v>
          </cell>
          <cell r="M90">
            <v>12</v>
          </cell>
          <cell r="N90" t="str">
            <v>CONTRATO DE PRESTACION DE SERVICIOS</v>
          </cell>
          <cell r="O90">
            <v>440</v>
          </cell>
          <cell r="P90">
            <v>43286</v>
          </cell>
          <cell r="Q90" t="str">
            <v>Prestación del servicio de mensajería expresa y motorizada para la recolección, transporte y entrega de la correspondencia de la Caja de la Vivienda Popular.</v>
          </cell>
          <cell r="R90">
            <v>33800000</v>
          </cell>
          <cell r="S90">
            <v>0</v>
          </cell>
          <cell r="T90">
            <v>0</v>
          </cell>
          <cell r="U90">
            <v>33800000</v>
          </cell>
          <cell r="V90">
            <v>0</v>
          </cell>
        </row>
        <row r="91">
          <cell r="J91">
            <v>2750</v>
          </cell>
          <cell r="K91">
            <v>43336</v>
          </cell>
          <cell r="L91" t="str">
            <v>COLOMBIA TELECOMUNICACIONES S A E S P</v>
          </cell>
          <cell r="M91">
            <v>28</v>
          </cell>
          <cell r="N91" t="str">
            <v>FACTURAS</v>
          </cell>
          <cell r="O91">
            <v>652520</v>
          </cell>
          <cell r="P91">
            <v>43336</v>
          </cell>
          <cell r="Q91" t="str">
            <v>SERVICIO DE TELEFONÍA CELULAR PERIODO AGOSTO 17 A SEPTIEMBRE 16 DE 2018 S/F 183652520</v>
          </cell>
          <cell r="R91">
            <v>692357</v>
          </cell>
          <cell r="S91">
            <v>692357</v>
          </cell>
          <cell r="T91">
            <v>0</v>
          </cell>
          <cell r="U91">
            <v>0</v>
          </cell>
          <cell r="V91">
            <v>0</v>
          </cell>
        </row>
        <row r="92">
          <cell r="J92">
            <v>2618</v>
          </cell>
          <cell r="K92">
            <v>43322</v>
          </cell>
          <cell r="L92" t="str">
            <v>ASCENSORES SCHINDLER DE COLOMBIA SAS</v>
          </cell>
          <cell r="M92">
            <v>12</v>
          </cell>
          <cell r="N92" t="str">
            <v>CONTRATO DE PRESTACION DE SERVICIOS</v>
          </cell>
          <cell r="O92">
            <v>477</v>
          </cell>
          <cell r="P92">
            <v>43322</v>
          </cell>
          <cell r="Q92" t="str">
            <v>CONTRATAR LA PRESTACIÓN DEL SERVICIO DE MANTENIMIENTO PREVENTIVO Y CORRECTIVO CON SUMINISTRO DE REPUESTOS PARA EL ELEVADOR DE LA CAJA DE LA VIVIENDA POPULAR.</v>
          </cell>
          <cell r="R92">
            <v>5500000</v>
          </cell>
          <cell r="S92">
            <v>0</v>
          </cell>
          <cell r="T92">
            <v>0</v>
          </cell>
          <cell r="U92">
            <v>5500000</v>
          </cell>
          <cell r="V92">
            <v>0</v>
          </cell>
        </row>
        <row r="93">
          <cell r="J93">
            <v>2756</v>
          </cell>
          <cell r="K93">
            <v>43339</v>
          </cell>
          <cell r="L93" t="str">
            <v>UNIVERSIDAD DISTRITAL FRANCISCO JOSE DE CALDAS</v>
          </cell>
          <cell r="M93">
            <v>11</v>
          </cell>
          <cell r="N93" t="str">
            <v>CONTRATOS INTERADMINISTRATIVOS</v>
          </cell>
          <cell r="O93">
            <v>533</v>
          </cell>
          <cell r="P93">
            <v>43339</v>
          </cell>
          <cell r="Q93" t="str">
            <v>Prestación de servicios para la implementación del plan institucional de capacitación de la CVP a través de diplomados, talleres, conferencia, cursos, en procura del fortalecimiento institucional</v>
          </cell>
          <cell r="R93">
            <v>34250000</v>
          </cell>
          <cell r="S93">
            <v>0</v>
          </cell>
          <cell r="T93">
            <v>0</v>
          </cell>
          <cell r="U93">
            <v>34250000</v>
          </cell>
          <cell r="V93">
            <v>0</v>
          </cell>
        </row>
        <row r="94">
          <cell r="J94">
            <v>2764</v>
          </cell>
          <cell r="K94">
            <v>43341</v>
          </cell>
          <cell r="L94" t="str">
            <v>CAJA DE COMPENSACION FAMILIAR - COMPENSAR</v>
          </cell>
          <cell r="M94">
            <v>12</v>
          </cell>
          <cell r="N94" t="str">
            <v>CONTRATO DE PRESTACION DE SERVICIOS</v>
          </cell>
          <cell r="O94">
            <v>500</v>
          </cell>
          <cell r="P94">
            <v>43341</v>
          </cell>
          <cell r="Q94" t="str">
            <v>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v>
          </cell>
          <cell r="R94">
            <v>63638000</v>
          </cell>
          <cell r="S94">
            <v>0</v>
          </cell>
          <cell r="T94">
            <v>0</v>
          </cell>
          <cell r="U94">
            <v>63638000</v>
          </cell>
          <cell r="V94">
            <v>0</v>
          </cell>
        </row>
        <row r="95">
          <cell r="J95">
            <v>2</v>
          </cell>
          <cell r="K95">
            <v>43111</v>
          </cell>
          <cell r="L95" t="str">
            <v>EDNA MARGARITA SANCHEZ CARO</v>
          </cell>
          <cell r="M95">
            <v>145</v>
          </cell>
          <cell r="N95" t="str">
            <v>CONTRATO DE PRESTACION DE SERVICIOS PROFESIONALES</v>
          </cell>
          <cell r="O95">
            <v>2</v>
          </cell>
          <cell r="P95">
            <v>43111</v>
          </cell>
          <cell r="Q95" t="str">
            <v>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v>
          </cell>
          <cell r="R95">
            <v>37389000</v>
          </cell>
          <cell r="S95">
            <v>0</v>
          </cell>
          <cell r="T95">
            <v>0</v>
          </cell>
          <cell r="U95">
            <v>37389000</v>
          </cell>
          <cell r="V95">
            <v>22660000</v>
          </cell>
        </row>
        <row r="96">
          <cell r="J96">
            <v>17</v>
          </cell>
          <cell r="K96">
            <v>43115</v>
          </cell>
          <cell r="L96" t="str">
            <v>JORGE RENE MORA DIAZ</v>
          </cell>
          <cell r="M96">
            <v>145</v>
          </cell>
          <cell r="N96" t="str">
            <v>CONTRATO DE PRESTACION DE SERVICIOS PROFESIONALES</v>
          </cell>
          <cell r="O96">
            <v>22</v>
          </cell>
          <cell r="P96">
            <v>43115</v>
          </cell>
          <cell r="Q96" t="str">
            <v>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v>
          </cell>
          <cell r="R96">
            <v>113300000</v>
          </cell>
          <cell r="S96">
            <v>113300000</v>
          </cell>
          <cell r="T96">
            <v>0</v>
          </cell>
          <cell r="U96">
            <v>0</v>
          </cell>
          <cell r="V96">
            <v>0</v>
          </cell>
        </row>
        <row r="97">
          <cell r="J97">
            <v>25</v>
          </cell>
          <cell r="K97">
            <v>43115</v>
          </cell>
          <cell r="L97" t="str">
            <v>JORGE RENE MORA DIAZ</v>
          </cell>
          <cell r="M97">
            <v>145</v>
          </cell>
          <cell r="N97" t="str">
            <v>CONTRATO DE PRESTACION DE SERVICIOS PROFESIONALES</v>
          </cell>
          <cell r="O97">
            <v>22</v>
          </cell>
          <cell r="P97">
            <v>43115</v>
          </cell>
          <cell r="Q97" t="str">
            <v>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v>
          </cell>
          <cell r="R97">
            <v>113300000</v>
          </cell>
          <cell r="S97">
            <v>0</v>
          </cell>
          <cell r="T97">
            <v>0</v>
          </cell>
          <cell r="U97">
            <v>113300000</v>
          </cell>
          <cell r="V97">
            <v>67293333</v>
          </cell>
        </row>
        <row r="98">
          <cell r="J98">
            <v>35</v>
          </cell>
          <cell r="K98">
            <v>43116</v>
          </cell>
          <cell r="L98" t="str">
            <v>IVAN EDUARDO CASSIANI GUTIERREZ</v>
          </cell>
          <cell r="M98">
            <v>145</v>
          </cell>
          <cell r="N98" t="str">
            <v>CONTRATO DE PRESTACION DE SERVICIOS PROFESIONALES</v>
          </cell>
          <cell r="O98">
            <v>34</v>
          </cell>
          <cell r="P98">
            <v>43116</v>
          </cell>
          <cell r="Q98" t="str">
            <v>Prestación de servicios profesionales, para el acompañamiento jurídico, en los procesos y procedimientos establecidos frente a la ejecución del programa misional de la Dirección de reasentamientos de la Caja de la Vivienda Popular.</v>
          </cell>
          <cell r="R98">
            <v>49852000</v>
          </cell>
          <cell r="S98">
            <v>0</v>
          </cell>
          <cell r="T98">
            <v>0</v>
          </cell>
          <cell r="U98">
            <v>49852000</v>
          </cell>
          <cell r="V98">
            <v>29458000</v>
          </cell>
        </row>
        <row r="99">
          <cell r="J99">
            <v>42</v>
          </cell>
          <cell r="K99">
            <v>43116</v>
          </cell>
          <cell r="L99" t="str">
            <v>LINA MARIA AZUERO GUTIERREZ</v>
          </cell>
          <cell r="M99">
            <v>145</v>
          </cell>
          <cell r="N99" t="str">
            <v>CONTRATO DE PRESTACION DE SERVICIOS PROFESIONALES</v>
          </cell>
          <cell r="O99">
            <v>36</v>
          </cell>
          <cell r="P99">
            <v>43116</v>
          </cell>
          <cell r="Q99" t="str">
            <v>Prestación de Servicios Profesionales en los procesos misionales y proyectos especiales para apoyar la gestión, planeación, concertación y seguimiento a los planesy cronogramas del componente social</v>
          </cell>
          <cell r="R99">
            <v>23690000</v>
          </cell>
          <cell r="S99">
            <v>0</v>
          </cell>
          <cell r="T99">
            <v>0</v>
          </cell>
          <cell r="U99">
            <v>23690000</v>
          </cell>
          <cell r="V99">
            <v>12360000</v>
          </cell>
        </row>
        <row r="100">
          <cell r="J100">
            <v>83</v>
          </cell>
          <cell r="K100">
            <v>43116</v>
          </cell>
          <cell r="L100" t="str">
            <v>AGUSTIN  LOBATON CORTES</v>
          </cell>
          <cell r="M100">
            <v>145</v>
          </cell>
          <cell r="N100" t="str">
            <v>CONTRATO DE PRESTACION DE SERVICIOS PROFESIONALES</v>
          </cell>
          <cell r="O100">
            <v>33</v>
          </cell>
          <cell r="P100">
            <v>43116</v>
          </cell>
          <cell r="Q100" t="str">
            <v>Prestar sus servicios profesionales en la Dirección Jurídica en el desarrollo de actividades jurídicas relacionadas con los procedimientos, actuaciones, competencias y tramites en general que guarden relación con la Dirección Técnica de Reasentamientos de la CVP</v>
          </cell>
          <cell r="R100">
            <v>47380000</v>
          </cell>
          <cell r="S100">
            <v>0</v>
          </cell>
          <cell r="T100">
            <v>0</v>
          </cell>
          <cell r="U100">
            <v>47380000</v>
          </cell>
          <cell r="V100">
            <v>26780000</v>
          </cell>
        </row>
        <row r="101">
          <cell r="J101">
            <v>87</v>
          </cell>
          <cell r="K101">
            <v>43116</v>
          </cell>
          <cell r="L101" t="str">
            <v>FLORANGELA  OLEA ARRIETA</v>
          </cell>
          <cell r="M101">
            <v>145</v>
          </cell>
          <cell r="N101" t="str">
            <v>CONTRATO DE PRESTACION DE SERVICIOS PROFESIONALES</v>
          </cell>
          <cell r="O101">
            <v>75</v>
          </cell>
          <cell r="P101">
            <v>43116</v>
          </cell>
          <cell r="Q101" t="str">
            <v>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v>
          </cell>
          <cell r="R101">
            <v>67980000</v>
          </cell>
          <cell r="S101">
            <v>0</v>
          </cell>
          <cell r="T101">
            <v>0</v>
          </cell>
          <cell r="U101">
            <v>67980000</v>
          </cell>
          <cell r="V101">
            <v>39964000</v>
          </cell>
        </row>
        <row r="102">
          <cell r="J102">
            <v>89</v>
          </cell>
          <cell r="K102">
            <v>43116</v>
          </cell>
          <cell r="L102" t="str">
            <v>ERIKA PAOLA GALLEGO CAMARGO</v>
          </cell>
          <cell r="M102">
            <v>145</v>
          </cell>
          <cell r="N102" t="str">
            <v>CONTRATO DE PRESTACION DE SERVICIOS PROFESIONALES</v>
          </cell>
          <cell r="O102">
            <v>77</v>
          </cell>
          <cell r="P102">
            <v>43116</v>
          </cell>
          <cell r="Q102"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R102">
            <v>50367000</v>
          </cell>
          <cell r="S102">
            <v>0</v>
          </cell>
          <cell r="T102">
            <v>0</v>
          </cell>
          <cell r="U102">
            <v>50367000</v>
          </cell>
          <cell r="V102">
            <v>32570660</v>
          </cell>
        </row>
        <row r="103">
          <cell r="J103">
            <v>90</v>
          </cell>
          <cell r="K103">
            <v>43116</v>
          </cell>
          <cell r="L103" t="str">
            <v>DIANA PAOLA MATIZ CASTILLO</v>
          </cell>
          <cell r="M103">
            <v>145</v>
          </cell>
          <cell r="N103" t="str">
            <v>CONTRATO DE PRESTACION DE SERVICIOS PROFESIONALES</v>
          </cell>
          <cell r="O103">
            <v>78</v>
          </cell>
          <cell r="P103">
            <v>43116</v>
          </cell>
          <cell r="Q103" t="str">
            <v>Prestación de servicios profesionales, para el acompañamiento jurídico, en los procesos y procedimientos establecidos frente a la ejecución del programa misional de la Dirección de Reasentamientos de la Caja de la Vivienda Popular.</v>
          </cell>
          <cell r="R103">
            <v>43260000</v>
          </cell>
          <cell r="S103">
            <v>0</v>
          </cell>
          <cell r="T103">
            <v>0</v>
          </cell>
          <cell r="U103">
            <v>43260000</v>
          </cell>
          <cell r="V103">
            <v>43260000</v>
          </cell>
        </row>
        <row r="104">
          <cell r="J104">
            <v>91</v>
          </cell>
          <cell r="K104">
            <v>43116</v>
          </cell>
          <cell r="L104" t="str">
            <v>JORGE EDUARDO RAMIREZ ALVIRA</v>
          </cell>
          <cell r="M104">
            <v>145</v>
          </cell>
          <cell r="N104" t="str">
            <v>CONTRATO DE PRESTACION DE SERVICIOS PROFESIONALES</v>
          </cell>
          <cell r="O104">
            <v>80</v>
          </cell>
          <cell r="P104">
            <v>43116</v>
          </cell>
          <cell r="Q104" t="str">
            <v>Prestación de servicios profesionales de apoyo financiero y administrativo, respecto a la verificación requisitos, control presupuestal y reporte de información a la Dirección de Reasentamientos de la Caja de la Vivienda Popular</v>
          </cell>
          <cell r="R104">
            <v>67980000</v>
          </cell>
          <cell r="S104">
            <v>0</v>
          </cell>
          <cell r="T104">
            <v>0</v>
          </cell>
          <cell r="U104">
            <v>67980000</v>
          </cell>
          <cell r="V104">
            <v>39964000</v>
          </cell>
        </row>
        <row r="105">
          <cell r="J105">
            <v>92</v>
          </cell>
          <cell r="K105">
            <v>43116</v>
          </cell>
          <cell r="L105" t="str">
            <v>SEBASTIAN  GOMEZ LIEVANO</v>
          </cell>
          <cell r="M105">
            <v>145</v>
          </cell>
          <cell r="N105" t="str">
            <v>CONTRATO DE PRESTACION DE SERVICIOS PROFESIONALES</v>
          </cell>
          <cell r="O105">
            <v>79</v>
          </cell>
          <cell r="P105">
            <v>43116</v>
          </cell>
          <cell r="Q105" t="str">
            <v>Prestar sus servicios profesionales en la Dirección de Reasentamientos apoyando la ejecución de las diferentes actividades de la Dirección, en especial temas relacionados con relocalización transitoria.</v>
          </cell>
          <cell r="R105">
            <v>37389000</v>
          </cell>
          <cell r="S105">
            <v>0</v>
          </cell>
          <cell r="T105">
            <v>0</v>
          </cell>
          <cell r="U105">
            <v>37389000</v>
          </cell>
          <cell r="V105">
            <v>21980200</v>
          </cell>
        </row>
        <row r="106">
          <cell r="J106">
            <v>116</v>
          </cell>
          <cell r="K106">
            <v>43117</v>
          </cell>
          <cell r="L106" t="str">
            <v>MARCO ANTONIO AMADO VEGA</v>
          </cell>
          <cell r="M106">
            <v>145</v>
          </cell>
          <cell r="N106" t="str">
            <v>CONTRATO DE PRESTACION DE SERVICIOS PROFESIONALES</v>
          </cell>
          <cell r="O106">
            <v>94</v>
          </cell>
          <cell r="P106">
            <v>43117</v>
          </cell>
          <cell r="Q106" t="str">
            <v>Prestación de servicios profesionales, para el acompañamiento jurídico, en los procesos y procedimientos establecidos frente a la ejecución del programa misional de la Dirección de reasentamientos de la Caja de la Vivienda Popular.</v>
          </cell>
          <cell r="R106">
            <v>90640000</v>
          </cell>
          <cell r="S106">
            <v>0</v>
          </cell>
          <cell r="T106">
            <v>0</v>
          </cell>
          <cell r="U106">
            <v>90640000</v>
          </cell>
          <cell r="V106">
            <v>53285334</v>
          </cell>
        </row>
        <row r="107">
          <cell r="J107">
            <v>123</v>
          </cell>
          <cell r="K107">
            <v>43117</v>
          </cell>
          <cell r="L107" t="str">
            <v>MILENA ASTRITH BECERRA TORO</v>
          </cell>
          <cell r="M107">
            <v>145</v>
          </cell>
          <cell r="N107" t="str">
            <v>CONTRATO DE PRESTACION DE SERVICIOS PROFESIONALES</v>
          </cell>
          <cell r="O107">
            <v>116</v>
          </cell>
          <cell r="P107">
            <v>43117</v>
          </cell>
          <cell r="Q107" t="str">
            <v>Prestación de servicios profesionales de apoyo financiero respecto a la programación, control presupuestal y acciones de soporte en la Dirección de Reasentamientos de la Caja de la Vivienda Popular</v>
          </cell>
          <cell r="R107">
            <v>41200000</v>
          </cell>
          <cell r="S107">
            <v>0</v>
          </cell>
          <cell r="T107">
            <v>0</v>
          </cell>
          <cell r="U107">
            <v>41200000</v>
          </cell>
          <cell r="V107">
            <v>25956000</v>
          </cell>
        </row>
        <row r="108">
          <cell r="J108">
            <v>124</v>
          </cell>
          <cell r="K108">
            <v>43117</v>
          </cell>
          <cell r="L108" t="str">
            <v>NINA ANDREA HURTADO LIEVANO</v>
          </cell>
          <cell r="M108">
            <v>145</v>
          </cell>
          <cell r="N108" t="str">
            <v>CONTRATO DE PRESTACION DE SERVICIOS PROFESIONALES</v>
          </cell>
          <cell r="O108">
            <v>117</v>
          </cell>
          <cell r="P108">
            <v>43117</v>
          </cell>
          <cell r="Q108" t="str">
            <v>Prestación de servicios profesionales desde el componente técnico en la Dirección de Reasentamientos de la Caja de la Vivienda Popular apoyando la ejecución de los procesos relacionados con la selección de vivienda de reposición y de la Gestión Inmobiliaria en general.</v>
          </cell>
          <cell r="R108">
            <v>41200000</v>
          </cell>
          <cell r="S108">
            <v>0</v>
          </cell>
          <cell r="T108">
            <v>0</v>
          </cell>
          <cell r="U108">
            <v>41200000</v>
          </cell>
          <cell r="V108">
            <v>26505333</v>
          </cell>
        </row>
        <row r="109">
          <cell r="J109">
            <v>125</v>
          </cell>
          <cell r="K109">
            <v>43117</v>
          </cell>
          <cell r="L109" t="str">
            <v>LUISA DEL ROSARIO ALARIO SOLANO</v>
          </cell>
          <cell r="M109">
            <v>145</v>
          </cell>
          <cell r="N109" t="str">
            <v>CONTRATO DE PRESTACION DE SERVICIOS PROFESIONALES</v>
          </cell>
          <cell r="O109">
            <v>110</v>
          </cell>
          <cell r="P109">
            <v>43117</v>
          </cell>
          <cell r="Q109" t="str">
            <v>Prestación de servicios profesionales a la Dirección de Reasentamientos como enlace ante la Oficina Asesora de Comunicaciones de la Caja de la Vivienda Popular, para la implementación e interlocución del Plan Estratégico de Comunicaciones de la Entidad</v>
          </cell>
          <cell r="R109">
            <v>45330300</v>
          </cell>
          <cell r="S109">
            <v>0</v>
          </cell>
          <cell r="T109">
            <v>0</v>
          </cell>
          <cell r="U109">
            <v>45330300</v>
          </cell>
          <cell r="V109">
            <v>32402770</v>
          </cell>
        </row>
        <row r="110">
          <cell r="J110">
            <v>126</v>
          </cell>
          <cell r="K110">
            <v>43117</v>
          </cell>
          <cell r="L110" t="str">
            <v>DINEY YAMILE RODRIGUEZ ZIPACON</v>
          </cell>
          <cell r="M110">
            <v>148</v>
          </cell>
          <cell r="N110" t="str">
            <v>CONTRATO DE PRESTACION DE SERVICIOS DE APOYO A LA GESTION</v>
          </cell>
          <cell r="O110">
            <v>118</v>
          </cell>
          <cell r="P110">
            <v>43117</v>
          </cell>
          <cell r="Q110" t="str">
            <v>Prestación de servicios de apoyo a la gestión en lo relacionado con los trámites requeridos para el manejo de archivo y gestión documental generado desde la Dirección de Reasentamientos de la Caja de la Vivienda Popular.</v>
          </cell>
          <cell r="R110">
            <v>19261000</v>
          </cell>
          <cell r="S110">
            <v>0</v>
          </cell>
          <cell r="T110">
            <v>0</v>
          </cell>
          <cell r="U110">
            <v>19261000</v>
          </cell>
          <cell r="V110">
            <v>11264767</v>
          </cell>
        </row>
        <row r="111">
          <cell r="J111">
            <v>127</v>
          </cell>
          <cell r="K111">
            <v>43117</v>
          </cell>
          <cell r="L111" t="str">
            <v>MARIA LORETA COIA BAENA</v>
          </cell>
          <cell r="M111">
            <v>145</v>
          </cell>
          <cell r="N111" t="str">
            <v>CONTRATO DE PRESTACION DE SERVICIOS PROFESIONALES</v>
          </cell>
          <cell r="O111">
            <v>119</v>
          </cell>
          <cell r="P111">
            <v>43117</v>
          </cell>
          <cell r="Q111" t="str">
            <v>Prestación de servicios profesionales desde el componente técnico en la Dirección de Reasentamientos de la Caja de la Vivienda Popular apoyando la definición, control y seguimiento de los procesos relacionados con Gestión Inmobiliaria</v>
          </cell>
          <cell r="R111">
            <v>90640000</v>
          </cell>
          <cell r="S111">
            <v>0</v>
          </cell>
          <cell r="T111">
            <v>0</v>
          </cell>
          <cell r="U111">
            <v>90640000</v>
          </cell>
          <cell r="V111">
            <v>53010667</v>
          </cell>
        </row>
        <row r="112">
          <cell r="J112">
            <v>128</v>
          </cell>
          <cell r="K112">
            <v>43117</v>
          </cell>
          <cell r="L112" t="str">
            <v>ERICA KATHERINE GALLO HERNANDEZ</v>
          </cell>
          <cell r="M112">
            <v>145</v>
          </cell>
          <cell r="N112" t="str">
            <v>CONTRATO DE PRESTACION DE SERVICIOS PROFESIONALES</v>
          </cell>
          <cell r="O112">
            <v>111</v>
          </cell>
          <cell r="P112">
            <v>43117</v>
          </cell>
          <cell r="Q112" t="str">
            <v>Prestación de servicios profesionales, en temas jurídicos relacionados con asuntos precontractuales, así como en los procesos y procedimientos establecidos frente a la ejecución del programa misional de la dirección de reasentamientos de la Caja de la vivienda popular.</v>
          </cell>
          <cell r="R112">
            <v>30591000</v>
          </cell>
          <cell r="S112">
            <v>0</v>
          </cell>
          <cell r="T112">
            <v>0</v>
          </cell>
          <cell r="U112">
            <v>30591000</v>
          </cell>
          <cell r="V112">
            <v>21866900</v>
          </cell>
        </row>
        <row r="113">
          <cell r="J113">
            <v>129</v>
          </cell>
          <cell r="K113">
            <v>43117</v>
          </cell>
          <cell r="L113" t="str">
            <v>JENNIFER  MALAVER SOLANO</v>
          </cell>
          <cell r="M113">
            <v>145</v>
          </cell>
          <cell r="N113" t="str">
            <v>CONTRATO DE PRESTACION DE SERVICIOS PROFESIONALES</v>
          </cell>
          <cell r="O113">
            <v>120</v>
          </cell>
          <cell r="P113">
            <v>43117</v>
          </cell>
          <cell r="Q113" t="str">
            <v>Prestación de servicios profesionales en la Dirección de Reasentamientos de la Caja de la Vivienda Popular, apoyando la ejecución de las diferentes actividades relacionadas con el componente técnico del área misional.</v>
          </cell>
          <cell r="R113">
            <v>45320000</v>
          </cell>
          <cell r="S113">
            <v>0</v>
          </cell>
          <cell r="T113">
            <v>0</v>
          </cell>
          <cell r="U113">
            <v>45320000</v>
          </cell>
          <cell r="V113">
            <v>26505333</v>
          </cell>
        </row>
        <row r="114">
          <cell r="J114">
            <v>130</v>
          </cell>
          <cell r="K114">
            <v>43117</v>
          </cell>
          <cell r="L114" t="str">
            <v>ALDEMAR  GALVIS SILVA</v>
          </cell>
          <cell r="M114">
            <v>145</v>
          </cell>
          <cell r="N114" t="str">
            <v>CONTRATO DE PRESTACION DE SERVICIOS PROFESIONALES</v>
          </cell>
          <cell r="O114">
            <v>121</v>
          </cell>
          <cell r="P114">
            <v>43117</v>
          </cell>
          <cell r="Q114" t="str">
            <v>Prestación de servicios profesionales en la Dirección de Reasentamientos de la Caja de la Vivienda Popular, apoyando la ejecución de las diferentes actividades relacionadas con el componente técnico del área misional</v>
          </cell>
          <cell r="R114">
            <v>90640000</v>
          </cell>
          <cell r="S114">
            <v>0</v>
          </cell>
          <cell r="T114">
            <v>0</v>
          </cell>
          <cell r="U114">
            <v>90640000</v>
          </cell>
          <cell r="V114">
            <v>53010667</v>
          </cell>
        </row>
        <row r="115">
          <cell r="J115">
            <v>134</v>
          </cell>
          <cell r="K115">
            <v>43117</v>
          </cell>
          <cell r="L115" t="str">
            <v>ANGI VIVIANA VELASQUEZ VELASQUEZ</v>
          </cell>
          <cell r="M115">
            <v>145</v>
          </cell>
          <cell r="N115" t="str">
            <v>CONTRATO DE PRESTACION DE SERVICIOS PROFESIONALES</v>
          </cell>
          <cell r="O115">
            <v>143</v>
          </cell>
          <cell r="P115">
            <v>43117</v>
          </cell>
          <cell r="Q115" t="str">
            <v>Prestación de servicios profesionales, para el acompañamiento y apoyo a la Dirección de Reasentamientos de la Caja de la Vivienda Popular, en la definición, control y seguimiento del programa misional, de conformidad con los procesos y procedimientos internos e institucionales.</v>
          </cell>
          <cell r="R115">
            <v>82400000</v>
          </cell>
          <cell r="S115">
            <v>0</v>
          </cell>
          <cell r="T115">
            <v>0</v>
          </cell>
          <cell r="U115">
            <v>82400000</v>
          </cell>
          <cell r="V115">
            <v>53010667</v>
          </cell>
        </row>
        <row r="116">
          <cell r="J116">
            <v>139</v>
          </cell>
          <cell r="K116">
            <v>43117</v>
          </cell>
          <cell r="L116" t="str">
            <v>YASMIN VIVIANA BELTRAN MARTINEZ</v>
          </cell>
          <cell r="M116">
            <v>145</v>
          </cell>
          <cell r="N116" t="str">
            <v>CONTRATO DE PRESTACION DE SERVICIOS PROFESIONALES</v>
          </cell>
          <cell r="O116">
            <v>146</v>
          </cell>
          <cell r="P116">
            <v>43117</v>
          </cell>
          <cell r="Q116" t="str">
            <v>Prestación de servicios profesionales desde el componente jurídico, para realizar el seguimiento y control al cumplimiento de requisitos legales y reglamentarios, de las familias beneficiarias del programa de Reasentamientos de la Caja de la Vivienda Popular</v>
          </cell>
          <cell r="R116">
            <v>45320000</v>
          </cell>
          <cell r="S116">
            <v>0</v>
          </cell>
          <cell r="T116">
            <v>0</v>
          </cell>
          <cell r="U116">
            <v>45320000</v>
          </cell>
          <cell r="V116">
            <v>36444833</v>
          </cell>
        </row>
        <row r="117">
          <cell r="J117">
            <v>145</v>
          </cell>
          <cell r="K117">
            <v>43117</v>
          </cell>
          <cell r="L117" t="str">
            <v>MIGUEL ANGEL GONZALEZ CAÑON</v>
          </cell>
          <cell r="M117">
            <v>148</v>
          </cell>
          <cell r="N117" t="str">
            <v>CONTRATO DE PRESTACION DE SERVICIOS DE APOYO A LA GESTION</v>
          </cell>
          <cell r="O117">
            <v>153</v>
          </cell>
          <cell r="P117">
            <v>43117</v>
          </cell>
          <cell r="Q117" t="str">
            <v>Prestación de servicios de apoyo a la gestión en lo relacionado con los trámites requeridos para el manejo de archivo y gestión documental generado desde la Dirección de Reasentamientos de la Caja de la Vivienda Popular.</v>
          </cell>
          <cell r="R117">
            <v>16995000</v>
          </cell>
          <cell r="S117">
            <v>0</v>
          </cell>
          <cell r="T117">
            <v>0</v>
          </cell>
          <cell r="U117">
            <v>16995000</v>
          </cell>
          <cell r="V117">
            <v>9939500</v>
          </cell>
        </row>
        <row r="118">
          <cell r="J118">
            <v>148</v>
          </cell>
          <cell r="K118">
            <v>43117</v>
          </cell>
          <cell r="L118" t="str">
            <v>JULY PAOLA TORRES RISCANEVO</v>
          </cell>
          <cell r="M118">
            <v>145</v>
          </cell>
          <cell r="N118" t="str">
            <v>CONTRATO DE PRESTACION DE SERVICIOS PROFESIONALES</v>
          </cell>
          <cell r="O118">
            <v>155</v>
          </cell>
          <cell r="P118">
            <v>43117</v>
          </cell>
          <cell r="Q118" t="str">
            <v>Prestar servicios profesionales en la implementacion y seguimiento de la politica de responsabilidad social, bajo los tres pilares de sostenibilidad a los procesos de gestion misional de la entidad.</v>
          </cell>
          <cell r="R118">
            <v>23690000</v>
          </cell>
          <cell r="S118">
            <v>23690000</v>
          </cell>
          <cell r="T118">
            <v>0</v>
          </cell>
          <cell r="U118">
            <v>0</v>
          </cell>
          <cell r="V118">
            <v>0</v>
          </cell>
        </row>
        <row r="119">
          <cell r="J119">
            <v>154</v>
          </cell>
          <cell r="K119">
            <v>43117</v>
          </cell>
          <cell r="L119" t="str">
            <v>JULY PAOLA TORRES RISCANEVO</v>
          </cell>
          <cell r="M119">
            <v>145</v>
          </cell>
          <cell r="N119" t="str">
            <v>CONTRATO DE PRESTACION DE SERVICIOS PROFESIONALES</v>
          </cell>
          <cell r="O119">
            <v>155</v>
          </cell>
          <cell r="P119">
            <v>43117</v>
          </cell>
          <cell r="Q119" t="str">
            <v>PRESTAR SERVICIOS PROFESIONALES PARA EL DESARROLLO DE LA POLITICA DE RESPONSABILIDAD SOCIAL, BAJO LOS TRES PILARES DE SOSTENIBILIDAD A LOS PROCESOS DE GESTION MISIONAL DE LA CAJA DE LA VIVIENDA POPULAR.</v>
          </cell>
          <cell r="R119">
            <v>23690000</v>
          </cell>
          <cell r="S119">
            <v>0</v>
          </cell>
          <cell r="T119">
            <v>0</v>
          </cell>
          <cell r="U119">
            <v>23690000</v>
          </cell>
          <cell r="V119">
            <v>13252666</v>
          </cell>
        </row>
        <row r="120">
          <cell r="J120">
            <v>158</v>
          </cell>
          <cell r="K120">
            <v>43118</v>
          </cell>
          <cell r="L120" t="str">
            <v>MADDY ANDREA ARIAS ROJAS</v>
          </cell>
          <cell r="M120">
            <v>145</v>
          </cell>
          <cell r="N120" t="str">
            <v>CONTRATO DE PRESTACION DE SERVICIOS PROFESIONALES</v>
          </cell>
          <cell r="O120">
            <v>109</v>
          </cell>
          <cell r="P120">
            <v>43118</v>
          </cell>
          <cell r="Q120" t="str">
            <v>Prestación de servicios profesionales, para asesorar a la Dirección de Reasentamientos de la Caja de la Vivienda Popular, desde el componente jurídico en la ejecucion de las actuaciones propias del area misional, de conformidad con la normatividad vigente, así como los procesos y procedimientos internos e institucionales.</v>
          </cell>
          <cell r="R120">
            <v>113300000</v>
          </cell>
          <cell r="S120">
            <v>0</v>
          </cell>
          <cell r="T120">
            <v>0</v>
          </cell>
          <cell r="U120">
            <v>113300000</v>
          </cell>
          <cell r="V120">
            <v>66263333</v>
          </cell>
        </row>
        <row r="121">
          <cell r="J121">
            <v>162</v>
          </cell>
          <cell r="K121">
            <v>43118</v>
          </cell>
          <cell r="L121" t="str">
            <v>OSCAR FELIPE MARLES MONJE</v>
          </cell>
          <cell r="M121">
            <v>145</v>
          </cell>
          <cell r="N121" t="str">
            <v>CONTRATO DE PRESTACION DE SERVICIOS PROFESIONALES</v>
          </cell>
          <cell r="O121">
            <v>123</v>
          </cell>
          <cell r="P121">
            <v>43118</v>
          </cell>
          <cell r="Q121" t="str">
            <v>Prestación de servicios profesionales a la Dirección de Reasentamientos para la puesta en marcha del Sistema de Información Geográfica, el uso y adopción de tecnologías para la gestión de Información Georeferenciada del área misonal.</v>
          </cell>
          <cell r="R121">
            <v>72100000</v>
          </cell>
          <cell r="S121">
            <v>0</v>
          </cell>
          <cell r="T121">
            <v>0</v>
          </cell>
          <cell r="U121">
            <v>72100000</v>
          </cell>
          <cell r="V121">
            <v>46384333</v>
          </cell>
        </row>
        <row r="122">
          <cell r="J122">
            <v>171</v>
          </cell>
          <cell r="K122">
            <v>43118</v>
          </cell>
          <cell r="L122" t="str">
            <v>CRISTOPHER GIOVANNI CEBALLOS MEDINA</v>
          </cell>
          <cell r="M122">
            <v>148</v>
          </cell>
          <cell r="N122" t="str">
            <v>CONTRATO DE PRESTACION DE SERVICIOS DE APOYO A LA GESTION</v>
          </cell>
          <cell r="O122">
            <v>154</v>
          </cell>
          <cell r="P122">
            <v>43118</v>
          </cell>
          <cell r="Q122" t="str">
            <v>Prestación de servicios de apoyo a la gestión en los procedimientos relacionados con el componente técnico del programa de Reasentamientos para el cumplimiento de sus metas.</v>
          </cell>
          <cell r="R122">
            <v>30385000</v>
          </cell>
          <cell r="S122">
            <v>0</v>
          </cell>
          <cell r="T122">
            <v>0</v>
          </cell>
          <cell r="U122">
            <v>30385000</v>
          </cell>
          <cell r="V122">
            <v>19547683</v>
          </cell>
        </row>
        <row r="123">
          <cell r="J123">
            <v>176</v>
          </cell>
          <cell r="K123">
            <v>43118</v>
          </cell>
          <cell r="L123" t="str">
            <v>MONICA VIVIANA CEBALLOS CRIOLLO</v>
          </cell>
          <cell r="M123">
            <v>145</v>
          </cell>
          <cell r="N123" t="str">
            <v>CONTRATO DE PRESTACION DE SERVICIOS PROFESIONALES</v>
          </cell>
          <cell r="O123">
            <v>160</v>
          </cell>
          <cell r="P123">
            <v>43118</v>
          </cell>
          <cell r="Q123" t="str">
            <v>CONTRATAR LOS SERVICIOS PROFESIONALES DE UN COMUNICADOR SOCIAL QUE DESARROLLE LA INFORMACION PERIODISTICA DE LAS AREAS MISIONALES, PARA FORTALECER LOS CANALES DE COMUNICACIÓN INTERNOS Y EXTERNOS DE LA ENTIDAD, CONFORME A LA ESTRATEGIA DE COMUNICACIONES DE LA CAJA DE LA VIVIENDA POPULAR.</v>
          </cell>
          <cell r="R123">
            <v>13850925</v>
          </cell>
          <cell r="S123">
            <v>0</v>
          </cell>
          <cell r="T123">
            <v>0</v>
          </cell>
          <cell r="U123">
            <v>13850925</v>
          </cell>
          <cell r="V123">
            <v>8100692</v>
          </cell>
        </row>
        <row r="124">
          <cell r="J124">
            <v>181</v>
          </cell>
          <cell r="K124">
            <v>43118</v>
          </cell>
          <cell r="L124" t="str">
            <v>CARLOS ARMANDO CRIOLLO LAMILLA</v>
          </cell>
          <cell r="M124">
            <v>145</v>
          </cell>
          <cell r="N124" t="str">
            <v>CONTRATO DE PRESTACION DE SERVICIOS PROFESIONALES</v>
          </cell>
          <cell r="O124">
            <v>383</v>
          </cell>
          <cell r="P124">
            <v>43118</v>
          </cell>
          <cell r="Q124" t="str">
            <v>Prestación de servicios profesionales desde el componente técnico en la Dirección de Reasentamientos de la Caja de la Vivienda Popular apoyando la ejecución de los procesos relacionados con la selección de vivienda de reposición y de la Gestión Inmobiliaria en general.</v>
          </cell>
          <cell r="R124">
            <v>45320000</v>
          </cell>
          <cell r="S124">
            <v>45320000</v>
          </cell>
          <cell r="T124">
            <v>0</v>
          </cell>
          <cell r="U124">
            <v>0</v>
          </cell>
          <cell r="V124">
            <v>0</v>
          </cell>
        </row>
        <row r="125">
          <cell r="J125">
            <v>182</v>
          </cell>
          <cell r="K125">
            <v>43118</v>
          </cell>
          <cell r="L125" t="str">
            <v>CARLOS ARMANDO CRIOLLO LAMILLA</v>
          </cell>
          <cell r="M125">
            <v>145</v>
          </cell>
          <cell r="N125" t="str">
            <v>CONTRATO DE PRESTACION DE SERVICIOS PROFESIONALES</v>
          </cell>
          <cell r="O125">
            <v>108</v>
          </cell>
          <cell r="P125">
            <v>43118</v>
          </cell>
          <cell r="Q125" t="str">
            <v>Prestación de servicios profesionales desde el componente técnico en la Dirección de Reasentamientos de la Caja de la Vivienda Popular apoyando la ejecución de los procesos relacionados con la selección de vivienda de reposición y de la Gestión Inmobiliaria en general.</v>
          </cell>
          <cell r="R125">
            <v>45320000</v>
          </cell>
          <cell r="S125">
            <v>0</v>
          </cell>
          <cell r="T125">
            <v>0</v>
          </cell>
          <cell r="U125">
            <v>45320000</v>
          </cell>
          <cell r="V125">
            <v>26505333</v>
          </cell>
        </row>
        <row r="126">
          <cell r="J126">
            <v>187</v>
          </cell>
          <cell r="K126">
            <v>43118</v>
          </cell>
          <cell r="L126" t="str">
            <v>GINNA CATALINA CRUZ RODRIGUEZ</v>
          </cell>
          <cell r="M126">
            <v>145</v>
          </cell>
          <cell r="N126" t="str">
            <v>CONTRATO DE PRESTACION DE SERVICIOS PROFESIONALES</v>
          </cell>
          <cell r="O126">
            <v>156</v>
          </cell>
          <cell r="P126">
            <v>43118</v>
          </cell>
          <cell r="Q126" t="str">
            <v>Prestación de servicios profesionales en el componente social de la Dirección de Reasentamientos de la Caja de la Vivienda Popular, para la ejecución de planes y programas agenciados por el área misional.</v>
          </cell>
          <cell r="R126">
            <v>57783000</v>
          </cell>
          <cell r="S126">
            <v>0</v>
          </cell>
          <cell r="T126">
            <v>0</v>
          </cell>
          <cell r="U126">
            <v>57783000</v>
          </cell>
          <cell r="V126">
            <v>33794300</v>
          </cell>
        </row>
        <row r="127">
          <cell r="J127">
            <v>189</v>
          </cell>
          <cell r="K127">
            <v>43118</v>
          </cell>
          <cell r="L127" t="str">
            <v>ANGELICA MARIA ACOSTA CUELLAR</v>
          </cell>
          <cell r="M127">
            <v>145</v>
          </cell>
          <cell r="N127" t="str">
            <v>CONTRATO DE PRESTACION DE SERVICIOS PROFESIONALES</v>
          </cell>
          <cell r="O127">
            <v>168</v>
          </cell>
          <cell r="P127">
            <v>43118</v>
          </cell>
          <cell r="Q127"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R127">
            <v>41200000</v>
          </cell>
          <cell r="S127">
            <v>0</v>
          </cell>
          <cell r="T127">
            <v>0</v>
          </cell>
          <cell r="U127">
            <v>41200000</v>
          </cell>
          <cell r="V127">
            <v>26368000</v>
          </cell>
        </row>
        <row r="128">
          <cell r="J128">
            <v>190</v>
          </cell>
          <cell r="K128">
            <v>43118</v>
          </cell>
          <cell r="L128" t="str">
            <v>JAIME ALONSO CRUZ OLARTE</v>
          </cell>
          <cell r="M128">
            <v>145</v>
          </cell>
          <cell r="N128" t="str">
            <v>CONTRATO DE PRESTACION DE SERVICIOS PROFESIONALES</v>
          </cell>
          <cell r="O128">
            <v>167</v>
          </cell>
          <cell r="P128">
            <v>43118</v>
          </cell>
          <cell r="Q128" t="str">
            <v>Prestación de servicios profesionales a la Dirección de Reasentamientos de la Caja de la Vivienda Popular, apoyando la gestión administrativa y financiera en relación con los contratos y convenios suscritos por el área misional</v>
          </cell>
          <cell r="R128">
            <v>82400000</v>
          </cell>
          <cell r="S128">
            <v>0</v>
          </cell>
          <cell r="T128">
            <v>0</v>
          </cell>
          <cell r="U128">
            <v>82400000</v>
          </cell>
          <cell r="V128">
            <v>52736000</v>
          </cell>
        </row>
        <row r="129">
          <cell r="J129">
            <v>191</v>
          </cell>
          <cell r="K129">
            <v>43118</v>
          </cell>
          <cell r="L129" t="str">
            <v>CAMILO ANDRES PINZON RODRIGUEZ</v>
          </cell>
          <cell r="M129">
            <v>148</v>
          </cell>
          <cell r="N129" t="str">
            <v>CONTRATO DE PRESTACION DE SERVICIOS DE APOYO A LA GESTION</v>
          </cell>
          <cell r="O129">
            <v>166</v>
          </cell>
          <cell r="P129">
            <v>43118</v>
          </cell>
          <cell r="Q129" t="str">
            <v>Prestación de servicios de apoyo a la gestión en lo relacionado con los trámites requeridos para el manejo de archivo y gestión documental generado desde la Dirección de Reasentamientos de la Caja de la Vivienda Popular.</v>
          </cell>
          <cell r="R129">
            <v>9270000</v>
          </cell>
          <cell r="S129">
            <v>0</v>
          </cell>
          <cell r="T129">
            <v>0</v>
          </cell>
          <cell r="U129">
            <v>9270000</v>
          </cell>
          <cell r="V129">
            <v>9270000</v>
          </cell>
        </row>
        <row r="130">
          <cell r="J130">
            <v>192</v>
          </cell>
          <cell r="K130">
            <v>43118</v>
          </cell>
          <cell r="L130" t="str">
            <v>JESUS EDUARDO RESTREPO CASTELLANOS</v>
          </cell>
          <cell r="M130">
            <v>145</v>
          </cell>
          <cell r="N130" t="str">
            <v>CONTRATO DE PRESTACION DE SERVICIOS PROFESIONALES</v>
          </cell>
          <cell r="O130">
            <v>165</v>
          </cell>
          <cell r="P130">
            <v>43118</v>
          </cell>
          <cell r="Q130" t="str">
            <v>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v>
          </cell>
          <cell r="R130">
            <v>67980000</v>
          </cell>
          <cell r="S130">
            <v>0</v>
          </cell>
          <cell r="T130">
            <v>0</v>
          </cell>
          <cell r="U130">
            <v>67980000</v>
          </cell>
          <cell r="V130">
            <v>39552000</v>
          </cell>
        </row>
        <row r="131">
          <cell r="J131">
            <v>193</v>
          </cell>
          <cell r="K131">
            <v>43118</v>
          </cell>
          <cell r="L131" t="str">
            <v>EDGAR FABIAN DEL CASTILLO MURCIA</v>
          </cell>
          <cell r="M131">
            <v>145</v>
          </cell>
          <cell r="N131" t="str">
            <v>CONTRATO DE PRESTACION DE SERVICIOS PROFESIONALES</v>
          </cell>
          <cell r="O131">
            <v>164</v>
          </cell>
          <cell r="P131">
            <v>43118</v>
          </cell>
          <cell r="Q131" t="str">
            <v>"Prestación de servicios profesionales en el componente social de la Dirección de Reasentamientos de la Caja de la Vivienda Popular, para la ejecución de planes y programas agenciados por el área misional."</v>
          </cell>
          <cell r="R131">
            <v>31981500</v>
          </cell>
          <cell r="S131">
            <v>0</v>
          </cell>
          <cell r="T131">
            <v>0</v>
          </cell>
          <cell r="U131">
            <v>31981500</v>
          </cell>
          <cell r="V131">
            <v>22387050</v>
          </cell>
        </row>
        <row r="132">
          <cell r="J132">
            <v>194</v>
          </cell>
          <cell r="K132">
            <v>43118</v>
          </cell>
          <cell r="L132" t="str">
            <v>MONICA ANDREA ALVAREZ FERNANDEZ</v>
          </cell>
          <cell r="M132">
            <v>145</v>
          </cell>
          <cell r="N132" t="str">
            <v>CONTRATO DE PRESTACION DE SERVICIOS PROFESIONALES</v>
          </cell>
          <cell r="O132">
            <v>162</v>
          </cell>
          <cell r="P132">
            <v>43118</v>
          </cell>
          <cell r="Q132" t="str">
            <v>Prestación de servicios profesionales, en los componentes técnico y administrativo de los procedimientos de selección de vivienda y del proceso de Gestión Inmobiliaria, de la Dirección de Reasentamientos de la Caja de la Vivienda Popular</v>
          </cell>
          <cell r="R132">
            <v>55403700</v>
          </cell>
          <cell r="S132">
            <v>0</v>
          </cell>
          <cell r="T132">
            <v>0</v>
          </cell>
          <cell r="U132">
            <v>55403700</v>
          </cell>
          <cell r="V132">
            <v>32234880</v>
          </cell>
        </row>
        <row r="133">
          <cell r="J133">
            <v>197</v>
          </cell>
          <cell r="K133">
            <v>43118</v>
          </cell>
          <cell r="L133" t="str">
            <v>HASBLEIDY  PUENTES MONTAÑA</v>
          </cell>
          <cell r="M133">
            <v>145</v>
          </cell>
          <cell r="N133" t="str">
            <v>CONTRATO DE PRESTACION DE SERVICIOS PROFESIONALES</v>
          </cell>
          <cell r="O133">
            <v>181</v>
          </cell>
          <cell r="P133">
            <v>43118</v>
          </cell>
          <cell r="Q133" t="str">
            <v>Prestación de servicios profesionales en el componente social de la Dirección de Reasentamientos de la Caja de la Vivienda Popular, para la ejecución de planes y programas agenciados por el área misional.</v>
          </cell>
          <cell r="R133">
            <v>31981500</v>
          </cell>
          <cell r="S133">
            <v>0</v>
          </cell>
          <cell r="T133">
            <v>0</v>
          </cell>
          <cell r="U133">
            <v>31981500</v>
          </cell>
          <cell r="V133">
            <v>22742400</v>
          </cell>
        </row>
        <row r="134">
          <cell r="J134">
            <v>198</v>
          </cell>
          <cell r="K134">
            <v>43118</v>
          </cell>
          <cell r="L134" t="str">
            <v>JUAN JAIRO HERRERA GUERRERO</v>
          </cell>
          <cell r="M134">
            <v>148</v>
          </cell>
          <cell r="N134" t="str">
            <v>CONTRATO DE PRESTACION DE SERVICIOS DE APOYO A LA GESTION</v>
          </cell>
          <cell r="O134">
            <v>180</v>
          </cell>
          <cell r="P134">
            <v>43118</v>
          </cell>
          <cell r="Q134" t="str">
            <v>Prestación de servicios de apoyo a la gestión en los procedimientos relacionados con el componente técnico del programa de Reasentamientos para el cumplimiento de sus metas</v>
          </cell>
          <cell r="R134">
            <v>36595900</v>
          </cell>
          <cell r="S134">
            <v>0</v>
          </cell>
          <cell r="T134">
            <v>0</v>
          </cell>
          <cell r="U134">
            <v>36595900</v>
          </cell>
          <cell r="V134">
            <v>21292160</v>
          </cell>
        </row>
        <row r="135">
          <cell r="J135">
            <v>199</v>
          </cell>
          <cell r="K135">
            <v>43118</v>
          </cell>
          <cell r="L135" t="str">
            <v>CRISTIAN ALEJANDRO BARRETO ARCOS</v>
          </cell>
          <cell r="M135">
            <v>145</v>
          </cell>
          <cell r="N135" t="str">
            <v>CONTRATO DE PRESTACION DE SERVICIOS PROFESIONALES</v>
          </cell>
          <cell r="O135">
            <v>179</v>
          </cell>
          <cell r="P135">
            <v>43118</v>
          </cell>
          <cell r="Q135" t="str">
            <v>Prestación de servicios profesionales en el componente social de la dirección de reasentamientos de la caja de la vivienda popular, para la ejecución de planes y programas agenciados por el área misional</v>
          </cell>
          <cell r="R135">
            <v>33990000</v>
          </cell>
          <cell r="S135">
            <v>0</v>
          </cell>
          <cell r="T135">
            <v>0</v>
          </cell>
          <cell r="U135">
            <v>33990000</v>
          </cell>
          <cell r="V135">
            <v>21753600</v>
          </cell>
        </row>
        <row r="136">
          <cell r="J136">
            <v>201</v>
          </cell>
          <cell r="K136">
            <v>43118</v>
          </cell>
          <cell r="L136" t="str">
            <v>MARIA CLAUDIA MONTOYA SOTO</v>
          </cell>
          <cell r="M136">
            <v>148</v>
          </cell>
          <cell r="N136" t="str">
            <v>CONTRATO DE PRESTACION DE SERVICIOS DE APOYO A LA GESTION</v>
          </cell>
          <cell r="O136">
            <v>190</v>
          </cell>
          <cell r="P136">
            <v>43118</v>
          </cell>
          <cell r="Q136" t="str">
            <v>Prestación de servicios de apoyo a la gestión para la ejecución de actividades a cargo del componente social y en especial lo relativo a la estrategia de Resiliencia y Sostenibilidad de la comunidad, en la Dirección de Reasentamientos de la caja de la Vivienda Popular</v>
          </cell>
          <cell r="R136">
            <v>33269000</v>
          </cell>
          <cell r="S136">
            <v>0</v>
          </cell>
          <cell r="T136">
            <v>0</v>
          </cell>
          <cell r="U136">
            <v>33269000</v>
          </cell>
          <cell r="V136">
            <v>21292160</v>
          </cell>
        </row>
        <row r="137">
          <cell r="J137">
            <v>202</v>
          </cell>
          <cell r="K137">
            <v>43118</v>
          </cell>
          <cell r="L137" t="str">
            <v>DENICE ASTRID OLAYA DUARTE</v>
          </cell>
          <cell r="M137">
            <v>145</v>
          </cell>
          <cell r="N137" t="str">
            <v>CONTRATO DE PRESTACION DE SERVICIOS PROFESIONALES</v>
          </cell>
          <cell r="O137">
            <v>191</v>
          </cell>
          <cell r="P137">
            <v>43118</v>
          </cell>
          <cell r="Q137" t="str">
            <v>Prestación de servicios profesionales en el componente social de la Dirección de Reasentamientos de la Caja de la Vivienda Popular, para la ejecución de planes y programas agenciados por el área misional.</v>
          </cell>
          <cell r="R137">
            <v>37080000</v>
          </cell>
          <cell r="S137">
            <v>0</v>
          </cell>
          <cell r="T137">
            <v>0</v>
          </cell>
          <cell r="U137">
            <v>37080000</v>
          </cell>
          <cell r="V137">
            <v>26368000</v>
          </cell>
        </row>
        <row r="138">
          <cell r="J138">
            <v>205</v>
          </cell>
          <cell r="K138">
            <v>43118</v>
          </cell>
          <cell r="L138" t="str">
            <v>MARIA CAMILA GARCIA RAMOS</v>
          </cell>
          <cell r="M138">
            <v>145</v>
          </cell>
          <cell r="N138" t="str">
            <v>CONTRATO DE PRESTACION DE SERVICIOS PROFESIONALES</v>
          </cell>
          <cell r="O138">
            <v>163</v>
          </cell>
          <cell r="P138">
            <v>43118</v>
          </cell>
          <cell r="Q138"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R138">
            <v>45320000</v>
          </cell>
          <cell r="S138">
            <v>0</v>
          </cell>
          <cell r="T138">
            <v>0</v>
          </cell>
          <cell r="U138">
            <v>45320000</v>
          </cell>
          <cell r="V138">
            <v>29004800</v>
          </cell>
        </row>
        <row r="139">
          <cell r="J139">
            <v>208</v>
          </cell>
          <cell r="K139">
            <v>43118</v>
          </cell>
          <cell r="L139" t="str">
            <v>JOHN STEVE PEÑA CASALLAS</v>
          </cell>
          <cell r="M139">
            <v>145</v>
          </cell>
          <cell r="N139" t="str">
            <v>CONTRATO DE PRESTACION DE SERVICIOS PROFESIONALES</v>
          </cell>
          <cell r="O139">
            <v>171</v>
          </cell>
          <cell r="P139">
            <v>43118</v>
          </cell>
          <cell r="Q139"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v>
          </cell>
          <cell r="R139">
            <v>49852000</v>
          </cell>
          <cell r="S139">
            <v>0</v>
          </cell>
          <cell r="T139">
            <v>0</v>
          </cell>
          <cell r="U139">
            <v>49852000</v>
          </cell>
          <cell r="V139">
            <v>29004800</v>
          </cell>
        </row>
        <row r="140">
          <cell r="J140">
            <v>209</v>
          </cell>
          <cell r="K140">
            <v>43118</v>
          </cell>
          <cell r="L140" t="str">
            <v>YOLIMA  OROZCO SUAREZ</v>
          </cell>
          <cell r="M140">
            <v>148</v>
          </cell>
          <cell r="N140" t="str">
            <v>CONTRATO DE PRESTACION DE SERVICIOS DE APOYO A LA GESTION</v>
          </cell>
          <cell r="O140">
            <v>169</v>
          </cell>
          <cell r="P140">
            <v>43118</v>
          </cell>
          <cell r="Q140" t="str">
            <v>Prestación de servicios de apoyo a la gestión en la Dirección de Reasentamientos de la Caja de Vivienda Popular, para asistencia técnica en aspectos administrativos, logísticos y operativos.</v>
          </cell>
          <cell r="R140">
            <v>19261000</v>
          </cell>
          <cell r="S140">
            <v>0</v>
          </cell>
          <cell r="T140">
            <v>0</v>
          </cell>
          <cell r="U140">
            <v>19261000</v>
          </cell>
          <cell r="V140">
            <v>11206400</v>
          </cell>
        </row>
        <row r="141">
          <cell r="J141">
            <v>210</v>
          </cell>
          <cell r="K141">
            <v>43118</v>
          </cell>
          <cell r="L141" t="str">
            <v>ESTEBAN  PINZON OSPINA</v>
          </cell>
          <cell r="M141">
            <v>145</v>
          </cell>
          <cell r="N141" t="str">
            <v>CONTRATO DE PRESTACION DE SERVICIOS PROFESIONALES</v>
          </cell>
          <cell r="O141">
            <v>170</v>
          </cell>
          <cell r="P141">
            <v>43118</v>
          </cell>
          <cell r="Q141" t="str">
            <v>Prestación de servicios profesionales en la Dirección de Reasentamientos de la Caja de la Vivienda Popular, apoyando la ejecución de las diferentes actividades relacionadas con el componente técnico del área misional.</v>
          </cell>
          <cell r="R141">
            <v>50985000</v>
          </cell>
          <cell r="S141">
            <v>0</v>
          </cell>
          <cell r="T141">
            <v>0</v>
          </cell>
          <cell r="U141">
            <v>50985000</v>
          </cell>
          <cell r="V141">
            <v>36256000</v>
          </cell>
        </row>
        <row r="142">
          <cell r="J142">
            <v>212</v>
          </cell>
          <cell r="K142">
            <v>43118</v>
          </cell>
          <cell r="L142" t="str">
            <v>LUIS EDUARDO RODRIGUEZ RAMIREZ</v>
          </cell>
          <cell r="M142">
            <v>148</v>
          </cell>
          <cell r="N142" t="str">
            <v>CONTRATO DE PRESTACION DE SERVICIOS DE APOYO A LA GESTION</v>
          </cell>
          <cell r="O142">
            <v>184</v>
          </cell>
          <cell r="P142">
            <v>43118</v>
          </cell>
          <cell r="Q142" t="str">
            <v>Prestación de servicios de apoyo a la gestión en lo relacionado con el manejo de archivo y gestión documental generado desde la Dirección de Reasentamientos de la Caja de la Vivienda Popular.</v>
          </cell>
          <cell r="R142">
            <v>33423500</v>
          </cell>
          <cell r="S142">
            <v>0</v>
          </cell>
          <cell r="T142">
            <v>0</v>
          </cell>
          <cell r="U142">
            <v>33423500</v>
          </cell>
          <cell r="V142">
            <v>19446400</v>
          </cell>
        </row>
        <row r="143">
          <cell r="J143">
            <v>223</v>
          </cell>
          <cell r="K143">
            <v>43118</v>
          </cell>
          <cell r="L143" t="str">
            <v>PAULA TATIANA RAMOS DUQUE</v>
          </cell>
          <cell r="M143">
            <v>145</v>
          </cell>
          <cell r="N143" t="str">
            <v>CONTRATO DE PRESTACION DE SERVICIOS PROFESIONALES</v>
          </cell>
          <cell r="O143">
            <v>192</v>
          </cell>
          <cell r="P143">
            <v>43118</v>
          </cell>
          <cell r="Q143" t="str">
            <v>Prestación de servicios profesionales en el componente social de la Dirección de Reasentamientos de la Caja de la Vivienda Popular, para la ejecución de planes y programas agenciados por el área misional.</v>
          </cell>
          <cell r="R143">
            <v>41200000</v>
          </cell>
          <cell r="S143">
            <v>0</v>
          </cell>
          <cell r="T143">
            <v>0</v>
          </cell>
          <cell r="U143">
            <v>41200000</v>
          </cell>
          <cell r="V143">
            <v>26368000</v>
          </cell>
        </row>
        <row r="144">
          <cell r="J144">
            <v>227</v>
          </cell>
          <cell r="K144">
            <v>43118</v>
          </cell>
          <cell r="L144" t="str">
            <v>DORALBA  RESTREPO MEJIA</v>
          </cell>
          <cell r="M144">
            <v>145</v>
          </cell>
          <cell r="N144" t="str">
            <v>CONTRATO DE PRESTACION DE SERVICIOS PROFESIONALES</v>
          </cell>
          <cell r="O144">
            <v>194</v>
          </cell>
          <cell r="P144">
            <v>43118</v>
          </cell>
          <cell r="Q144" t="str">
            <v>Prestación de servicios profesionales en el componente social de la Dirección de Reasentamientos de la Caja de la Vivienda Popular, para la ejecución de planes y programas agenciados por el área misional.</v>
          </cell>
          <cell r="R144">
            <v>45330300</v>
          </cell>
          <cell r="S144">
            <v>0</v>
          </cell>
          <cell r="T144">
            <v>0</v>
          </cell>
          <cell r="U144">
            <v>45330300</v>
          </cell>
          <cell r="V144">
            <v>32234880</v>
          </cell>
        </row>
        <row r="145">
          <cell r="J145">
            <v>228</v>
          </cell>
          <cell r="K145">
            <v>43118</v>
          </cell>
          <cell r="L145" t="str">
            <v>JUAN CAMILO MEJIA URIBE</v>
          </cell>
          <cell r="M145">
            <v>145</v>
          </cell>
          <cell r="N145" t="str">
            <v>CONTRATO DE PRESTACION DE SERVICIOS PROFESIONALES</v>
          </cell>
          <cell r="O145">
            <v>161</v>
          </cell>
          <cell r="P145">
            <v>43118</v>
          </cell>
          <cell r="Q145" t="str">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v>
          </cell>
          <cell r="R145">
            <v>24720000</v>
          </cell>
          <cell r="S145">
            <v>0</v>
          </cell>
          <cell r="T145">
            <v>0</v>
          </cell>
          <cell r="U145">
            <v>24720000</v>
          </cell>
          <cell r="V145">
            <v>24720000</v>
          </cell>
        </row>
        <row r="146">
          <cell r="J146">
            <v>230</v>
          </cell>
          <cell r="K146">
            <v>43118</v>
          </cell>
          <cell r="L146" t="str">
            <v>CESAR AUGUSTO SABOGAL TARAZONA</v>
          </cell>
          <cell r="M146">
            <v>145</v>
          </cell>
          <cell r="N146" t="str">
            <v>CONTRATO DE PRESTACION DE SERVICIOS PROFESIONALES</v>
          </cell>
          <cell r="O146">
            <v>200</v>
          </cell>
          <cell r="P146">
            <v>43118</v>
          </cell>
          <cell r="Q146" t="str">
            <v>Prestación de servicios profesionales brindando apoyo contable frente al control presupuestal, cierre financiero de la vigencia 2018 y la programación presupuestal 2019 que coordina la Dirección de Reasentamientos de la Caja de la Vivienda Popular.</v>
          </cell>
          <cell r="R146">
            <v>50367000</v>
          </cell>
          <cell r="S146">
            <v>0</v>
          </cell>
          <cell r="T146">
            <v>0</v>
          </cell>
          <cell r="U146">
            <v>50367000</v>
          </cell>
          <cell r="V146">
            <v>32234880</v>
          </cell>
        </row>
        <row r="147">
          <cell r="J147">
            <v>233</v>
          </cell>
          <cell r="K147">
            <v>43119</v>
          </cell>
          <cell r="L147" t="str">
            <v>YONATHAN  APONTE GUTIERREZ</v>
          </cell>
          <cell r="M147">
            <v>148</v>
          </cell>
          <cell r="N147" t="str">
            <v>CONTRATO DE PRESTACION DE SERVICIOS DE APOYO A LA GESTION</v>
          </cell>
          <cell r="O147">
            <v>211</v>
          </cell>
          <cell r="P147">
            <v>43119</v>
          </cell>
          <cell r="Q147" t="str">
            <v>Prestación de servicios de apoyo a la gestión, para el acompañamiento técnico y operativo en los procedimientos a cargo de la Dirección de Reasentamiento en el cumplimiento de sus objetivos.</v>
          </cell>
          <cell r="R147">
            <v>17510000</v>
          </cell>
          <cell r="S147">
            <v>0</v>
          </cell>
          <cell r="T147">
            <v>0</v>
          </cell>
          <cell r="U147">
            <v>17510000</v>
          </cell>
          <cell r="V147">
            <v>11206400</v>
          </cell>
        </row>
        <row r="148">
          <cell r="J148">
            <v>239</v>
          </cell>
          <cell r="K148">
            <v>43119</v>
          </cell>
          <cell r="L148" t="str">
            <v>CRISTIAM CAMILO MOLINA CESPEDES</v>
          </cell>
          <cell r="M148">
            <v>145</v>
          </cell>
          <cell r="N148" t="str">
            <v>CONTRATO DE PRESTACION DE SERVICIOS PROFESIONALES</v>
          </cell>
          <cell r="O148">
            <v>222</v>
          </cell>
          <cell r="P148">
            <v>43119</v>
          </cell>
          <cell r="Q148" t="str">
            <v>Prestación de servicios profesionales en la Dirección de Reasentamientos de la Caja de la Vivienda Popular, apoyando la ejecución de las diferentes actividades relacionadas con el componente técnico del área misional.</v>
          </cell>
          <cell r="R148">
            <v>30591000</v>
          </cell>
          <cell r="S148">
            <v>0</v>
          </cell>
          <cell r="T148">
            <v>0</v>
          </cell>
          <cell r="U148">
            <v>30591000</v>
          </cell>
          <cell r="V148">
            <v>21753600</v>
          </cell>
        </row>
        <row r="149">
          <cell r="J149">
            <v>242</v>
          </cell>
          <cell r="K149">
            <v>43119</v>
          </cell>
          <cell r="L149" t="str">
            <v>JENNY KATHERINE GONZALEZ SANCHEZ</v>
          </cell>
          <cell r="M149">
            <v>145</v>
          </cell>
          <cell r="N149" t="str">
            <v>CONTRATO DE PRESTACION DE SERVICIOS PROFESIONALES</v>
          </cell>
          <cell r="O149">
            <v>219</v>
          </cell>
          <cell r="P149">
            <v>43119</v>
          </cell>
          <cell r="Q149"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v>
          </cell>
          <cell r="R149">
            <v>20394000</v>
          </cell>
          <cell r="S149">
            <v>0</v>
          </cell>
          <cell r="T149">
            <v>0</v>
          </cell>
          <cell r="U149">
            <v>20394000</v>
          </cell>
          <cell r="V149">
            <v>20394000</v>
          </cell>
        </row>
        <row r="150">
          <cell r="J150">
            <v>243</v>
          </cell>
          <cell r="K150">
            <v>43119</v>
          </cell>
          <cell r="L150" t="str">
            <v>EDNA GISELA GARCIA ROMERO</v>
          </cell>
          <cell r="M150">
            <v>145</v>
          </cell>
          <cell r="N150" t="str">
            <v>CONTRATO DE PRESTACION DE SERVICIOS PROFESIONALES</v>
          </cell>
          <cell r="O150">
            <v>218</v>
          </cell>
          <cell r="P150">
            <v>43119</v>
          </cell>
          <cell r="Q150" t="str">
            <v>Prestación de servicios profesionales en el componente social de la Dirección de Reasentamientos de la Caja de la Vivienda Popular, para la ejecución de planes y programas agenciados por el área misional.</v>
          </cell>
          <cell r="R150">
            <v>24720000</v>
          </cell>
          <cell r="S150">
            <v>0</v>
          </cell>
          <cell r="T150">
            <v>0</v>
          </cell>
          <cell r="U150">
            <v>24720000</v>
          </cell>
          <cell r="V150">
            <v>24720000</v>
          </cell>
        </row>
        <row r="151">
          <cell r="J151">
            <v>245</v>
          </cell>
          <cell r="K151">
            <v>43119</v>
          </cell>
          <cell r="L151" t="str">
            <v>JOSE DOMINGO GRACIA BAYUELO</v>
          </cell>
          <cell r="M151">
            <v>145</v>
          </cell>
          <cell r="N151" t="str">
            <v>CONTRATO DE PRESTACION DE SERVICIOS PROFESIONALES</v>
          </cell>
          <cell r="O151">
            <v>216</v>
          </cell>
          <cell r="P151">
            <v>43119</v>
          </cell>
          <cell r="Q151" t="str">
            <v>"Prestación de servicios profesionales en el componente social de la Dirección de Reasentamientos de la Caja de la Vivienda Popular, para la ejecución de planes y programas agenciados por el área misional."</v>
          </cell>
          <cell r="R151">
            <v>45320000</v>
          </cell>
          <cell r="S151">
            <v>0</v>
          </cell>
          <cell r="T151">
            <v>0</v>
          </cell>
          <cell r="U151">
            <v>45320000</v>
          </cell>
          <cell r="V151">
            <v>26368000</v>
          </cell>
        </row>
        <row r="152">
          <cell r="J152">
            <v>247</v>
          </cell>
          <cell r="K152">
            <v>43119</v>
          </cell>
          <cell r="L152" t="str">
            <v>EGNA MARGARITA ROJAS VARGAS</v>
          </cell>
          <cell r="M152">
            <v>145</v>
          </cell>
          <cell r="N152" t="str">
            <v>CONTRATO DE PRESTACION DE SERVICIOS PROFESIONALES</v>
          </cell>
          <cell r="O152">
            <v>214</v>
          </cell>
          <cell r="P152">
            <v>43119</v>
          </cell>
          <cell r="Q152" t="str">
            <v>Prestación de servicios profesionales, para el acompañamiento jurídico, en los procesos y procedimientos establecidos frente a la ejecución del programa misional de la Dirección de reasentamientos de la Caja de la Vivienda Popular</v>
          </cell>
          <cell r="R152">
            <v>57680000</v>
          </cell>
          <cell r="S152">
            <v>0</v>
          </cell>
          <cell r="T152">
            <v>0</v>
          </cell>
          <cell r="U152">
            <v>57680000</v>
          </cell>
          <cell r="V152">
            <v>46144000</v>
          </cell>
        </row>
        <row r="153">
          <cell r="J153">
            <v>249</v>
          </cell>
          <cell r="K153">
            <v>43119</v>
          </cell>
          <cell r="L153" t="str">
            <v>CLARA ROSARIO VILLAMIZAR BERNAL</v>
          </cell>
          <cell r="M153">
            <v>145</v>
          </cell>
          <cell r="N153" t="str">
            <v>CONTRATO DE PRESTACION DE SERVICIOS PROFESIONALES</v>
          </cell>
          <cell r="O153">
            <v>206</v>
          </cell>
          <cell r="P153">
            <v>43119</v>
          </cell>
          <cell r="Q153"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R153">
            <v>50367000</v>
          </cell>
          <cell r="S153">
            <v>0</v>
          </cell>
          <cell r="T153">
            <v>0</v>
          </cell>
          <cell r="U153">
            <v>50367000</v>
          </cell>
          <cell r="V153">
            <v>32234880</v>
          </cell>
        </row>
        <row r="154">
          <cell r="J154">
            <v>256</v>
          </cell>
          <cell r="K154">
            <v>43119</v>
          </cell>
          <cell r="L154" t="str">
            <v>SANDRA MILENA GAMBA RUIZ</v>
          </cell>
          <cell r="M154">
            <v>145</v>
          </cell>
          <cell r="N154" t="str">
            <v>CONTRATO DE PRESTACION DE SERVICIOS PROFESIONALES</v>
          </cell>
          <cell r="O154">
            <v>224</v>
          </cell>
          <cell r="P154">
            <v>43119</v>
          </cell>
          <cell r="Q154" t="str">
            <v>Prestación de servicios profesionales en el componente social de la Dirección de Reasentamientos de la Caja de la Vivienda Popular, para la ejecución de planes y programas agenciados por el área misional.</v>
          </cell>
          <cell r="R154">
            <v>30591000</v>
          </cell>
          <cell r="S154">
            <v>0</v>
          </cell>
          <cell r="T154">
            <v>0</v>
          </cell>
          <cell r="U154">
            <v>30591000</v>
          </cell>
          <cell r="V154">
            <v>20167400</v>
          </cell>
        </row>
        <row r="155">
          <cell r="J155">
            <v>261</v>
          </cell>
          <cell r="K155">
            <v>43119</v>
          </cell>
          <cell r="L155" t="str">
            <v>LEIDY JINETH SANABRIA SANABRIA</v>
          </cell>
          <cell r="M155">
            <v>145</v>
          </cell>
          <cell r="N155" t="str">
            <v>CONTRATO DE PRESTACION DE SERVICIOS PROFESIONALES</v>
          </cell>
          <cell r="O155">
            <v>227</v>
          </cell>
          <cell r="P155">
            <v>43119</v>
          </cell>
          <cell r="Q155" t="str">
            <v>Prestación de servicios profesionales en el componente social de la Dirección de Reasentamientos de la Caja de la Vivienda Popular, para la ejecución de planes y programas agenciados por el área misional</v>
          </cell>
          <cell r="R155">
            <v>41200000</v>
          </cell>
          <cell r="S155">
            <v>0</v>
          </cell>
          <cell r="T155">
            <v>0</v>
          </cell>
          <cell r="U155">
            <v>41200000</v>
          </cell>
          <cell r="V155">
            <v>25956000</v>
          </cell>
        </row>
        <row r="156">
          <cell r="J156">
            <v>262</v>
          </cell>
          <cell r="K156">
            <v>43119</v>
          </cell>
          <cell r="L156" t="str">
            <v>JUAN CAMILO MEJIA PAREDES</v>
          </cell>
          <cell r="M156">
            <v>145</v>
          </cell>
          <cell r="N156" t="str">
            <v>CONTRATO DE PRESTACION DE SERVICIOS PROFESIONALES</v>
          </cell>
          <cell r="O156">
            <v>228</v>
          </cell>
          <cell r="P156">
            <v>43119</v>
          </cell>
          <cell r="Q156" t="str">
            <v>Prestación de servicios profesionales, para el acompañamiento jurídico, en los procesos y procedimientos establecidos frente a la ejecución del programa misional de la Dirección de reasentamientos de la Caja de la Vivienda Popular</v>
          </cell>
          <cell r="R156">
            <v>64890000</v>
          </cell>
          <cell r="S156">
            <v>0</v>
          </cell>
          <cell r="T156">
            <v>0</v>
          </cell>
          <cell r="U156">
            <v>64890000</v>
          </cell>
          <cell r="V156">
            <v>38213000</v>
          </cell>
        </row>
        <row r="157">
          <cell r="J157">
            <v>263</v>
          </cell>
          <cell r="K157">
            <v>43119</v>
          </cell>
          <cell r="L157" t="str">
            <v>JHOANA MARITZA MEDINA RAMIREZ</v>
          </cell>
          <cell r="M157">
            <v>145</v>
          </cell>
          <cell r="N157" t="str">
            <v>CONTRATO DE PRESTACION DE SERVICIOS PROFESIONALES</v>
          </cell>
          <cell r="O157">
            <v>229</v>
          </cell>
          <cell r="P157">
            <v>43119</v>
          </cell>
          <cell r="Q157" t="str">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v>
          </cell>
          <cell r="R157">
            <v>57783000</v>
          </cell>
          <cell r="S157">
            <v>0</v>
          </cell>
          <cell r="T157">
            <v>0</v>
          </cell>
          <cell r="U157">
            <v>57783000</v>
          </cell>
          <cell r="V157">
            <v>33269000</v>
          </cell>
        </row>
        <row r="158">
          <cell r="J158">
            <v>265</v>
          </cell>
          <cell r="K158">
            <v>43119</v>
          </cell>
          <cell r="L158" t="str">
            <v>KATHIA LILIANA RODRIGUEZ CAMARGO</v>
          </cell>
          <cell r="M158">
            <v>145</v>
          </cell>
          <cell r="N158" t="str">
            <v>CONTRATO DE PRESTACION DE SERVICIOS PROFESIONALES</v>
          </cell>
          <cell r="O158">
            <v>235</v>
          </cell>
          <cell r="P158">
            <v>43119</v>
          </cell>
          <cell r="Q158"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58">
            <v>31518000</v>
          </cell>
          <cell r="S158">
            <v>0</v>
          </cell>
          <cell r="T158">
            <v>0</v>
          </cell>
          <cell r="U158">
            <v>31518000</v>
          </cell>
          <cell r="V158">
            <v>31518000</v>
          </cell>
        </row>
        <row r="159">
          <cell r="J159">
            <v>267</v>
          </cell>
          <cell r="K159">
            <v>43119</v>
          </cell>
          <cell r="L159" t="str">
            <v>ANDRES CAMILO RODRIGUEZ JOYA</v>
          </cell>
          <cell r="M159">
            <v>145</v>
          </cell>
          <cell r="N159" t="str">
            <v>CONTRATO DE PRESTACION DE SERVICIOS PROFESIONALES</v>
          </cell>
          <cell r="O159">
            <v>237</v>
          </cell>
          <cell r="P159">
            <v>43119</v>
          </cell>
          <cell r="Q159"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59">
            <v>37080000</v>
          </cell>
          <cell r="S159">
            <v>0</v>
          </cell>
          <cell r="T159">
            <v>0</v>
          </cell>
          <cell r="U159">
            <v>37080000</v>
          </cell>
          <cell r="V159">
            <v>37080000</v>
          </cell>
        </row>
        <row r="160">
          <cell r="J160">
            <v>268</v>
          </cell>
          <cell r="K160">
            <v>43119</v>
          </cell>
          <cell r="L160" t="str">
            <v>MARIENT LORENA PADILLA GARCIA</v>
          </cell>
          <cell r="M160">
            <v>145</v>
          </cell>
          <cell r="N160" t="str">
            <v>CONTRATO DE PRESTACION DE SERVICIOS PROFESIONALES</v>
          </cell>
          <cell r="O160">
            <v>238</v>
          </cell>
          <cell r="P160">
            <v>43119</v>
          </cell>
          <cell r="Q160"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60">
            <v>37080000</v>
          </cell>
          <cell r="S160">
            <v>0</v>
          </cell>
          <cell r="T160">
            <v>0</v>
          </cell>
          <cell r="U160">
            <v>37080000</v>
          </cell>
          <cell r="V160">
            <v>37080000</v>
          </cell>
        </row>
        <row r="161">
          <cell r="J161">
            <v>269</v>
          </cell>
          <cell r="K161">
            <v>43119</v>
          </cell>
          <cell r="L161" t="str">
            <v>VICTOR MANUEL LOPEZ RINCON</v>
          </cell>
          <cell r="M161">
            <v>145</v>
          </cell>
          <cell r="N161" t="str">
            <v>CONTRATO DE PRESTACION DE SERVICIOS PROFESIONALES</v>
          </cell>
          <cell r="O161">
            <v>239</v>
          </cell>
          <cell r="P161">
            <v>43119</v>
          </cell>
          <cell r="Q161"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v>
          </cell>
          <cell r="R161">
            <v>30220200</v>
          </cell>
          <cell r="S161">
            <v>0</v>
          </cell>
          <cell r="T161">
            <v>0</v>
          </cell>
          <cell r="U161">
            <v>30220200</v>
          </cell>
          <cell r="V161">
            <v>30220200</v>
          </cell>
        </row>
        <row r="162">
          <cell r="J162">
            <v>270</v>
          </cell>
          <cell r="K162">
            <v>43119</v>
          </cell>
          <cell r="L162" t="str">
            <v>RUBEN DARIO RODAS CHINGATE</v>
          </cell>
          <cell r="M162">
            <v>145</v>
          </cell>
          <cell r="N162" t="str">
            <v>CONTRATO DE PRESTACION DE SERVICIOS PROFESIONALES</v>
          </cell>
          <cell r="O162">
            <v>240</v>
          </cell>
          <cell r="P162">
            <v>43119</v>
          </cell>
          <cell r="Q162"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R162">
            <v>32960000</v>
          </cell>
          <cell r="S162">
            <v>0</v>
          </cell>
          <cell r="T162">
            <v>0</v>
          </cell>
          <cell r="U162">
            <v>32960000</v>
          </cell>
          <cell r="V162">
            <v>25956000</v>
          </cell>
        </row>
        <row r="163">
          <cell r="J163">
            <v>271</v>
          </cell>
          <cell r="K163">
            <v>43119</v>
          </cell>
          <cell r="L163" t="str">
            <v>JUDY  CRUZ PINEDA</v>
          </cell>
          <cell r="M163">
            <v>145</v>
          </cell>
          <cell r="N163" t="str">
            <v>CONTRATO DE PRESTACION DE SERVICIOS PROFESIONALES</v>
          </cell>
          <cell r="O163">
            <v>241</v>
          </cell>
          <cell r="P163">
            <v>43119</v>
          </cell>
          <cell r="Q163" t="str">
            <v>Prestación de servicios profesionales en el componente social de la Dirección de Reasentamientos de la Caja de la Vivienda Popular, para la ejecución de planes y programas agenciados por el área misional.</v>
          </cell>
          <cell r="R163">
            <v>41200000</v>
          </cell>
          <cell r="S163">
            <v>0</v>
          </cell>
          <cell r="T163">
            <v>0</v>
          </cell>
          <cell r="U163">
            <v>41200000</v>
          </cell>
          <cell r="V163">
            <v>25956000</v>
          </cell>
        </row>
        <row r="164">
          <cell r="J164">
            <v>274</v>
          </cell>
          <cell r="K164">
            <v>43122</v>
          </cell>
          <cell r="L164" t="str">
            <v>CESAR EDUARDO RODRIGUEZ PINZON</v>
          </cell>
          <cell r="M164">
            <v>145</v>
          </cell>
          <cell r="N164" t="str">
            <v>CONTRATO DE PRESTACION DE SERVICIOS PROFESIONALES</v>
          </cell>
          <cell r="O164">
            <v>244</v>
          </cell>
          <cell r="P164">
            <v>43122</v>
          </cell>
          <cell r="Q164" t="str">
            <v>Prestación de servicios profesionales en la Dirección de Reasentamientos de la Caja de la Vivienda Popular, apoyando los procesos y procedimientos que en materia jurídica se requieran.</v>
          </cell>
          <cell r="R164">
            <v>37080000</v>
          </cell>
          <cell r="S164">
            <v>0</v>
          </cell>
          <cell r="T164">
            <v>0</v>
          </cell>
          <cell r="U164">
            <v>37080000</v>
          </cell>
          <cell r="V164">
            <v>25956000</v>
          </cell>
        </row>
        <row r="165">
          <cell r="J165">
            <v>277</v>
          </cell>
          <cell r="K165">
            <v>43122</v>
          </cell>
          <cell r="L165" t="str">
            <v>ESPERANZA  CAJIAO MOSQUERA</v>
          </cell>
          <cell r="M165">
            <v>145</v>
          </cell>
          <cell r="N165" t="str">
            <v>CONTRATO DE PRESTACION DE SERVICIOS PROFESIONALES</v>
          </cell>
          <cell r="O165">
            <v>247</v>
          </cell>
          <cell r="P165">
            <v>43122</v>
          </cell>
          <cell r="Q165" t="str">
            <v>Prestación de servicios profesionales en el componente social de la Dirección de Reasentamientos de la Caja de la Vivienda Popular para la ejecución de planes y programas agenciados por el área misional.</v>
          </cell>
          <cell r="R165">
            <v>16995000</v>
          </cell>
          <cell r="S165">
            <v>0</v>
          </cell>
          <cell r="T165">
            <v>0</v>
          </cell>
          <cell r="U165">
            <v>16995000</v>
          </cell>
          <cell r="V165">
            <v>16995000</v>
          </cell>
        </row>
        <row r="166">
          <cell r="J166">
            <v>278</v>
          </cell>
          <cell r="K166">
            <v>43122</v>
          </cell>
          <cell r="L166" t="str">
            <v>MARIELA  GARCIA PINZON</v>
          </cell>
          <cell r="M166">
            <v>145</v>
          </cell>
          <cell r="N166" t="str">
            <v>CONTRATO DE PRESTACION DE SERVICIOS PROFESIONALES</v>
          </cell>
          <cell r="O166">
            <v>248</v>
          </cell>
          <cell r="P166">
            <v>43122</v>
          </cell>
          <cell r="Q166"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v>
          </cell>
          <cell r="R166">
            <v>43260000</v>
          </cell>
          <cell r="S166">
            <v>0</v>
          </cell>
          <cell r="T166">
            <v>0</v>
          </cell>
          <cell r="U166">
            <v>43260000</v>
          </cell>
          <cell r="V166">
            <v>43260000</v>
          </cell>
        </row>
        <row r="167">
          <cell r="J167">
            <v>281</v>
          </cell>
          <cell r="K167">
            <v>43122</v>
          </cell>
          <cell r="L167" t="str">
            <v>DIEGO FERNANDO CUBIDES REINA</v>
          </cell>
          <cell r="M167">
            <v>148</v>
          </cell>
          <cell r="N167" t="str">
            <v>CONTRATO DE PRESTACION DE SERVICIOS DE APOYO A LA GESTION</v>
          </cell>
          <cell r="O167">
            <v>251</v>
          </cell>
          <cell r="P167">
            <v>43122</v>
          </cell>
          <cell r="Q167" t="str">
            <v>Prestación de servicios profesionales de apoyo financiero respecto a la programación, control presupuestal y acciones de soporte en la Dirección de Reasentamientos de la Caja de la Vivienda Popular.</v>
          </cell>
          <cell r="R167">
            <v>41200000</v>
          </cell>
          <cell r="S167">
            <v>41200000</v>
          </cell>
          <cell r="T167">
            <v>0</v>
          </cell>
          <cell r="U167">
            <v>0</v>
          </cell>
          <cell r="V167">
            <v>0</v>
          </cell>
        </row>
        <row r="168">
          <cell r="J168">
            <v>282</v>
          </cell>
          <cell r="K168">
            <v>43122</v>
          </cell>
          <cell r="L168" t="str">
            <v>DIANA CAROLINA FABRA GUTIERREZ</v>
          </cell>
          <cell r="M168">
            <v>145</v>
          </cell>
          <cell r="N168" t="str">
            <v>CONTRATO DE PRESTACION DE SERVICIOS PROFESIONALES</v>
          </cell>
          <cell r="O168">
            <v>252</v>
          </cell>
          <cell r="P168">
            <v>43122</v>
          </cell>
          <cell r="Q168" t="str">
            <v>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v>
          </cell>
          <cell r="R168">
            <v>20394000</v>
          </cell>
          <cell r="S168">
            <v>0</v>
          </cell>
          <cell r="T168">
            <v>0</v>
          </cell>
          <cell r="U168">
            <v>20394000</v>
          </cell>
          <cell r="V168">
            <v>20394000</v>
          </cell>
        </row>
        <row r="169">
          <cell r="J169">
            <v>283</v>
          </cell>
          <cell r="K169">
            <v>43122</v>
          </cell>
          <cell r="L169" t="str">
            <v>SANDRA MIREYA GUTIERREZ LIEVANO</v>
          </cell>
          <cell r="M169">
            <v>148</v>
          </cell>
          <cell r="N169" t="str">
            <v>CONTRATO DE PRESTACION DE SERVICIOS DE APOYO A LA GESTION</v>
          </cell>
          <cell r="O169">
            <v>253</v>
          </cell>
          <cell r="P169">
            <v>43122</v>
          </cell>
          <cell r="Q169" t="str">
            <v>Prestación de servicios de apoyo a la gestión en lo relacionado con el manejo de archivo y gestión documental generado desde la Dirección de Reasentamientos de la Caja de la Vivienda Popular.</v>
          </cell>
          <cell r="R169">
            <v>27192000</v>
          </cell>
          <cell r="S169">
            <v>0</v>
          </cell>
          <cell r="T169">
            <v>0</v>
          </cell>
          <cell r="U169">
            <v>27192000</v>
          </cell>
          <cell r="V169">
            <v>15573600</v>
          </cell>
        </row>
        <row r="170">
          <cell r="J170">
            <v>286</v>
          </cell>
          <cell r="K170">
            <v>43122</v>
          </cell>
          <cell r="L170" t="str">
            <v>ANDREA MARGARITA BERNAL VERGARA</v>
          </cell>
          <cell r="M170">
            <v>145</v>
          </cell>
          <cell r="N170" t="str">
            <v>CONTRATO DE PRESTACION DE SERVICIOS PROFESIONALES</v>
          </cell>
          <cell r="O170">
            <v>256</v>
          </cell>
          <cell r="P170">
            <v>43122</v>
          </cell>
          <cell r="Q170" t="str">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70">
            <v>24720000</v>
          </cell>
          <cell r="S170">
            <v>0</v>
          </cell>
          <cell r="T170">
            <v>0</v>
          </cell>
          <cell r="U170">
            <v>24720000</v>
          </cell>
          <cell r="V170">
            <v>24720000</v>
          </cell>
        </row>
        <row r="171">
          <cell r="J171">
            <v>287</v>
          </cell>
          <cell r="K171">
            <v>43122</v>
          </cell>
          <cell r="L171" t="str">
            <v>DIEGO FERNANDO CUBIDES REINA</v>
          </cell>
          <cell r="M171">
            <v>145</v>
          </cell>
          <cell r="N171" t="str">
            <v>CONTRATO DE PRESTACION DE SERVICIOS PROFESIONALES</v>
          </cell>
          <cell r="O171">
            <v>251</v>
          </cell>
          <cell r="P171">
            <v>43122</v>
          </cell>
          <cell r="Q171" t="str">
            <v>Prestación de servicios profesionales de apoyo financiero respecto a la programación, control presupuestal y acciones de soporte en la Dirección de Reasentamientos de la Caja de la Vivienda Popular.</v>
          </cell>
          <cell r="R171">
            <v>41200000</v>
          </cell>
          <cell r="S171">
            <v>0</v>
          </cell>
          <cell r="T171">
            <v>0</v>
          </cell>
          <cell r="U171">
            <v>41200000</v>
          </cell>
          <cell r="V171">
            <v>25956000</v>
          </cell>
        </row>
        <row r="172">
          <cell r="J172">
            <v>288</v>
          </cell>
          <cell r="K172">
            <v>43122</v>
          </cell>
          <cell r="L172" t="str">
            <v>CLAUDIA BIBIANA ESPINOSA HORTUA</v>
          </cell>
          <cell r="M172">
            <v>148</v>
          </cell>
          <cell r="N172" t="str">
            <v>CONTRATO DE PRESTACION DE SERVICIOS DE APOYO A LA GESTION</v>
          </cell>
          <cell r="O172">
            <v>257</v>
          </cell>
          <cell r="P172">
            <v>43122</v>
          </cell>
          <cell r="Q172" t="str">
            <v>Prestación de servicios de apoyo a la gestión en lo relacionado con los trámites requeridos para el manejo de archivo y gestión documental generado desde la Dirección de Reasentamientos de la Caja de la Vivienda Popular</v>
          </cell>
          <cell r="R172">
            <v>19261000</v>
          </cell>
          <cell r="S172">
            <v>0</v>
          </cell>
          <cell r="T172">
            <v>0</v>
          </cell>
          <cell r="U172">
            <v>19261000</v>
          </cell>
          <cell r="V172">
            <v>11031300</v>
          </cell>
        </row>
        <row r="173">
          <cell r="J173">
            <v>289</v>
          </cell>
          <cell r="K173">
            <v>43122</v>
          </cell>
          <cell r="L173" t="str">
            <v>FABIAN RICARDO MEJIA OSPINA</v>
          </cell>
          <cell r="M173">
            <v>145</v>
          </cell>
          <cell r="N173" t="str">
            <v>CONTRATO DE PRESTACION DE SERVICIOS PROFESIONALES</v>
          </cell>
          <cell r="O173">
            <v>258</v>
          </cell>
          <cell r="P173">
            <v>43122</v>
          </cell>
          <cell r="Q173" t="str">
            <v>Prestación de servicios profesionales a la Dirección de Reasentamientos para la puesta en marcha del Sistema de Información Geográfica, el uso y adopción de tecnologías para la gestión de Información Georeferenciada del área misonal.</v>
          </cell>
          <cell r="R173">
            <v>66950000</v>
          </cell>
          <cell r="S173">
            <v>0</v>
          </cell>
          <cell r="T173">
            <v>0</v>
          </cell>
          <cell r="U173">
            <v>66950000</v>
          </cell>
          <cell r="V173">
            <v>41955333</v>
          </cell>
        </row>
        <row r="174">
          <cell r="J174">
            <v>290</v>
          </cell>
          <cell r="K174">
            <v>43122</v>
          </cell>
          <cell r="L174" t="str">
            <v>JANETH VANESSA DIAZ CAMACHO</v>
          </cell>
          <cell r="M174">
            <v>148</v>
          </cell>
          <cell r="N174" t="str">
            <v>CONTRATO DE PRESTACION DE SERVICIOS DE APOYO A LA GESTION</v>
          </cell>
          <cell r="O174">
            <v>259</v>
          </cell>
          <cell r="P174">
            <v>43122</v>
          </cell>
          <cell r="Q174" t="str">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v>
          </cell>
          <cell r="R174">
            <v>9270000</v>
          </cell>
          <cell r="S174">
            <v>0</v>
          </cell>
          <cell r="T174">
            <v>0</v>
          </cell>
          <cell r="U174">
            <v>9270000</v>
          </cell>
          <cell r="V174">
            <v>9270000</v>
          </cell>
        </row>
        <row r="175">
          <cell r="J175">
            <v>294</v>
          </cell>
          <cell r="K175">
            <v>43122</v>
          </cell>
          <cell r="L175" t="str">
            <v>JHON CARLOS RINCON AGREDO</v>
          </cell>
          <cell r="M175">
            <v>145</v>
          </cell>
          <cell r="N175" t="str">
            <v>CONTRATO DE PRESTACION DE SERVICIOS PROFESIONALES</v>
          </cell>
          <cell r="O175">
            <v>261</v>
          </cell>
          <cell r="P175">
            <v>43122</v>
          </cell>
          <cell r="Q175" t="str">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v>
          </cell>
          <cell r="R175">
            <v>9772125</v>
          </cell>
          <cell r="S175">
            <v>0</v>
          </cell>
          <cell r="T175">
            <v>0</v>
          </cell>
          <cell r="U175">
            <v>9772125</v>
          </cell>
          <cell r="V175">
            <v>5596787</v>
          </cell>
        </row>
        <row r="176">
          <cell r="J176">
            <v>295</v>
          </cell>
          <cell r="K176">
            <v>43122</v>
          </cell>
          <cell r="L176" t="str">
            <v>MARIA ELSA SICHACA CASTELBLANCO</v>
          </cell>
          <cell r="M176">
            <v>145</v>
          </cell>
          <cell r="N176" t="str">
            <v>CONTRATO DE PRESTACION DE SERVICIOS PROFESIONALES</v>
          </cell>
          <cell r="O176">
            <v>263</v>
          </cell>
          <cell r="P176">
            <v>43122</v>
          </cell>
          <cell r="Q176" t="str">
            <v>Prestación de servicios profesionales para la ejecución de actividades a cargo del componente social y en especial lo relativo a la estrategia de Resiliencia y Sostenibilidad de la comunidad, en la Dirección de Reasentamientos de la caja de la Vivienda Popular.</v>
          </cell>
          <cell r="R176">
            <v>61800000</v>
          </cell>
          <cell r="S176">
            <v>0</v>
          </cell>
          <cell r="T176">
            <v>0</v>
          </cell>
          <cell r="U176">
            <v>61800000</v>
          </cell>
          <cell r="V176">
            <v>38934000</v>
          </cell>
        </row>
        <row r="177">
          <cell r="J177">
            <v>298</v>
          </cell>
          <cell r="K177">
            <v>43122</v>
          </cell>
          <cell r="L177" t="str">
            <v>MIGUEL DAVID PERDOMO DURAN</v>
          </cell>
          <cell r="M177">
            <v>145</v>
          </cell>
          <cell r="N177" t="str">
            <v>CONTRATO DE PRESTACION DE SERVICIOS PROFESIONALES</v>
          </cell>
          <cell r="O177">
            <v>271</v>
          </cell>
          <cell r="P177">
            <v>43122</v>
          </cell>
          <cell r="Q177" t="str">
            <v>Prestación de servicios profesionales, para el acompañamiento jurídico, en los procesos y procedimientos establecidos frente a la ejecución del programa misional de la Dirección de Reasentamientos de la Caja de la Vivienda Popular</v>
          </cell>
          <cell r="R177">
            <v>31981500</v>
          </cell>
          <cell r="S177">
            <v>0</v>
          </cell>
          <cell r="T177">
            <v>0</v>
          </cell>
          <cell r="U177">
            <v>31981500</v>
          </cell>
          <cell r="V177">
            <v>22268600</v>
          </cell>
        </row>
        <row r="178">
          <cell r="J178">
            <v>299</v>
          </cell>
          <cell r="K178">
            <v>43122</v>
          </cell>
          <cell r="L178" t="str">
            <v>JESUS ALIRIO CHIRIMIA PERTIAGA</v>
          </cell>
          <cell r="M178">
            <v>145</v>
          </cell>
          <cell r="N178" t="str">
            <v>CONTRATO DE PRESTACION DE SERVICIOS PROFESIONALES</v>
          </cell>
          <cell r="O178">
            <v>273</v>
          </cell>
          <cell r="P178">
            <v>43122</v>
          </cell>
          <cell r="Q178" t="str">
            <v>Prestación de servicios profesionales para la ejecución de actividades a cargo del componente social y en especial lo relativo a la atencion y acompañamiento a las comunidades indigenas beneficiarias del programa de reasentamientos agenciado por la Direccion de Reasentamientos de la caja de la Vivienda Popular.</v>
          </cell>
          <cell r="R178">
            <v>33990000</v>
          </cell>
          <cell r="S178">
            <v>0</v>
          </cell>
          <cell r="T178">
            <v>0</v>
          </cell>
          <cell r="U178">
            <v>33990000</v>
          </cell>
          <cell r="V178">
            <v>21300400</v>
          </cell>
        </row>
        <row r="179">
          <cell r="J179">
            <v>303</v>
          </cell>
          <cell r="K179">
            <v>43122</v>
          </cell>
          <cell r="L179" t="str">
            <v>JOVITA IDALBA SANABRIA CHARRY</v>
          </cell>
          <cell r="M179">
            <v>145</v>
          </cell>
          <cell r="N179" t="str">
            <v>CONTRATO DE PRESTACION DE SERVICIOS PROFESIONALES</v>
          </cell>
          <cell r="O179">
            <v>269</v>
          </cell>
          <cell r="P179">
            <v>43122</v>
          </cell>
          <cell r="Q179" t="str">
            <v>Prestación de servicios profesionales, como apoyo jurídico en las actuaciones propias que requiera la Dirección de Reasentamientos de la Caja de la Vivienda Popular en la ejecución del programa de Reasentamientos.</v>
          </cell>
          <cell r="R179">
            <v>36771000</v>
          </cell>
          <cell r="S179">
            <v>0</v>
          </cell>
          <cell r="T179">
            <v>0</v>
          </cell>
          <cell r="U179">
            <v>36771000</v>
          </cell>
          <cell r="V179">
            <v>32918800</v>
          </cell>
        </row>
        <row r="180">
          <cell r="J180">
            <v>309</v>
          </cell>
          <cell r="K180">
            <v>43122</v>
          </cell>
          <cell r="L180" t="str">
            <v>MANUEL LEONARDO TELLEZ BELTRAN</v>
          </cell>
          <cell r="M180">
            <v>145</v>
          </cell>
          <cell r="N180" t="str">
            <v>CONTRATO DE PRESTACION DE SERVICIOS PROFESIONALES</v>
          </cell>
          <cell r="O180">
            <v>280</v>
          </cell>
          <cell r="P180">
            <v>43122</v>
          </cell>
          <cell r="Q180" t="str">
            <v>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v>
          </cell>
          <cell r="R180">
            <v>68425000</v>
          </cell>
          <cell r="S180">
            <v>0</v>
          </cell>
          <cell r="T180">
            <v>0</v>
          </cell>
          <cell r="U180">
            <v>68425000</v>
          </cell>
          <cell r="V180">
            <v>34113334</v>
          </cell>
        </row>
        <row r="181">
          <cell r="J181">
            <v>320</v>
          </cell>
          <cell r="K181">
            <v>43123</v>
          </cell>
          <cell r="L181" t="str">
            <v>SONIA MILENA PINZON GARZON</v>
          </cell>
          <cell r="M181">
            <v>145</v>
          </cell>
          <cell r="N181" t="str">
            <v>CONTRATO DE PRESTACION DE SERVICIOS PROFESIONALES</v>
          </cell>
          <cell r="O181">
            <v>272</v>
          </cell>
          <cell r="P181">
            <v>43123</v>
          </cell>
          <cell r="Q181"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1">
            <v>24720000</v>
          </cell>
          <cell r="S181">
            <v>0</v>
          </cell>
          <cell r="T181">
            <v>0</v>
          </cell>
          <cell r="U181">
            <v>24720000</v>
          </cell>
          <cell r="V181">
            <v>24720000</v>
          </cell>
        </row>
        <row r="182">
          <cell r="J182">
            <v>321</v>
          </cell>
          <cell r="K182">
            <v>43123</v>
          </cell>
          <cell r="L182" t="str">
            <v>DORIS JOHANNA NOVOA LOZANO</v>
          </cell>
          <cell r="M182">
            <v>145</v>
          </cell>
          <cell r="N182" t="str">
            <v>CONTRATO DE PRESTACION DE SERVICIOS PROFESIONALES</v>
          </cell>
          <cell r="O182">
            <v>262</v>
          </cell>
          <cell r="P182">
            <v>43123</v>
          </cell>
          <cell r="Q182"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2">
            <v>33990000</v>
          </cell>
          <cell r="S182">
            <v>0</v>
          </cell>
          <cell r="T182">
            <v>0</v>
          </cell>
          <cell r="U182">
            <v>33990000</v>
          </cell>
          <cell r="V182">
            <v>33990000</v>
          </cell>
        </row>
        <row r="183">
          <cell r="J183">
            <v>322</v>
          </cell>
          <cell r="K183">
            <v>43123</v>
          </cell>
          <cell r="L183" t="str">
            <v>INGRID ESTEFANY YAGUE RODRIGUEZ</v>
          </cell>
          <cell r="M183">
            <v>145</v>
          </cell>
          <cell r="N183" t="str">
            <v>CONTRATO DE PRESTACION DE SERVICIOS PROFESIONALES</v>
          </cell>
          <cell r="O183">
            <v>260</v>
          </cell>
          <cell r="P183">
            <v>43123</v>
          </cell>
          <cell r="Q183"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3">
            <v>20394000</v>
          </cell>
          <cell r="S183">
            <v>0</v>
          </cell>
          <cell r="T183">
            <v>0</v>
          </cell>
          <cell r="U183">
            <v>20394000</v>
          </cell>
          <cell r="V183">
            <v>20394000</v>
          </cell>
        </row>
        <row r="184">
          <cell r="J184">
            <v>325</v>
          </cell>
          <cell r="K184">
            <v>43123</v>
          </cell>
          <cell r="L184" t="str">
            <v>ANGELICA MARIA BARREIRO GARRIDO</v>
          </cell>
          <cell r="M184">
            <v>145</v>
          </cell>
          <cell r="N184" t="str">
            <v>CONTRATO DE PRESTACION DE SERVICIOS PROFESIONALES</v>
          </cell>
          <cell r="O184">
            <v>286</v>
          </cell>
          <cell r="P184">
            <v>43123</v>
          </cell>
          <cell r="Q184"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R184">
            <v>41200000</v>
          </cell>
          <cell r="S184">
            <v>0</v>
          </cell>
          <cell r="T184">
            <v>0</v>
          </cell>
          <cell r="U184">
            <v>41200000</v>
          </cell>
          <cell r="V184">
            <v>25818667</v>
          </cell>
        </row>
        <row r="185">
          <cell r="J185">
            <v>330</v>
          </cell>
          <cell r="K185">
            <v>43123</v>
          </cell>
          <cell r="L185" t="str">
            <v>VALENTINA  LOMANTO PERDOMO</v>
          </cell>
          <cell r="M185">
            <v>145</v>
          </cell>
          <cell r="N185" t="str">
            <v>CONTRATO DE PRESTACION DE SERVICIOS PROFESIONALES</v>
          </cell>
          <cell r="O185">
            <v>289</v>
          </cell>
          <cell r="P185">
            <v>43123</v>
          </cell>
          <cell r="Q185" t="str">
            <v>Prestación de servicios profesionales para la ejecución de actividades a cargo del componente social y en especial lo relativo a la estrategia de Resiliencia y Sostenibilidad de la comunidad, en la Dirección de Reasentamientos de la Caja de la Vivienda Popular</v>
          </cell>
          <cell r="R185">
            <v>39088500</v>
          </cell>
          <cell r="S185">
            <v>0</v>
          </cell>
          <cell r="T185">
            <v>0</v>
          </cell>
          <cell r="U185">
            <v>39088500</v>
          </cell>
          <cell r="V185">
            <v>22268600</v>
          </cell>
        </row>
        <row r="186">
          <cell r="J186">
            <v>334</v>
          </cell>
          <cell r="K186">
            <v>43123</v>
          </cell>
          <cell r="L186" t="str">
            <v>FRANCISCO EUGENIO SUPELANO SUAREZ</v>
          </cell>
          <cell r="M186">
            <v>145</v>
          </cell>
          <cell r="N186" t="str">
            <v>CONTRATO DE PRESTACION DE SERVICIOS PROFESIONALES</v>
          </cell>
          <cell r="O186">
            <v>339</v>
          </cell>
          <cell r="P186">
            <v>43123</v>
          </cell>
          <cell r="Q186"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6">
            <v>36050000</v>
          </cell>
          <cell r="S186">
            <v>0</v>
          </cell>
          <cell r="T186">
            <v>0</v>
          </cell>
          <cell r="U186">
            <v>36050000</v>
          </cell>
          <cell r="V186">
            <v>36050000</v>
          </cell>
        </row>
        <row r="187">
          <cell r="J187">
            <v>335</v>
          </cell>
          <cell r="K187">
            <v>43123</v>
          </cell>
          <cell r="L187" t="str">
            <v>LUZ MARINA MEDINA DURAN</v>
          </cell>
          <cell r="M187">
            <v>145</v>
          </cell>
          <cell r="N187" t="str">
            <v>CONTRATO DE PRESTACION DE SERVICIOS PROFESIONALES</v>
          </cell>
          <cell r="O187">
            <v>340</v>
          </cell>
          <cell r="P187">
            <v>43123</v>
          </cell>
          <cell r="Q187"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7">
            <v>37080000</v>
          </cell>
          <cell r="S187">
            <v>0</v>
          </cell>
          <cell r="T187">
            <v>0</v>
          </cell>
          <cell r="U187">
            <v>37080000</v>
          </cell>
          <cell r="V187">
            <v>37080000</v>
          </cell>
        </row>
        <row r="188">
          <cell r="J188">
            <v>336</v>
          </cell>
          <cell r="K188">
            <v>43123</v>
          </cell>
          <cell r="L188" t="str">
            <v>BLANCA CECILIA QUINTERO CHAVARRO</v>
          </cell>
          <cell r="M188">
            <v>145</v>
          </cell>
          <cell r="N188" t="str">
            <v>CONTRATO DE PRESTACION DE SERVICIOS PROFESIONALES</v>
          </cell>
          <cell r="O188">
            <v>341</v>
          </cell>
          <cell r="P188">
            <v>43123</v>
          </cell>
          <cell r="Q188"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8">
            <v>16995000</v>
          </cell>
          <cell r="S188">
            <v>0</v>
          </cell>
          <cell r="T188">
            <v>0</v>
          </cell>
          <cell r="U188">
            <v>16995000</v>
          </cell>
          <cell r="V188">
            <v>16995000</v>
          </cell>
        </row>
        <row r="189">
          <cell r="J189">
            <v>337</v>
          </cell>
          <cell r="K189">
            <v>43123</v>
          </cell>
          <cell r="L189" t="str">
            <v>LIZETH YANIRA ARDILA MUÑOZ</v>
          </cell>
          <cell r="M189">
            <v>145</v>
          </cell>
          <cell r="N189" t="str">
            <v>CONTRATO DE PRESTACION DE SERVICIOS PROFESIONALES</v>
          </cell>
          <cell r="O189">
            <v>342</v>
          </cell>
          <cell r="P189">
            <v>43123</v>
          </cell>
          <cell r="Q189"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89">
            <v>21321000</v>
          </cell>
          <cell r="S189">
            <v>0</v>
          </cell>
          <cell r="T189">
            <v>0</v>
          </cell>
          <cell r="U189">
            <v>21321000</v>
          </cell>
          <cell r="V189">
            <v>21321000</v>
          </cell>
        </row>
        <row r="190">
          <cell r="J190">
            <v>338</v>
          </cell>
          <cell r="K190">
            <v>43123</v>
          </cell>
          <cell r="L190" t="str">
            <v>ALEXANDER  MARTINEZ</v>
          </cell>
          <cell r="M190">
            <v>148</v>
          </cell>
          <cell r="N190" t="str">
            <v>CONTRATO DE PRESTACION DE SERVICIOS DE APOYO A LA GESTION</v>
          </cell>
          <cell r="O190">
            <v>343</v>
          </cell>
          <cell r="P190">
            <v>43123</v>
          </cell>
          <cell r="Q190" t="str">
            <v>Prestación de servicios de apoyo a la gestión en lo relacionado con los trámites requeridos para el manejo de archivo y gestión documental generado desde la Dirección de Reasentamientos de la Caja de la Vivienda Popular.</v>
          </cell>
          <cell r="R190">
            <v>19261000</v>
          </cell>
          <cell r="S190">
            <v>0</v>
          </cell>
          <cell r="T190">
            <v>0</v>
          </cell>
          <cell r="U190">
            <v>19261000</v>
          </cell>
          <cell r="V190">
            <v>10856200</v>
          </cell>
        </row>
        <row r="191">
          <cell r="J191">
            <v>339</v>
          </cell>
          <cell r="K191">
            <v>43123</v>
          </cell>
          <cell r="L191" t="str">
            <v>DORIAN DE JESUS COQUIES MAESTRE</v>
          </cell>
          <cell r="M191">
            <v>145</v>
          </cell>
          <cell r="N191" t="str">
            <v>CONTRATO DE PRESTACION DE SERVICIOS PROFESIONALES</v>
          </cell>
          <cell r="O191">
            <v>344</v>
          </cell>
          <cell r="P191">
            <v>43123</v>
          </cell>
          <cell r="Q191"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91">
            <v>30220200</v>
          </cell>
          <cell r="S191">
            <v>0</v>
          </cell>
          <cell r="T191">
            <v>0</v>
          </cell>
          <cell r="U191">
            <v>30220200</v>
          </cell>
          <cell r="V191">
            <v>30220200</v>
          </cell>
        </row>
        <row r="192">
          <cell r="J192">
            <v>340</v>
          </cell>
          <cell r="K192">
            <v>43123</v>
          </cell>
          <cell r="L192" t="str">
            <v>JUAN PABLO MOJICA FRIEDE</v>
          </cell>
          <cell r="M192">
            <v>145</v>
          </cell>
          <cell r="N192" t="str">
            <v>CONTRATO DE PRESTACION DE SERVICIOS PROFESIONALES</v>
          </cell>
          <cell r="O192">
            <v>345</v>
          </cell>
          <cell r="P192">
            <v>43123</v>
          </cell>
          <cell r="Q192"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192">
            <v>21321000</v>
          </cell>
          <cell r="S192">
            <v>0</v>
          </cell>
          <cell r="T192">
            <v>0</v>
          </cell>
          <cell r="U192">
            <v>21321000</v>
          </cell>
          <cell r="V192">
            <v>21321000</v>
          </cell>
        </row>
        <row r="193">
          <cell r="J193">
            <v>341</v>
          </cell>
          <cell r="K193">
            <v>43123</v>
          </cell>
          <cell r="L193" t="str">
            <v>CAMILA ANDREA HUERTAS HUERTAS</v>
          </cell>
          <cell r="M193">
            <v>148</v>
          </cell>
          <cell r="N193" t="str">
            <v>CONTRATO DE PRESTACION DE SERVICIOS DE APOYO A LA GESTION</v>
          </cell>
          <cell r="O193">
            <v>292</v>
          </cell>
          <cell r="P193">
            <v>43123</v>
          </cell>
          <cell r="Q193" t="str">
            <v>Prestación de servicios de apoyo a la gestión en lo relacionado con el manejo de archivo y gestión documental generado desde la Dirección de Reasentamientos de la Caja de la Vivienda Popular.</v>
          </cell>
          <cell r="R193">
            <v>27192000</v>
          </cell>
          <cell r="S193">
            <v>0</v>
          </cell>
          <cell r="T193">
            <v>0</v>
          </cell>
          <cell r="U193">
            <v>27192000</v>
          </cell>
          <cell r="V193">
            <v>15408800</v>
          </cell>
        </row>
        <row r="194">
          <cell r="J194">
            <v>342</v>
          </cell>
          <cell r="K194">
            <v>43123</v>
          </cell>
          <cell r="L194" t="str">
            <v>ANA MARÍA ESCUDERO ORTIZ</v>
          </cell>
          <cell r="M194">
            <v>145</v>
          </cell>
          <cell r="N194" t="str">
            <v>CONTRATO DE PRESTACION DE SERVICIOS PROFESIONALES</v>
          </cell>
          <cell r="O194">
            <v>346</v>
          </cell>
          <cell r="P194">
            <v>43123</v>
          </cell>
          <cell r="Q194" t="str">
            <v>Prestación de servicios profesionales en el componente social de la Dirección de Reasentamientos de la Caja de la Vivienda Popular, para la ejecución de planes y programas agenciados por el área misional.</v>
          </cell>
          <cell r="R194">
            <v>31981500</v>
          </cell>
          <cell r="S194">
            <v>0</v>
          </cell>
          <cell r="T194">
            <v>0</v>
          </cell>
          <cell r="U194">
            <v>31981500</v>
          </cell>
          <cell r="V194">
            <v>21913250</v>
          </cell>
        </row>
        <row r="195">
          <cell r="J195">
            <v>344</v>
          </cell>
          <cell r="K195">
            <v>43123</v>
          </cell>
          <cell r="L195" t="str">
            <v>FABIAN DANILO CAICEDO MOLINA</v>
          </cell>
          <cell r="M195">
            <v>148</v>
          </cell>
          <cell r="N195" t="str">
            <v>CONTRATO DE PRESTACION DE SERVICIOS DE APOYO A LA GESTION</v>
          </cell>
          <cell r="O195">
            <v>293</v>
          </cell>
          <cell r="P195">
            <v>43123</v>
          </cell>
          <cell r="Q195" t="str">
            <v>Prestación de servicios de apoyo a la gestión en la implementación de nuevos módulos para el Sistema de Información Geográfica de la Dirección de Reasentamientos de la Caja de la Vivienda Popular</v>
          </cell>
          <cell r="R195">
            <v>24308000</v>
          </cell>
          <cell r="S195">
            <v>0</v>
          </cell>
          <cell r="T195">
            <v>0</v>
          </cell>
          <cell r="U195">
            <v>24308000</v>
          </cell>
          <cell r="V195">
            <v>18939983</v>
          </cell>
        </row>
        <row r="196">
          <cell r="J196">
            <v>345</v>
          </cell>
          <cell r="K196">
            <v>43123</v>
          </cell>
          <cell r="L196" t="str">
            <v>WILLIAM FERNANDO HURTADO FERNANDEZ</v>
          </cell>
          <cell r="M196">
            <v>145</v>
          </cell>
          <cell r="N196" t="str">
            <v>CONTRATO DE PRESTACION DE SERVICIOS PROFESIONALES</v>
          </cell>
          <cell r="O196">
            <v>348</v>
          </cell>
          <cell r="P196">
            <v>43123</v>
          </cell>
          <cell r="Q196" t="str">
            <v>PRESTACIÓN DE SERVICIOS PROFESIONALES EN LOS PROCEDIMIENTOS A CARGO DE LA DIRECCIÓN DE REASENTAMIENTO PARA EL CUMPLIMIENTO DE SUS OBJETIVOS.</v>
          </cell>
          <cell r="R196">
            <v>20394000</v>
          </cell>
          <cell r="S196">
            <v>0</v>
          </cell>
          <cell r="T196">
            <v>0</v>
          </cell>
          <cell r="U196">
            <v>20394000</v>
          </cell>
          <cell r="V196">
            <v>20394000</v>
          </cell>
        </row>
        <row r="197">
          <cell r="J197">
            <v>346</v>
          </cell>
          <cell r="K197">
            <v>43123</v>
          </cell>
          <cell r="L197" t="str">
            <v>LINA ANDREA GARCIA MUÑOZ</v>
          </cell>
          <cell r="M197">
            <v>145</v>
          </cell>
          <cell r="N197" t="str">
            <v>CONTRATO DE PRESTACION DE SERVICIOS PROFESIONALES</v>
          </cell>
          <cell r="O197">
            <v>294</v>
          </cell>
          <cell r="P197">
            <v>43123</v>
          </cell>
          <cell r="Q197"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R197">
            <v>27192000</v>
          </cell>
          <cell r="S197">
            <v>0</v>
          </cell>
          <cell r="T197">
            <v>0</v>
          </cell>
          <cell r="U197">
            <v>27192000</v>
          </cell>
          <cell r="V197">
            <v>21187100</v>
          </cell>
        </row>
        <row r="198">
          <cell r="J198">
            <v>347</v>
          </cell>
          <cell r="K198">
            <v>43123</v>
          </cell>
          <cell r="L198" t="str">
            <v>LUIS JORGE PATAQUIVA SILVA</v>
          </cell>
          <cell r="M198">
            <v>145</v>
          </cell>
          <cell r="N198" t="str">
            <v>CONTRATO DE PRESTACION DE SERVICIOS PROFESIONALES</v>
          </cell>
          <cell r="O198">
            <v>349</v>
          </cell>
          <cell r="P198">
            <v>43123</v>
          </cell>
          <cell r="Q198" t="str">
            <v>PRESTACIÓN DE SERVICIOS PROFESIONALES A LA DIRECCIÓN DE REASENTAMIENTOS DE LA CAJA DE LA VIVIENDA POPULAR, APOYANDO EL SEGUIMIENTO ADMINISTRATIVO Y FINANCIERO EN RELACIÓN CON LOS PROCESOS Y PROCEDIMIENTOS DEL ÁREA MISIONAL.</v>
          </cell>
          <cell r="R198">
            <v>82400000</v>
          </cell>
          <cell r="S198">
            <v>0</v>
          </cell>
          <cell r="T198">
            <v>0</v>
          </cell>
          <cell r="U198">
            <v>82400000</v>
          </cell>
          <cell r="V198">
            <v>48341333</v>
          </cell>
        </row>
        <row r="199">
          <cell r="J199">
            <v>348</v>
          </cell>
          <cell r="K199">
            <v>43123</v>
          </cell>
          <cell r="L199" t="str">
            <v>MARGARITA MARIA GIRALDO CALDERON</v>
          </cell>
          <cell r="M199">
            <v>145</v>
          </cell>
          <cell r="N199" t="str">
            <v>CONTRATO DE PRESTACION DE SERVICIOS PROFESIONALES</v>
          </cell>
          <cell r="O199">
            <v>295</v>
          </cell>
          <cell r="P199">
            <v>43123</v>
          </cell>
          <cell r="Q199" t="str">
            <v>Prestación de servicios profesionales en la Dirección de Reasentamientos de la Caja de la Vivienda Popular, apoyando la ejecución de las diferentes actividades relacionadas con el componente técnico del área misional</v>
          </cell>
          <cell r="R199">
            <v>37080000</v>
          </cell>
          <cell r="S199">
            <v>0</v>
          </cell>
          <cell r="T199">
            <v>0</v>
          </cell>
          <cell r="U199">
            <v>37080000</v>
          </cell>
          <cell r="V199">
            <v>22385333</v>
          </cell>
        </row>
        <row r="200">
          <cell r="J200">
            <v>349</v>
          </cell>
          <cell r="K200">
            <v>43123</v>
          </cell>
          <cell r="L200" t="str">
            <v>MARIA XIMENA AVILA ACOSTA</v>
          </cell>
          <cell r="M200">
            <v>148</v>
          </cell>
          <cell r="N200" t="str">
            <v>CONTRATO DE PRESTACION DE SERVICIOS DE APOYO A LA GESTION</v>
          </cell>
          <cell r="O200">
            <v>350</v>
          </cell>
          <cell r="P200">
            <v>43123</v>
          </cell>
          <cell r="Q200" t="str">
            <v>Prestar sus servicios de apoyo a la gestión en la Dirección de Reasentamientos, brindando acompañamiento al componente social desarrollado en el marco de las acciones misionales a cargo de la entidad.</v>
          </cell>
          <cell r="R200">
            <v>30385000</v>
          </cell>
          <cell r="S200">
            <v>0</v>
          </cell>
          <cell r="T200">
            <v>0</v>
          </cell>
          <cell r="U200">
            <v>30385000</v>
          </cell>
          <cell r="V200">
            <v>18838700</v>
          </cell>
        </row>
        <row r="201">
          <cell r="J201">
            <v>350</v>
          </cell>
          <cell r="K201">
            <v>43123</v>
          </cell>
          <cell r="L201" t="str">
            <v>CAREN MILENA ROMERO FIGUEROA</v>
          </cell>
          <cell r="M201">
            <v>145</v>
          </cell>
          <cell r="N201" t="str">
            <v>CONTRATO DE PRESTACION DE SERVICIOS PROFESIONALES</v>
          </cell>
          <cell r="O201">
            <v>296</v>
          </cell>
          <cell r="P201">
            <v>43123</v>
          </cell>
          <cell r="Q201" t="str">
            <v>Prestación de servicios profesionales desde el componente jurídico, para realizar el seguimiento y control al cumplimiento de requisitos legales y reglamentarios, de las familias beneficiarias del programa de Reasentamientos de la Caja de la Vivienda Popular</v>
          </cell>
          <cell r="R201">
            <v>32960000</v>
          </cell>
          <cell r="S201">
            <v>0</v>
          </cell>
          <cell r="T201">
            <v>0</v>
          </cell>
          <cell r="U201">
            <v>32960000</v>
          </cell>
          <cell r="V201">
            <v>25681333</v>
          </cell>
        </row>
        <row r="202">
          <cell r="J202">
            <v>351</v>
          </cell>
          <cell r="K202">
            <v>43123</v>
          </cell>
          <cell r="L202" t="str">
            <v>MARIAN GHERALDINE BERMUDEZ SOLANO</v>
          </cell>
          <cell r="M202">
            <v>145</v>
          </cell>
          <cell r="N202" t="str">
            <v>CONTRATO DE PRESTACION DE SERVICIOS PROFESIONALES</v>
          </cell>
          <cell r="O202">
            <v>297</v>
          </cell>
          <cell r="P202">
            <v>43123</v>
          </cell>
          <cell r="Q202" t="str">
            <v>"Prestación de servicios profesionales para apoyar la planificación, seguimiento y evaluación de los procesos y procedimientos de la Dirección de Reasentamientos, a través de las herramientas de seguimiento y gestión que posee la Caja de la Vivienda Popular</v>
          </cell>
          <cell r="R202">
            <v>55403700</v>
          </cell>
          <cell r="S202">
            <v>0</v>
          </cell>
          <cell r="T202">
            <v>0</v>
          </cell>
          <cell r="U202">
            <v>55403700</v>
          </cell>
          <cell r="V202">
            <v>29716530</v>
          </cell>
        </row>
        <row r="203">
          <cell r="J203">
            <v>353</v>
          </cell>
          <cell r="K203">
            <v>43123</v>
          </cell>
          <cell r="L203" t="str">
            <v>NATALIA JACKELINE MANRIQUE TRUJILLO</v>
          </cell>
          <cell r="M203">
            <v>145</v>
          </cell>
          <cell r="N203" t="str">
            <v>CONTRATO DE PRESTACION DE SERVICIOS PROFESIONALES</v>
          </cell>
          <cell r="O203">
            <v>351</v>
          </cell>
          <cell r="P203">
            <v>43123</v>
          </cell>
          <cell r="Q203"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03">
            <v>27192000</v>
          </cell>
          <cell r="S203">
            <v>0</v>
          </cell>
          <cell r="T203">
            <v>0</v>
          </cell>
          <cell r="U203">
            <v>27192000</v>
          </cell>
          <cell r="V203">
            <v>27192000</v>
          </cell>
        </row>
        <row r="204">
          <cell r="J204">
            <v>355</v>
          </cell>
          <cell r="K204">
            <v>43123</v>
          </cell>
          <cell r="L204" t="str">
            <v>CAROL ELIANA GONZALEZ GOMEZ</v>
          </cell>
          <cell r="M204">
            <v>148</v>
          </cell>
          <cell r="N204" t="str">
            <v>CONTRATO DE PRESTACION DE SERVICIOS DE APOYO A LA GESTION</v>
          </cell>
          <cell r="O204">
            <v>352</v>
          </cell>
          <cell r="P204">
            <v>43123</v>
          </cell>
          <cell r="Q204" t="str">
            <v>Prestación de servicios de apoyo a la gestión en lo relacionado con los trámites requeridos para el manejo de archivo y gestión documental generado desde la Dirección de Reasentamientos de la Caja de la Vivienda Popular.</v>
          </cell>
          <cell r="R204">
            <v>16995000</v>
          </cell>
          <cell r="S204">
            <v>0</v>
          </cell>
          <cell r="T204">
            <v>0</v>
          </cell>
          <cell r="U204">
            <v>16995000</v>
          </cell>
          <cell r="V204">
            <v>9579000</v>
          </cell>
        </row>
        <row r="205">
          <cell r="J205">
            <v>356</v>
          </cell>
          <cell r="K205">
            <v>43123</v>
          </cell>
          <cell r="L205" t="str">
            <v>INGRID CATALINA GOMEZ OSSA</v>
          </cell>
          <cell r="M205">
            <v>145</v>
          </cell>
          <cell r="N205" t="str">
            <v>CONTRATO DE PRESTACION DE SERVICIOS PROFESIONALES</v>
          </cell>
          <cell r="O205">
            <v>354</v>
          </cell>
          <cell r="P205">
            <v>43123</v>
          </cell>
          <cell r="Q205" t="str">
            <v>Prestación de servicios profesionales en las actividades relacionadas con Planeación institucional y Sistema Integrado de Gestión de la Dirección de Reasentamientos, a través de las herramientas de seguimiento y gestión que posee la Caja de la Vivienda Popular</v>
          </cell>
          <cell r="R205">
            <v>79310000</v>
          </cell>
          <cell r="S205">
            <v>0</v>
          </cell>
          <cell r="T205">
            <v>0</v>
          </cell>
          <cell r="U205">
            <v>79310000</v>
          </cell>
          <cell r="V205">
            <v>37251667</v>
          </cell>
        </row>
        <row r="206">
          <cell r="J206">
            <v>359</v>
          </cell>
          <cell r="K206">
            <v>43123</v>
          </cell>
          <cell r="L206" t="str">
            <v>ALBERTO  RODRIGUEZ GOMEZ</v>
          </cell>
          <cell r="M206">
            <v>145</v>
          </cell>
          <cell r="N206" t="str">
            <v>CONTRATO DE PRESTACION DE SERVICIOS PROFESIONALES</v>
          </cell>
          <cell r="O206">
            <v>300</v>
          </cell>
          <cell r="P206">
            <v>43123</v>
          </cell>
          <cell r="Q206" t="str">
            <v>Prestar sus servicios profesionales en la Dirección de Reasentamientos de la Caja de la Vivienda Popular, apoyando la ejecución de las diferentes actividades relacionadas con el componente tecnico del area misional.</v>
          </cell>
          <cell r="R206">
            <v>37080000</v>
          </cell>
          <cell r="S206">
            <v>0</v>
          </cell>
          <cell r="T206">
            <v>0</v>
          </cell>
          <cell r="U206">
            <v>37080000</v>
          </cell>
          <cell r="V206">
            <v>24994667</v>
          </cell>
        </row>
        <row r="207">
          <cell r="J207">
            <v>360</v>
          </cell>
          <cell r="K207">
            <v>43123</v>
          </cell>
          <cell r="L207" t="str">
            <v>NEYVA ABOGADOS ASOCIADOS S A S</v>
          </cell>
          <cell r="M207">
            <v>148</v>
          </cell>
          <cell r="N207" t="str">
            <v>CONTRATO DE PRESTACION DE SERVICIOS DE APOYO A LA GESTION</v>
          </cell>
          <cell r="O207">
            <v>301</v>
          </cell>
          <cell r="P207">
            <v>43123</v>
          </cell>
          <cell r="Q207" t="str">
            <v>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v>
          </cell>
          <cell r="R207">
            <v>50367000</v>
          </cell>
          <cell r="S207">
            <v>50367000</v>
          </cell>
          <cell r="T207">
            <v>0</v>
          </cell>
          <cell r="U207">
            <v>0</v>
          </cell>
          <cell r="V207">
            <v>0</v>
          </cell>
        </row>
        <row r="208">
          <cell r="J208">
            <v>367</v>
          </cell>
          <cell r="K208">
            <v>43124</v>
          </cell>
          <cell r="L208" t="str">
            <v>MARTHA CECILIA DIAZ ROCHA</v>
          </cell>
          <cell r="M208">
            <v>148</v>
          </cell>
          <cell r="N208" t="str">
            <v>CONTRATO DE PRESTACION DE SERVICIOS DE APOYO A LA GESTION</v>
          </cell>
          <cell r="O208">
            <v>267</v>
          </cell>
          <cell r="P208">
            <v>43124</v>
          </cell>
          <cell r="Q208" t="str">
            <v>Prestación de servicios de apoyo a la gestión en lo relacionado con los trámites requeridos para el manejo de archivo y gestión documental generado desde la Dirección de Reasentamientos de la Caja de la Vivienda Popular.</v>
          </cell>
          <cell r="R208">
            <v>10506000</v>
          </cell>
          <cell r="S208">
            <v>0</v>
          </cell>
          <cell r="T208">
            <v>0</v>
          </cell>
          <cell r="U208">
            <v>10506000</v>
          </cell>
          <cell r="V208">
            <v>10506000</v>
          </cell>
        </row>
        <row r="209">
          <cell r="J209">
            <v>369</v>
          </cell>
          <cell r="K209">
            <v>43124</v>
          </cell>
          <cell r="L209" t="str">
            <v>DAMIAN LEONARDO QUIROGA DIAZ</v>
          </cell>
          <cell r="M209">
            <v>145</v>
          </cell>
          <cell r="N209" t="str">
            <v>CONTRATO DE PRESTACION DE SERVICIOS PROFESIONALES</v>
          </cell>
          <cell r="O209">
            <v>324</v>
          </cell>
          <cell r="P209">
            <v>43124</v>
          </cell>
          <cell r="Q209" t="str">
            <v>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v>
          </cell>
          <cell r="R209">
            <v>61800000</v>
          </cell>
          <cell r="S209">
            <v>0</v>
          </cell>
          <cell r="T209">
            <v>0</v>
          </cell>
          <cell r="U209">
            <v>61800000</v>
          </cell>
          <cell r="V209">
            <v>38522000</v>
          </cell>
        </row>
        <row r="210">
          <cell r="J210">
            <v>371</v>
          </cell>
          <cell r="K210">
            <v>43124</v>
          </cell>
          <cell r="L210" t="str">
            <v>ANGEL EDUARDO TRIANA ROJAS</v>
          </cell>
          <cell r="M210">
            <v>145</v>
          </cell>
          <cell r="N210" t="str">
            <v>CONTRATO DE PRESTACION DE SERVICIOS PROFESIONALES</v>
          </cell>
          <cell r="O210">
            <v>325</v>
          </cell>
          <cell r="P210">
            <v>43124</v>
          </cell>
          <cell r="Q210"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10">
            <v>43260000</v>
          </cell>
          <cell r="S210">
            <v>0</v>
          </cell>
          <cell r="T210">
            <v>0</v>
          </cell>
          <cell r="U210">
            <v>43260000</v>
          </cell>
          <cell r="V210">
            <v>43260000</v>
          </cell>
        </row>
        <row r="211">
          <cell r="J211">
            <v>373</v>
          </cell>
          <cell r="K211">
            <v>43124</v>
          </cell>
          <cell r="L211" t="str">
            <v>FRANCISCO JOSE ARGUELLO ROJAS</v>
          </cell>
          <cell r="M211">
            <v>145</v>
          </cell>
          <cell r="N211" t="str">
            <v>CONTRATO DE PRESTACION DE SERVICIOS PROFESIONALES</v>
          </cell>
          <cell r="O211">
            <v>304</v>
          </cell>
          <cell r="P211">
            <v>43124</v>
          </cell>
          <cell r="Q211" t="str">
            <v>PRESTAR LOS SERVICIOS PROFESIONALES PARA LA PLANEACION, REALIZACION, Y DESARROLLO DE CONTENIDOS PERIODÍSTICOS QUE PERMITAN LA DIFUSION Y DIVULGACION DE LA GESTION SOCIAL QUE ADELANTA LA CVP CON LAS COMUNIDADES, A TRAVÉS DE SUS PROGRAMAS MISIONALES.</v>
          </cell>
          <cell r="R211">
            <v>11330000</v>
          </cell>
          <cell r="S211">
            <v>0</v>
          </cell>
          <cell r="T211">
            <v>0</v>
          </cell>
          <cell r="U211">
            <v>11330000</v>
          </cell>
          <cell r="V211">
            <v>6420333</v>
          </cell>
        </row>
        <row r="212">
          <cell r="J212">
            <v>377</v>
          </cell>
          <cell r="K212">
            <v>43124</v>
          </cell>
          <cell r="L212" t="str">
            <v>MARGARITA LUCIA GOMEZ ECHEVERRY</v>
          </cell>
          <cell r="M212">
            <v>145</v>
          </cell>
          <cell r="N212" t="str">
            <v>CONTRATO DE PRESTACION DE SERVICIOS PROFESIONALES</v>
          </cell>
          <cell r="O212">
            <v>327</v>
          </cell>
          <cell r="P212">
            <v>43124</v>
          </cell>
          <cell r="Q212" t="str">
            <v>Prestación de servicios profesionales en el componente social de la Dirección de Reasentamientos de la Caja de la Vivienda Popular, para la ejecución de planes y programas agenciados por el área misional</v>
          </cell>
          <cell r="R212">
            <v>37080000</v>
          </cell>
          <cell r="S212">
            <v>0</v>
          </cell>
          <cell r="T212">
            <v>0</v>
          </cell>
          <cell r="U212">
            <v>37080000</v>
          </cell>
          <cell r="V212">
            <v>2746666</v>
          </cell>
        </row>
        <row r="213">
          <cell r="J213">
            <v>380</v>
          </cell>
          <cell r="K213">
            <v>43124</v>
          </cell>
          <cell r="L213" t="str">
            <v>MARIA VICTORIA APONTE VALVERDE</v>
          </cell>
          <cell r="M213">
            <v>145</v>
          </cell>
          <cell r="N213" t="str">
            <v>CONTRATO DE PRESTACION DE SERVICIOS PROFESIONALES</v>
          </cell>
          <cell r="O213">
            <v>306</v>
          </cell>
          <cell r="P213">
            <v>43124</v>
          </cell>
          <cell r="Q213" t="str">
            <v>Prestación de servicios profesionales, en temas relacionados con el componente social apoyando procesos y procedimientos propios de la Dirección de Reasentamientos de la Caja de la Vivienda popular</v>
          </cell>
          <cell r="R213">
            <v>90640000</v>
          </cell>
          <cell r="S213">
            <v>0</v>
          </cell>
          <cell r="T213">
            <v>0</v>
          </cell>
          <cell r="U213">
            <v>90640000</v>
          </cell>
          <cell r="V213">
            <v>43122667</v>
          </cell>
        </row>
        <row r="214">
          <cell r="J214">
            <v>381</v>
          </cell>
          <cell r="K214">
            <v>43124</v>
          </cell>
          <cell r="L214" t="str">
            <v>VLADIMIR  MARTINEZ MARTINEZ</v>
          </cell>
          <cell r="M214">
            <v>145</v>
          </cell>
          <cell r="N214" t="str">
            <v>CONTRATO DE PRESTACION DE SERVICIOS PROFESIONALES</v>
          </cell>
          <cell r="O214">
            <v>359</v>
          </cell>
          <cell r="P214">
            <v>43124</v>
          </cell>
          <cell r="Q214"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14">
            <v>24720000</v>
          </cell>
          <cell r="S214">
            <v>0</v>
          </cell>
          <cell r="T214">
            <v>0</v>
          </cell>
          <cell r="U214">
            <v>24720000</v>
          </cell>
          <cell r="V214">
            <v>24720000</v>
          </cell>
        </row>
        <row r="215">
          <cell r="J215">
            <v>382</v>
          </cell>
          <cell r="K215">
            <v>43124</v>
          </cell>
          <cell r="L215" t="str">
            <v>BLANCA LEIDY PEÑA CALDERON</v>
          </cell>
          <cell r="M215">
            <v>148</v>
          </cell>
          <cell r="N215" t="str">
            <v>CONTRATO DE PRESTACION DE SERVICIOS DE APOYO A LA GESTION</v>
          </cell>
          <cell r="O215">
            <v>323</v>
          </cell>
          <cell r="P215">
            <v>43124</v>
          </cell>
          <cell r="Q215" t="str">
            <v>PRESTACIÓN DE SERVICIOS DE APOYO A LA GESTIÓN EN LOS PROCEDIMIENTOS A CARGO DE LA DIRECCIÓN DE REASENTAMIENTOS DE LA CAJA DE LA VIVIENDA POPULAR, PARA EL CUMPLIMIENTO DE SUS METAS.</v>
          </cell>
          <cell r="R215">
            <v>30385000</v>
          </cell>
          <cell r="S215">
            <v>0</v>
          </cell>
          <cell r="T215">
            <v>0</v>
          </cell>
          <cell r="U215">
            <v>30385000</v>
          </cell>
          <cell r="V215">
            <v>18939983</v>
          </cell>
        </row>
        <row r="216">
          <cell r="J216">
            <v>385</v>
          </cell>
          <cell r="K216">
            <v>43124</v>
          </cell>
          <cell r="L216" t="str">
            <v>LORENA  GOMEZ ANGEL</v>
          </cell>
          <cell r="M216">
            <v>145</v>
          </cell>
          <cell r="N216" t="str">
            <v>CONTRATO DE PRESTACION DE SERVICIOS PROFESIONALES</v>
          </cell>
          <cell r="O216">
            <v>328</v>
          </cell>
          <cell r="P216">
            <v>43124</v>
          </cell>
          <cell r="Q216" t="str">
            <v>Prestación de servicios profesionales en el componente social de la Dirección de Reasentamientos de la Caja de la Vivienda Popular para la ejecución de planes y programas agenciados por el área misional.</v>
          </cell>
          <cell r="R216">
            <v>17767500</v>
          </cell>
          <cell r="S216">
            <v>0</v>
          </cell>
          <cell r="T216">
            <v>0</v>
          </cell>
          <cell r="U216">
            <v>17767500</v>
          </cell>
          <cell r="V216">
            <v>17767500</v>
          </cell>
        </row>
        <row r="217">
          <cell r="J217">
            <v>389</v>
          </cell>
          <cell r="K217">
            <v>43124</v>
          </cell>
          <cell r="L217" t="str">
            <v>MIGUEL ANDRES ALFONSO ACOSTA</v>
          </cell>
          <cell r="M217">
            <v>145</v>
          </cell>
          <cell r="N217" t="str">
            <v>CONTRATO DE PRESTACION DE SERVICIOS PROFESIONALES</v>
          </cell>
          <cell r="O217">
            <v>312</v>
          </cell>
          <cell r="P217">
            <v>43124</v>
          </cell>
          <cell r="Q217" t="str">
            <v>Prestación de servicios profesionales en la Dirección de Reasentamientos de la Caja de la Vivienda Popular, apoyando la ejecución de las diferentes actividades relacionadas con el componente técnico del área misional</v>
          </cell>
          <cell r="R217">
            <v>61800000</v>
          </cell>
          <cell r="S217">
            <v>0</v>
          </cell>
          <cell r="T217">
            <v>0</v>
          </cell>
          <cell r="U217">
            <v>61800000</v>
          </cell>
          <cell r="V217">
            <v>38522000</v>
          </cell>
        </row>
        <row r="218">
          <cell r="J218">
            <v>390</v>
          </cell>
          <cell r="K218">
            <v>43124</v>
          </cell>
          <cell r="L218" t="str">
            <v>NIXA ZAIRANDRHY VILLAMIZAR MESA</v>
          </cell>
          <cell r="M218">
            <v>148</v>
          </cell>
          <cell r="N218" t="str">
            <v>CONTRATO DE PRESTACION DE SERVICIOS DE APOYO A LA GESTION</v>
          </cell>
          <cell r="O218">
            <v>329</v>
          </cell>
          <cell r="P218">
            <v>43124</v>
          </cell>
          <cell r="Q218" t="str">
            <v>Prestar sus servicios de apoyo a la gestión en la Dirección de Reasentamientos, brindando acompañamiento al componente social desarrollado en el marco de las acciones misionales a cargo de la entidad.</v>
          </cell>
          <cell r="R218">
            <v>24720000</v>
          </cell>
          <cell r="S218">
            <v>0</v>
          </cell>
          <cell r="T218">
            <v>0</v>
          </cell>
          <cell r="U218">
            <v>24720000</v>
          </cell>
          <cell r="V218">
            <v>15326400</v>
          </cell>
        </row>
        <row r="219">
          <cell r="J219">
            <v>391</v>
          </cell>
          <cell r="K219">
            <v>43124</v>
          </cell>
          <cell r="L219" t="str">
            <v>OLGA LUCIA CRUZ GARZON</v>
          </cell>
          <cell r="M219">
            <v>145</v>
          </cell>
          <cell r="N219" t="str">
            <v>CONTRATO DE PRESTACION DE SERVICIOS PROFESIONALES</v>
          </cell>
          <cell r="O219">
            <v>313</v>
          </cell>
          <cell r="P219">
            <v>43124</v>
          </cell>
          <cell r="Q219" t="str">
            <v>Prestación de servicios profesionales desde el componente jurídico, para realizar el seguimiento y control al cumplimiento de requisitos legales y reglamentarios, de las familias beneficiarias del programa de Reasentamientos de la Caja de la Vivienda Popular.</v>
          </cell>
          <cell r="R219">
            <v>32960000</v>
          </cell>
          <cell r="S219">
            <v>0</v>
          </cell>
          <cell r="T219">
            <v>0</v>
          </cell>
          <cell r="U219">
            <v>32960000</v>
          </cell>
          <cell r="V219">
            <v>25681333</v>
          </cell>
        </row>
        <row r="220">
          <cell r="J220">
            <v>396</v>
          </cell>
          <cell r="K220">
            <v>43124</v>
          </cell>
          <cell r="L220" t="str">
            <v>YAMILET  OROZCO DIAZ</v>
          </cell>
          <cell r="M220">
            <v>145</v>
          </cell>
          <cell r="N220" t="str">
            <v>CONTRATO DE PRESTACION DE SERVICIOS PROFESIONALES</v>
          </cell>
          <cell r="O220">
            <v>317</v>
          </cell>
          <cell r="P220">
            <v>43124</v>
          </cell>
          <cell r="Q220" t="str">
            <v>Prestación de servicios profesionales de seguimiento y soporte financiero respecto a la programación, control presupuestal y demás acciones en la Dirección de Reasentamientos de la Caja de la Vivienda Popular, de conformidad con los procesos y procedimientos establecidos.</v>
          </cell>
          <cell r="R220">
            <v>56650000</v>
          </cell>
          <cell r="S220">
            <v>0</v>
          </cell>
          <cell r="T220">
            <v>0</v>
          </cell>
          <cell r="U220">
            <v>56650000</v>
          </cell>
          <cell r="V220">
            <v>35311833</v>
          </cell>
        </row>
        <row r="221">
          <cell r="J221">
            <v>397</v>
          </cell>
          <cell r="K221">
            <v>43124</v>
          </cell>
          <cell r="L221" t="str">
            <v>MICHAEL ALEXANDER LADINO PEÑUELA</v>
          </cell>
          <cell r="M221">
            <v>145</v>
          </cell>
          <cell r="N221" t="str">
            <v>CONTRATO DE PRESTACION DE SERVICIOS PROFESIONALES</v>
          </cell>
          <cell r="O221">
            <v>318</v>
          </cell>
          <cell r="P221">
            <v>43124</v>
          </cell>
          <cell r="Q221" t="str">
            <v>Prestación de servicios profesionales brindando apoyo al seguimiento administrativo y financiero de los procedimientos de la Dirección de Reasentamientos de la Caja de la Vivienda Popular</v>
          </cell>
          <cell r="R221">
            <v>41200000</v>
          </cell>
          <cell r="S221">
            <v>0</v>
          </cell>
          <cell r="T221">
            <v>0</v>
          </cell>
          <cell r="U221">
            <v>41200000</v>
          </cell>
          <cell r="V221">
            <v>25681333</v>
          </cell>
        </row>
        <row r="222">
          <cell r="J222">
            <v>398</v>
          </cell>
          <cell r="K222">
            <v>43124</v>
          </cell>
          <cell r="L222" t="str">
            <v>LINDA GISSELLE SUAREZ VILLAMIZAR</v>
          </cell>
          <cell r="M222">
            <v>145</v>
          </cell>
          <cell r="N222" t="str">
            <v>CONTRATO DE PRESTACION DE SERVICIOS PROFESIONALES</v>
          </cell>
          <cell r="O222">
            <v>319</v>
          </cell>
          <cell r="P222">
            <v>43124</v>
          </cell>
          <cell r="Q222" t="str">
            <v>Prestación de servicios profesionales, para el acompañamiento jurídico, en los procesos y procedimientos establecidos frente a la ejecución del programa misional de la Dirección de reasentamientos de la Caja de la Vivienda Popular</v>
          </cell>
          <cell r="R222">
            <v>31724000</v>
          </cell>
          <cell r="S222">
            <v>0</v>
          </cell>
          <cell r="T222">
            <v>0</v>
          </cell>
          <cell r="U222">
            <v>31724000</v>
          </cell>
          <cell r="V222">
            <v>28098400</v>
          </cell>
        </row>
        <row r="223">
          <cell r="J223">
            <v>400</v>
          </cell>
          <cell r="K223">
            <v>43124</v>
          </cell>
          <cell r="L223" t="str">
            <v>DARLY PATRICIA CAICEDO CAMILO</v>
          </cell>
          <cell r="M223">
            <v>145</v>
          </cell>
          <cell r="N223" t="str">
            <v>CONTRATO DE PRESTACION DE SERVICIOS PROFESIONALES</v>
          </cell>
          <cell r="O223">
            <v>321</v>
          </cell>
          <cell r="P223">
            <v>43124</v>
          </cell>
          <cell r="Q223" t="str">
            <v>Prestar sus servicios profesionales en el componente social de la Dirección de Reasentamientos de la Caja de la Vivienda Popular, para la ejecución de planes y programas agenciados por el área misional.</v>
          </cell>
          <cell r="R223">
            <v>17767500</v>
          </cell>
          <cell r="S223">
            <v>0</v>
          </cell>
          <cell r="T223">
            <v>0</v>
          </cell>
          <cell r="U223">
            <v>17767500</v>
          </cell>
          <cell r="V223">
            <v>17767500</v>
          </cell>
        </row>
        <row r="224">
          <cell r="J224">
            <v>401</v>
          </cell>
          <cell r="K224">
            <v>43124</v>
          </cell>
          <cell r="L224" t="str">
            <v>JORGE EDUARDO BARON MENDEZ</v>
          </cell>
          <cell r="M224">
            <v>145</v>
          </cell>
          <cell r="N224" t="str">
            <v>CONTRATO DE PRESTACION DE SERVICIOS PROFESIONALES</v>
          </cell>
          <cell r="O224">
            <v>322</v>
          </cell>
          <cell r="P224">
            <v>43124</v>
          </cell>
          <cell r="Q224" t="str">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24">
            <v>24720000</v>
          </cell>
          <cell r="S224">
            <v>0</v>
          </cell>
          <cell r="T224">
            <v>0</v>
          </cell>
          <cell r="U224">
            <v>24720000</v>
          </cell>
          <cell r="V224">
            <v>24720000</v>
          </cell>
        </row>
        <row r="225">
          <cell r="J225">
            <v>402</v>
          </cell>
          <cell r="K225">
            <v>43124</v>
          </cell>
          <cell r="L225" t="str">
            <v>NEYVA ABOGADOS ASOCIADOS S A S</v>
          </cell>
          <cell r="M225">
            <v>145</v>
          </cell>
          <cell r="N225" t="str">
            <v>CONTRATO DE PRESTACION DE SERVICIOS PROFESIONALES</v>
          </cell>
          <cell r="O225">
            <v>301</v>
          </cell>
          <cell r="P225">
            <v>43124</v>
          </cell>
          <cell r="Q225" t="str">
            <v>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v>
          </cell>
          <cell r="R225">
            <v>50367000</v>
          </cell>
          <cell r="S225">
            <v>0</v>
          </cell>
          <cell r="T225">
            <v>0</v>
          </cell>
          <cell r="U225">
            <v>50367000</v>
          </cell>
          <cell r="V225">
            <v>31227540</v>
          </cell>
        </row>
        <row r="226">
          <cell r="J226">
            <v>403</v>
          </cell>
          <cell r="K226">
            <v>43124</v>
          </cell>
          <cell r="L226" t="str">
            <v>DIANA CAROLINA ESPITIA ZAMBRANO</v>
          </cell>
          <cell r="M226">
            <v>145</v>
          </cell>
          <cell r="N226" t="str">
            <v>CONTRATO DE PRESTACION DE SERVICIOS PROFESIONALES</v>
          </cell>
          <cell r="O226">
            <v>332</v>
          </cell>
          <cell r="P226">
            <v>43124</v>
          </cell>
          <cell r="Q226"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26">
            <v>43260000</v>
          </cell>
          <cell r="S226">
            <v>0</v>
          </cell>
          <cell r="T226">
            <v>0</v>
          </cell>
          <cell r="U226">
            <v>43260000</v>
          </cell>
          <cell r="V226">
            <v>43260000</v>
          </cell>
        </row>
        <row r="227">
          <cell r="J227">
            <v>405</v>
          </cell>
          <cell r="K227">
            <v>43124</v>
          </cell>
          <cell r="L227" t="str">
            <v>JUAN CARLOS ALVARADO SANCHEZ</v>
          </cell>
          <cell r="M227">
            <v>145</v>
          </cell>
          <cell r="N227" t="str">
            <v>CONTRATO DE PRESTACION DE SERVICIOS PROFESIONALES</v>
          </cell>
          <cell r="O227">
            <v>333</v>
          </cell>
          <cell r="P227">
            <v>43124</v>
          </cell>
          <cell r="Q227"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v>
          </cell>
          <cell r="R227">
            <v>21321000</v>
          </cell>
          <cell r="S227">
            <v>0</v>
          </cell>
          <cell r="T227">
            <v>0</v>
          </cell>
          <cell r="U227">
            <v>21321000</v>
          </cell>
          <cell r="V227">
            <v>21321000</v>
          </cell>
        </row>
        <row r="228">
          <cell r="J228">
            <v>407</v>
          </cell>
          <cell r="K228">
            <v>43124</v>
          </cell>
          <cell r="L228" t="str">
            <v>RUTH MIREYA VARGAS FIGUEREDO</v>
          </cell>
          <cell r="M228">
            <v>148</v>
          </cell>
          <cell r="N228" t="str">
            <v>CONTRATO DE PRESTACION DE SERVICIOS DE APOYO A LA GESTION</v>
          </cell>
          <cell r="O228">
            <v>356</v>
          </cell>
          <cell r="P228">
            <v>43124</v>
          </cell>
          <cell r="Q228" t="str">
            <v>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v>
          </cell>
          <cell r="R228">
            <v>10506000</v>
          </cell>
          <cell r="S228">
            <v>0</v>
          </cell>
          <cell r="T228">
            <v>0</v>
          </cell>
          <cell r="U228">
            <v>10506000</v>
          </cell>
          <cell r="V228">
            <v>10506000</v>
          </cell>
        </row>
        <row r="229">
          <cell r="J229">
            <v>408</v>
          </cell>
          <cell r="K229">
            <v>43124</v>
          </cell>
          <cell r="L229" t="str">
            <v>MARTA ESPERANZA CARDENAS ESTRADA</v>
          </cell>
          <cell r="M229">
            <v>145</v>
          </cell>
          <cell r="N229" t="str">
            <v>CONTRATO DE PRESTACION DE SERVICIOS PROFESIONALES</v>
          </cell>
          <cell r="O229">
            <v>357</v>
          </cell>
          <cell r="P229">
            <v>43124</v>
          </cell>
          <cell r="Q229" t="str">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29">
            <v>31518000</v>
          </cell>
          <cell r="S229">
            <v>0</v>
          </cell>
          <cell r="T229">
            <v>0</v>
          </cell>
          <cell r="U229">
            <v>31518000</v>
          </cell>
          <cell r="V229">
            <v>31518000</v>
          </cell>
        </row>
        <row r="230">
          <cell r="J230">
            <v>409</v>
          </cell>
          <cell r="K230">
            <v>43124</v>
          </cell>
          <cell r="L230" t="str">
            <v>GLORIA ESPERANZA CASTRO RODRIGUEZ</v>
          </cell>
          <cell r="M230">
            <v>148</v>
          </cell>
          <cell r="N230" t="str">
            <v>CONTRATO DE PRESTACION DE SERVICIOS DE APOYO A LA GESTION</v>
          </cell>
          <cell r="O230">
            <v>358</v>
          </cell>
          <cell r="P230">
            <v>43124</v>
          </cell>
          <cell r="Q230" t="str">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v>
          </cell>
          <cell r="R230">
            <v>9270000</v>
          </cell>
          <cell r="S230">
            <v>0</v>
          </cell>
          <cell r="T230">
            <v>0</v>
          </cell>
          <cell r="U230">
            <v>9270000</v>
          </cell>
          <cell r="V230">
            <v>9270000</v>
          </cell>
        </row>
        <row r="231">
          <cell r="J231">
            <v>411</v>
          </cell>
          <cell r="K231">
            <v>43124</v>
          </cell>
          <cell r="L231" t="str">
            <v>LUKAS FERNANDO URIBE FRANCO</v>
          </cell>
          <cell r="M231">
            <v>145</v>
          </cell>
          <cell r="N231" t="str">
            <v>CONTRATO DE PRESTACION DE SERVICIOS PROFESIONALES</v>
          </cell>
          <cell r="O231">
            <v>314</v>
          </cell>
          <cell r="P231">
            <v>43124</v>
          </cell>
          <cell r="Q231" t="str">
            <v>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v>
          </cell>
          <cell r="R231">
            <v>58632750</v>
          </cell>
          <cell r="S231">
            <v>0</v>
          </cell>
          <cell r="T231">
            <v>0</v>
          </cell>
          <cell r="U231">
            <v>58632750</v>
          </cell>
          <cell r="V231">
            <v>41888000</v>
          </cell>
        </row>
        <row r="232">
          <cell r="J232">
            <v>412</v>
          </cell>
          <cell r="K232">
            <v>43124</v>
          </cell>
          <cell r="L232" t="str">
            <v>YURY ANDREA RICO MAHECHA</v>
          </cell>
          <cell r="M232">
            <v>148</v>
          </cell>
          <cell r="N232" t="str">
            <v>CONTRATO DE PRESTACION DE SERVICIOS DE APOYO A LA GESTION</v>
          </cell>
          <cell r="O232">
            <v>334</v>
          </cell>
          <cell r="P232">
            <v>43124</v>
          </cell>
          <cell r="Q232" t="str">
            <v>Prestación de servicios de apoyo a la gestión en lo relacionado con el manejo de archivo y gestión documental generado desde la Dirección de Reasentamientos de la Caja de la Vivienda Popular.</v>
          </cell>
          <cell r="R232">
            <v>27192000</v>
          </cell>
          <cell r="S232">
            <v>0</v>
          </cell>
          <cell r="T232">
            <v>0</v>
          </cell>
          <cell r="U232">
            <v>27192000</v>
          </cell>
          <cell r="V232">
            <v>15326400</v>
          </cell>
        </row>
        <row r="233">
          <cell r="J233">
            <v>414</v>
          </cell>
          <cell r="K233">
            <v>43124</v>
          </cell>
          <cell r="L233" t="str">
            <v>DIANA MILENA OCHOA PARRA</v>
          </cell>
          <cell r="M233">
            <v>145</v>
          </cell>
          <cell r="N233" t="str">
            <v>CONTRATO DE PRESTACION DE SERVICIOS PROFESIONALES</v>
          </cell>
          <cell r="O233">
            <v>335</v>
          </cell>
          <cell r="P233">
            <v>43124</v>
          </cell>
          <cell r="Q233"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33">
            <v>31518000</v>
          </cell>
          <cell r="S233">
            <v>0</v>
          </cell>
          <cell r="T233">
            <v>0</v>
          </cell>
          <cell r="U233">
            <v>31518000</v>
          </cell>
          <cell r="V233">
            <v>31518000</v>
          </cell>
        </row>
        <row r="234">
          <cell r="J234">
            <v>415</v>
          </cell>
          <cell r="K234">
            <v>43124</v>
          </cell>
          <cell r="L234" t="str">
            <v>JOSE LUIS REYES DELGADO</v>
          </cell>
          <cell r="M234">
            <v>145</v>
          </cell>
          <cell r="N234" t="str">
            <v>CONTRATO DE PRESTACION DE SERVICIOS PROFESIONALES</v>
          </cell>
          <cell r="O234">
            <v>336</v>
          </cell>
          <cell r="P234">
            <v>43124</v>
          </cell>
          <cell r="Q234" t="str">
            <v>Prestación de servicios profesionales para apoyar los asuntos presupuestales y herramientas de gestión a cargo de la Dirección de Reasentamientos de la Caja de la Vivienda Popular</v>
          </cell>
          <cell r="R234">
            <v>90640000</v>
          </cell>
          <cell r="S234">
            <v>0</v>
          </cell>
          <cell r="T234">
            <v>0</v>
          </cell>
          <cell r="U234">
            <v>90640000</v>
          </cell>
          <cell r="V234">
            <v>42848000</v>
          </cell>
        </row>
        <row r="235">
          <cell r="J235">
            <v>417</v>
          </cell>
          <cell r="K235">
            <v>43124</v>
          </cell>
          <cell r="L235" t="str">
            <v>DIANA CAROLINA SANCHEZ ARDILA</v>
          </cell>
          <cell r="M235">
            <v>145</v>
          </cell>
          <cell r="N235" t="str">
            <v>CONTRATO DE PRESTACION DE SERVICIOS PROFESIONALES</v>
          </cell>
          <cell r="O235">
            <v>338</v>
          </cell>
          <cell r="P235">
            <v>43124</v>
          </cell>
          <cell r="Q235" t="str">
            <v>Prestación de servicios profesionales en el componente social de la Dirección de Reasentamientos de la Caja de la Vivienda Popular, para la ejecución de planes y programas agenciados por el área misional.</v>
          </cell>
          <cell r="R235">
            <v>41200000</v>
          </cell>
          <cell r="S235">
            <v>0</v>
          </cell>
          <cell r="T235">
            <v>0</v>
          </cell>
          <cell r="U235">
            <v>41200000</v>
          </cell>
          <cell r="V235">
            <v>24033334</v>
          </cell>
        </row>
        <row r="236">
          <cell r="J236">
            <v>418</v>
          </cell>
          <cell r="K236">
            <v>43124</v>
          </cell>
          <cell r="L236" t="str">
            <v>LINA MARIA SILVA CABRERA</v>
          </cell>
          <cell r="M236">
            <v>145</v>
          </cell>
          <cell r="N236" t="str">
            <v>CONTRATO DE PRESTACION DE SERVICIOS PROFESIONALES</v>
          </cell>
          <cell r="O236">
            <v>369</v>
          </cell>
          <cell r="P236">
            <v>43124</v>
          </cell>
          <cell r="Q236" t="str">
            <v>Prestación de servicios profesionales en las actividades relacionadas con Planeación institucional y Sistema Integrado de Gestión de la Dirección de Reasentamientos, a través de las herramientas de seguimiento y gestión que posee la Caja de la Vivienda Popular.</v>
          </cell>
          <cell r="R236">
            <v>47277000</v>
          </cell>
          <cell r="S236">
            <v>0</v>
          </cell>
          <cell r="T236">
            <v>0</v>
          </cell>
          <cell r="U236">
            <v>47277000</v>
          </cell>
          <cell r="V236">
            <v>32568600</v>
          </cell>
        </row>
        <row r="237">
          <cell r="J237">
            <v>419</v>
          </cell>
          <cell r="K237">
            <v>43124</v>
          </cell>
          <cell r="L237" t="str">
            <v>ALEJANDRO  URIBE JIMENEZ</v>
          </cell>
          <cell r="M237">
            <v>145</v>
          </cell>
          <cell r="N237" t="str">
            <v>CONTRATO DE PRESTACION DE SERVICIOS PROFESIONALES</v>
          </cell>
          <cell r="O237">
            <v>368</v>
          </cell>
          <cell r="P237">
            <v>43124</v>
          </cell>
          <cell r="Q237" t="str">
            <v>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v>
          </cell>
          <cell r="R237">
            <v>50367000</v>
          </cell>
          <cell r="S237">
            <v>0</v>
          </cell>
          <cell r="T237">
            <v>0</v>
          </cell>
          <cell r="U237">
            <v>50367000</v>
          </cell>
          <cell r="V237">
            <v>31227540</v>
          </cell>
        </row>
        <row r="238">
          <cell r="J238">
            <v>420</v>
          </cell>
          <cell r="K238">
            <v>43124</v>
          </cell>
          <cell r="L238" t="str">
            <v>MARTHA HELENA CORREAL ISAZA</v>
          </cell>
          <cell r="M238">
            <v>145</v>
          </cell>
          <cell r="N238" t="str">
            <v>CONTRATO DE PRESTACION DE SERVICIOS PROFESIONALES</v>
          </cell>
          <cell r="O238">
            <v>365</v>
          </cell>
          <cell r="P238">
            <v>43124</v>
          </cell>
          <cell r="Q238" t="str">
            <v>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v>
          </cell>
          <cell r="R238">
            <v>118450000</v>
          </cell>
          <cell r="S238">
            <v>0</v>
          </cell>
          <cell r="T238">
            <v>0</v>
          </cell>
          <cell r="U238">
            <v>118450000</v>
          </cell>
          <cell r="V238">
            <v>63860000</v>
          </cell>
        </row>
        <row r="239">
          <cell r="J239">
            <v>421</v>
          </cell>
          <cell r="K239">
            <v>43124</v>
          </cell>
          <cell r="L239" t="str">
            <v>IVAN DARIO CARRILLO DURAN</v>
          </cell>
          <cell r="M239">
            <v>145</v>
          </cell>
          <cell r="N239" t="str">
            <v>CONTRATO DE PRESTACION DE SERVICIOS PROFESIONALES</v>
          </cell>
          <cell r="O239">
            <v>370</v>
          </cell>
          <cell r="P239">
            <v>43124</v>
          </cell>
          <cell r="Q239" t="str">
            <v>Prestación de servicios profesionales en la implementación de módulos alfanuméricos y geográficos para el Sistema de Información Geográfica  de la Dirección de Reasentamientos de la Caja de la Vivienda Popular.</v>
          </cell>
          <cell r="R239">
            <v>28428000</v>
          </cell>
          <cell r="S239">
            <v>0</v>
          </cell>
          <cell r="T239">
            <v>0</v>
          </cell>
          <cell r="U239">
            <v>28428000</v>
          </cell>
          <cell r="V239">
            <v>22031700</v>
          </cell>
        </row>
        <row r="240">
          <cell r="J240">
            <v>423</v>
          </cell>
          <cell r="K240">
            <v>43124</v>
          </cell>
          <cell r="L240" t="str">
            <v>ELCIDA  CONTRERAS AYALA</v>
          </cell>
          <cell r="M240">
            <v>145</v>
          </cell>
          <cell r="N240" t="str">
            <v>CONTRATO DE PRESTACION DE SERVICIOS PROFESIONALES</v>
          </cell>
          <cell r="O240">
            <v>366</v>
          </cell>
          <cell r="P240">
            <v>43124</v>
          </cell>
          <cell r="Q240"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40">
            <v>43260000</v>
          </cell>
          <cell r="S240">
            <v>0</v>
          </cell>
          <cell r="T240">
            <v>0</v>
          </cell>
          <cell r="U240">
            <v>43260000</v>
          </cell>
          <cell r="V240">
            <v>43260000</v>
          </cell>
        </row>
        <row r="241">
          <cell r="J241">
            <v>425</v>
          </cell>
          <cell r="K241">
            <v>43124</v>
          </cell>
          <cell r="L241" t="str">
            <v>LUIS CAMILO MARTINEZ TORO</v>
          </cell>
          <cell r="M241">
            <v>145</v>
          </cell>
          <cell r="N241" t="str">
            <v>CONTRATO DE PRESTACION DE SERVICIOS PROFESIONALES</v>
          </cell>
          <cell r="O241">
            <v>367</v>
          </cell>
          <cell r="P241">
            <v>43124</v>
          </cell>
          <cell r="Q241"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41">
            <v>43260000</v>
          </cell>
          <cell r="S241">
            <v>0</v>
          </cell>
          <cell r="T241">
            <v>0</v>
          </cell>
          <cell r="U241">
            <v>43260000</v>
          </cell>
          <cell r="V241">
            <v>43260000</v>
          </cell>
        </row>
        <row r="242">
          <cell r="J242">
            <v>426</v>
          </cell>
          <cell r="K242">
            <v>43124</v>
          </cell>
          <cell r="L242" t="str">
            <v>LAURA MAGOLA RAMIREZ GARCIA</v>
          </cell>
          <cell r="M242">
            <v>145</v>
          </cell>
          <cell r="N242" t="str">
            <v>CONTRATO DE PRESTACION DE SERVICIOS PROFESIONALES</v>
          </cell>
          <cell r="O242">
            <v>361</v>
          </cell>
          <cell r="P242">
            <v>43124</v>
          </cell>
          <cell r="Q242" t="str">
            <v>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v>
          </cell>
          <cell r="R242">
            <v>21321000</v>
          </cell>
          <cell r="S242">
            <v>0</v>
          </cell>
          <cell r="T242">
            <v>0</v>
          </cell>
          <cell r="U242">
            <v>21321000</v>
          </cell>
          <cell r="V242">
            <v>21321000</v>
          </cell>
        </row>
        <row r="243">
          <cell r="J243">
            <v>427</v>
          </cell>
          <cell r="K243">
            <v>43124</v>
          </cell>
          <cell r="L243" t="str">
            <v>MARTHA TERESA ORTIZ BARAHONA</v>
          </cell>
          <cell r="M243">
            <v>148</v>
          </cell>
          <cell r="N243" t="str">
            <v>CONTRATO DE PRESTACION DE SERVICIOS DE APOYO A LA GESTION</v>
          </cell>
          <cell r="O243">
            <v>362</v>
          </cell>
          <cell r="P243">
            <v>43124</v>
          </cell>
          <cell r="Q243" t="str">
            <v>Prestación de servicios de apoyo a la gestión, en los componentes operativo y asistencial para la ejecución de los procesos y procedimientos internos de la Dirección de Reasentamientos frente al cumplimiento de sus metas.</v>
          </cell>
          <cell r="R243">
            <v>19961400</v>
          </cell>
          <cell r="S243">
            <v>0</v>
          </cell>
          <cell r="T243">
            <v>0</v>
          </cell>
          <cell r="U243">
            <v>19961400</v>
          </cell>
          <cell r="V243">
            <v>19961400</v>
          </cell>
        </row>
        <row r="244">
          <cell r="J244">
            <v>428</v>
          </cell>
          <cell r="K244">
            <v>43124</v>
          </cell>
          <cell r="L244" t="str">
            <v>YALEIDY ANDREA RICO RADA</v>
          </cell>
          <cell r="M244">
            <v>145</v>
          </cell>
          <cell r="N244" t="str">
            <v>CONTRATO DE PRESTACION DE SERVICIOS PROFESIONALES</v>
          </cell>
          <cell r="O244">
            <v>363</v>
          </cell>
          <cell r="P244">
            <v>43124</v>
          </cell>
          <cell r="Q244"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44">
            <v>33990000</v>
          </cell>
          <cell r="S244">
            <v>0</v>
          </cell>
          <cell r="T244">
            <v>0</v>
          </cell>
          <cell r="U244">
            <v>33990000</v>
          </cell>
          <cell r="V244">
            <v>33990000</v>
          </cell>
        </row>
        <row r="245">
          <cell r="J245">
            <v>430</v>
          </cell>
          <cell r="K245">
            <v>43124</v>
          </cell>
          <cell r="L245" t="str">
            <v>LINA MARCELA RINCON ANDRADE</v>
          </cell>
          <cell r="M245">
            <v>145</v>
          </cell>
          <cell r="N245" t="str">
            <v>CONTRATO DE PRESTACION DE SERVICIOS PROFESIONALES</v>
          </cell>
          <cell r="O245">
            <v>371</v>
          </cell>
          <cell r="P245">
            <v>43124</v>
          </cell>
          <cell r="Q245"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v>
          </cell>
          <cell r="R245">
            <v>52530000</v>
          </cell>
          <cell r="S245">
            <v>0</v>
          </cell>
          <cell r="T245">
            <v>0</v>
          </cell>
          <cell r="U245">
            <v>52530000</v>
          </cell>
          <cell r="V245">
            <v>32568600</v>
          </cell>
        </row>
        <row r="246">
          <cell r="J246">
            <v>436</v>
          </cell>
          <cell r="K246">
            <v>43125</v>
          </cell>
          <cell r="L246" t="str">
            <v>GERLEY  AMAYA CULMA</v>
          </cell>
          <cell r="M246">
            <v>145</v>
          </cell>
          <cell r="N246" t="str">
            <v>CONTRATO DE PRESTACION DE SERVICIOS PROFESIONALES</v>
          </cell>
          <cell r="O246">
            <v>376</v>
          </cell>
          <cell r="P246">
            <v>43125</v>
          </cell>
          <cell r="Q246" t="str">
            <v>Prestación de servicios profesionales de apoyo financiero respecto a la programación, control presupuestal y acciones de soporte en la Dirección de Reasentamientos de la Caja de la Vivienda Popular</v>
          </cell>
          <cell r="R246">
            <v>27192000</v>
          </cell>
          <cell r="S246">
            <v>0</v>
          </cell>
          <cell r="T246">
            <v>0</v>
          </cell>
          <cell r="U246">
            <v>27192000</v>
          </cell>
          <cell r="V246">
            <v>27192000</v>
          </cell>
        </row>
        <row r="247">
          <cell r="J247">
            <v>449</v>
          </cell>
          <cell r="K247">
            <v>43125</v>
          </cell>
          <cell r="L247" t="str">
            <v>HARLEY LIZARDO GONZALEZ RODRIGUEZ</v>
          </cell>
          <cell r="M247">
            <v>148</v>
          </cell>
          <cell r="N247" t="str">
            <v>CONTRATO DE PRESTACION DE SERVICIOS DE APOYO A LA GESTION</v>
          </cell>
          <cell r="O247">
            <v>385</v>
          </cell>
          <cell r="P247">
            <v>43125</v>
          </cell>
          <cell r="Q247" t="str">
            <v>PRESTACIÓN DE SERVICIOS DE APOYO A LA GESTIÓN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47">
            <v>19961400</v>
          </cell>
          <cell r="S247">
            <v>0</v>
          </cell>
          <cell r="T247">
            <v>0</v>
          </cell>
          <cell r="U247">
            <v>19961400</v>
          </cell>
          <cell r="V247">
            <v>19961400</v>
          </cell>
        </row>
        <row r="248">
          <cell r="J248">
            <v>450</v>
          </cell>
          <cell r="K248">
            <v>43125</v>
          </cell>
          <cell r="L248" t="str">
            <v>LUPIEN ROSENBERG ET ASSOCIES SAS</v>
          </cell>
          <cell r="M248">
            <v>145</v>
          </cell>
          <cell r="N248" t="str">
            <v>CONTRATO DE PRESTACION DE SERVICIOS PROFESIONALES</v>
          </cell>
          <cell r="O248">
            <v>386</v>
          </cell>
          <cell r="P248">
            <v>43125</v>
          </cell>
          <cell r="Q248" t="str">
            <v>Prestación de servicios profesionales para brindar apoyo en la implementación de la metodología de Desarrollo Integral de Comunidades Sostenibles de conformidad con la misionalidad de la Dirección de Reasentamientos de la Caja de la Vivienda Popular.</v>
          </cell>
          <cell r="R248">
            <v>82400000</v>
          </cell>
          <cell r="S248">
            <v>0</v>
          </cell>
          <cell r="T248">
            <v>0</v>
          </cell>
          <cell r="U248">
            <v>82400000</v>
          </cell>
          <cell r="V248">
            <v>51088000</v>
          </cell>
        </row>
        <row r="249">
          <cell r="J249">
            <v>454</v>
          </cell>
          <cell r="K249">
            <v>43125</v>
          </cell>
          <cell r="L249" t="str">
            <v>MARIA CRISTINA ALVAREZ ESPINOSA</v>
          </cell>
          <cell r="M249">
            <v>145</v>
          </cell>
          <cell r="N249" t="str">
            <v>CONTRATO DE PRESTACION DE SERVICIOS PROFESIONALES</v>
          </cell>
          <cell r="O249">
            <v>384</v>
          </cell>
          <cell r="P249">
            <v>43125</v>
          </cell>
          <cell r="Q249" t="str">
            <v>Prestación de servicios profesionales, para el acompañamiento jurídico, en los procesos y procedimientos establecidos frente a la ejecución del programa misional de la Dirección de reasentamientos de la Caja de la Vivienda Popular.</v>
          </cell>
          <cell r="R249">
            <v>31518000</v>
          </cell>
          <cell r="S249">
            <v>0</v>
          </cell>
          <cell r="T249">
            <v>0</v>
          </cell>
          <cell r="U249">
            <v>31518000</v>
          </cell>
          <cell r="V249">
            <v>31518000</v>
          </cell>
        </row>
        <row r="250">
          <cell r="J250">
            <v>455</v>
          </cell>
          <cell r="K250">
            <v>43126</v>
          </cell>
          <cell r="L250" t="str">
            <v>CLORIS DEYANIRA MONICA ORTEGA CARDOZO</v>
          </cell>
          <cell r="M250">
            <v>148</v>
          </cell>
          <cell r="N250" t="str">
            <v>CONTRATO DE PRESTACION DE SERVICIOS DE APOYO A LA GESTION</v>
          </cell>
          <cell r="O250">
            <v>353</v>
          </cell>
          <cell r="P250">
            <v>43126</v>
          </cell>
          <cell r="Q250" t="str">
            <v>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v>
          </cell>
          <cell r="R250">
            <v>10506000</v>
          </cell>
          <cell r="S250">
            <v>0</v>
          </cell>
          <cell r="T250">
            <v>0</v>
          </cell>
          <cell r="U250">
            <v>10506000</v>
          </cell>
          <cell r="V250">
            <v>10506000</v>
          </cell>
        </row>
        <row r="251">
          <cell r="J251">
            <v>461</v>
          </cell>
          <cell r="K251">
            <v>43126</v>
          </cell>
          <cell r="L251" t="str">
            <v>SANDRA JOHANA PAI GOMEZ</v>
          </cell>
          <cell r="M251">
            <v>145</v>
          </cell>
          <cell r="N251" t="str">
            <v>CONTRATO DE PRESTACION DE SERVICIOS PROFESIONALES</v>
          </cell>
          <cell r="O251">
            <v>388</v>
          </cell>
          <cell r="P251">
            <v>43126</v>
          </cell>
          <cell r="Q251" t="str">
            <v>Prestación de servicios profesionales, como apoyo jurídico en las actuaciones propias que requiera la Dirección de Reasentamientos de la Caja de la Vivienda Popular en la ejecución del programa de Reasentamientos</v>
          </cell>
          <cell r="R251">
            <v>82400000</v>
          </cell>
          <cell r="S251">
            <v>0</v>
          </cell>
          <cell r="T251">
            <v>0</v>
          </cell>
          <cell r="U251">
            <v>82400000</v>
          </cell>
          <cell r="V251">
            <v>50813333</v>
          </cell>
        </row>
        <row r="252">
          <cell r="J252">
            <v>466</v>
          </cell>
          <cell r="K252">
            <v>43126</v>
          </cell>
          <cell r="L252" t="str">
            <v>MARIA FERNANDA ANAYA SEDAN</v>
          </cell>
          <cell r="M252">
            <v>148</v>
          </cell>
          <cell r="N252" t="str">
            <v>CONTRATO DE PRESTACION DE SERVICIOS DE APOYO A LA GESTION</v>
          </cell>
          <cell r="O252">
            <v>393</v>
          </cell>
          <cell r="P252">
            <v>43126</v>
          </cell>
          <cell r="Q252" t="str">
            <v>Prestación de serviciosde apoyo a la gestion, para el acompañamiento jurídico, en los procesos y procedimientos establecidos frente a la ejecución del programa misional de la Dirección de Reasentamientos de la Caja de la Vivienda Popular.</v>
          </cell>
          <cell r="R252">
            <v>23288300</v>
          </cell>
          <cell r="S252">
            <v>0</v>
          </cell>
          <cell r="T252">
            <v>0</v>
          </cell>
          <cell r="U252">
            <v>23288300</v>
          </cell>
          <cell r="V252">
            <v>20515883</v>
          </cell>
        </row>
        <row r="253">
          <cell r="J253">
            <v>473</v>
          </cell>
          <cell r="K253">
            <v>43126</v>
          </cell>
          <cell r="L253" t="str">
            <v>WADY JORGE CHICA ORDOÑEZ</v>
          </cell>
          <cell r="M253">
            <v>148</v>
          </cell>
          <cell r="N253" t="str">
            <v>CONTRATO DE PRESTACION DE SERVICIOS DE APOYO A LA GESTION</v>
          </cell>
          <cell r="O253">
            <v>399</v>
          </cell>
          <cell r="P253">
            <v>43126</v>
          </cell>
          <cell r="Q253" t="str">
            <v>PRESTACIÓN DE SERVICIOS DE APOYO A LA GESTIÓN EN LO RELACIONADO CON EL MANEJO DE ARCHIVO Y GESTIÓN DOCUMENTAL GENERADO DESDE LA DIRECCIÓN DE REASENTAMIENTOS DE LA CAJA DE LA VIVIENDA POPULAR.</v>
          </cell>
          <cell r="R253">
            <v>19961400</v>
          </cell>
          <cell r="S253">
            <v>0</v>
          </cell>
          <cell r="T253">
            <v>0</v>
          </cell>
          <cell r="U253">
            <v>19961400</v>
          </cell>
          <cell r="V253">
            <v>19961400</v>
          </cell>
        </row>
        <row r="254">
          <cell r="J254">
            <v>474</v>
          </cell>
          <cell r="K254">
            <v>43126</v>
          </cell>
          <cell r="L254" t="str">
            <v>MANUEL JULIAN FIERRO GARZON</v>
          </cell>
          <cell r="M254">
            <v>145</v>
          </cell>
          <cell r="N254" t="str">
            <v>CONTRATO DE PRESTACION DE SERVICIOS PROFESIONALES</v>
          </cell>
          <cell r="O254">
            <v>400</v>
          </cell>
          <cell r="P254">
            <v>43126</v>
          </cell>
          <cell r="Q254" t="str">
            <v>Prestar sus servicios profesionales en la Dirección de Reasentamientos apoyando la ejecución de las diferentes actividades de la Dirección, en especial temas relacionados con relocalización transitoria.</v>
          </cell>
          <cell r="R254">
            <v>33990000</v>
          </cell>
          <cell r="S254">
            <v>0</v>
          </cell>
          <cell r="T254">
            <v>0</v>
          </cell>
          <cell r="U254">
            <v>33990000</v>
          </cell>
          <cell r="V254">
            <v>20960500</v>
          </cell>
        </row>
        <row r="255">
          <cell r="J255">
            <v>484</v>
          </cell>
          <cell r="K255">
            <v>43126</v>
          </cell>
          <cell r="L255" t="str">
            <v>JENNY CATALINA VILLARREAL OREJUELA</v>
          </cell>
          <cell r="M255">
            <v>145</v>
          </cell>
          <cell r="N255" t="str">
            <v>CONTRATO DE PRESTACION DE SERVICIOS PROFESIONALES</v>
          </cell>
          <cell r="O255">
            <v>406</v>
          </cell>
          <cell r="P255">
            <v>43126</v>
          </cell>
          <cell r="Q255" t="str">
            <v>Prestación de servicios profesionales para apoyar a la Dirección de Reasentamientos en los procesos y procedimientos que se requieran para el cumplimiento de sus metas.</v>
          </cell>
          <cell r="R255">
            <v>20394000</v>
          </cell>
          <cell r="S255">
            <v>0</v>
          </cell>
          <cell r="T255">
            <v>0</v>
          </cell>
          <cell r="U255">
            <v>20394000</v>
          </cell>
          <cell r="V255">
            <v>20394000</v>
          </cell>
        </row>
        <row r="256">
          <cell r="J256">
            <v>485</v>
          </cell>
          <cell r="K256">
            <v>43126</v>
          </cell>
          <cell r="L256" t="str">
            <v>JOSE ANDRES CHAVES MEJIA</v>
          </cell>
          <cell r="M256">
            <v>148</v>
          </cell>
          <cell r="N256" t="str">
            <v>CONTRATO DE PRESTACION DE SERVICIOS DE APOYO A LA GESTION</v>
          </cell>
          <cell r="O256">
            <v>407</v>
          </cell>
          <cell r="P256">
            <v>43126</v>
          </cell>
          <cell r="Q256" t="str">
            <v>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56">
            <v>19961400</v>
          </cell>
          <cell r="S256">
            <v>0</v>
          </cell>
          <cell r="T256">
            <v>0</v>
          </cell>
          <cell r="U256">
            <v>19961400</v>
          </cell>
          <cell r="V256">
            <v>19739607</v>
          </cell>
        </row>
        <row r="257">
          <cell r="J257">
            <v>500</v>
          </cell>
          <cell r="K257">
            <v>43126</v>
          </cell>
          <cell r="L257" t="str">
            <v>CLAUDIA VIVIANA VANEGAS BELTRAN</v>
          </cell>
          <cell r="M257">
            <v>145</v>
          </cell>
          <cell r="N257" t="str">
            <v>CONTRATO DE PRESTACION DE SERVICIOS PROFESIONALES</v>
          </cell>
          <cell r="O257">
            <v>410</v>
          </cell>
          <cell r="P257">
            <v>43126</v>
          </cell>
          <cell r="Q257"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R257">
            <v>72100000</v>
          </cell>
          <cell r="S257">
            <v>0</v>
          </cell>
          <cell r="T257">
            <v>0</v>
          </cell>
          <cell r="U257">
            <v>72100000</v>
          </cell>
          <cell r="V257">
            <v>43740667</v>
          </cell>
        </row>
        <row r="258">
          <cell r="J258">
            <v>501</v>
          </cell>
          <cell r="K258">
            <v>43126</v>
          </cell>
          <cell r="L258" t="str">
            <v>MARTHA CAROLINA HERNANDEZ ACEVEDO</v>
          </cell>
          <cell r="M258">
            <v>145</v>
          </cell>
          <cell r="N258" t="str">
            <v>CONTRATO DE PRESTACION DE SERVICIOS PROFESIONALES</v>
          </cell>
          <cell r="O258">
            <v>411</v>
          </cell>
          <cell r="P258">
            <v>43126</v>
          </cell>
          <cell r="Q258"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58">
            <v>31518000</v>
          </cell>
          <cell r="S258">
            <v>0</v>
          </cell>
          <cell r="T258">
            <v>0</v>
          </cell>
          <cell r="U258">
            <v>31518000</v>
          </cell>
          <cell r="V258">
            <v>26615200</v>
          </cell>
        </row>
        <row r="259">
          <cell r="J259">
            <v>503</v>
          </cell>
          <cell r="K259">
            <v>43126</v>
          </cell>
          <cell r="L259" t="str">
            <v>YESENIA  MIRANDA PACHECO</v>
          </cell>
          <cell r="M259">
            <v>148</v>
          </cell>
          <cell r="N259" t="str">
            <v>CONTRATO DE PRESTACION DE SERVICIOS DE APOYO A LA GESTION</v>
          </cell>
          <cell r="O259">
            <v>412</v>
          </cell>
          <cell r="P259">
            <v>43126</v>
          </cell>
          <cell r="Q259" t="str">
            <v>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v>
          </cell>
          <cell r="R259">
            <v>10506000</v>
          </cell>
          <cell r="S259">
            <v>0</v>
          </cell>
          <cell r="T259">
            <v>0</v>
          </cell>
          <cell r="U259">
            <v>10506000</v>
          </cell>
          <cell r="V259">
            <v>10506000</v>
          </cell>
        </row>
        <row r="260">
          <cell r="J260">
            <v>505</v>
          </cell>
          <cell r="K260">
            <v>43126</v>
          </cell>
          <cell r="L260" t="str">
            <v>LEYDI JOHANA GONZALEZ URREGO</v>
          </cell>
          <cell r="M260">
            <v>145</v>
          </cell>
          <cell r="N260" t="str">
            <v>CONTRATO DE PRESTACION DE SERVICIOS PROFESIONALES</v>
          </cell>
          <cell r="O260">
            <v>415</v>
          </cell>
          <cell r="P260">
            <v>43126</v>
          </cell>
          <cell r="Q260" t="str">
            <v>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v>
          </cell>
          <cell r="R260">
            <v>21321000</v>
          </cell>
          <cell r="S260">
            <v>0</v>
          </cell>
          <cell r="T260">
            <v>0</v>
          </cell>
          <cell r="U260">
            <v>21321000</v>
          </cell>
          <cell r="V260">
            <v>21321000</v>
          </cell>
        </row>
        <row r="261">
          <cell r="J261">
            <v>653</v>
          </cell>
          <cell r="K261">
            <v>43136</v>
          </cell>
          <cell r="L261" t="str">
            <v>ALONSO  HERRERA CARPIO</v>
          </cell>
          <cell r="M261">
            <v>31</v>
          </cell>
          <cell r="N261" t="str">
            <v>RESOLUCION</v>
          </cell>
          <cell r="O261">
            <v>116</v>
          </cell>
          <cell r="P261">
            <v>43136</v>
          </cell>
          <cell r="Q261" t="str">
            <v>AYUDA TEMPORAL A LAS FAMILIAS DE VARIAS LOCALIDADES, PARA RELOCALIZACIÓN DE HOGARES LOCALIZADOS EN ZONAS DE ALTO RIESGO NO MITIGABLE ID:2011-4-12695, LOCALIDAD:04 SAN CRISTÓBAL, UPZ:32 SAN BLAS</v>
          </cell>
          <cell r="R261">
            <v>2301678</v>
          </cell>
          <cell r="S261">
            <v>2301678</v>
          </cell>
          <cell r="T261">
            <v>0</v>
          </cell>
          <cell r="U261">
            <v>0</v>
          </cell>
          <cell r="V261">
            <v>0</v>
          </cell>
        </row>
        <row r="262">
          <cell r="J262">
            <v>1555</v>
          </cell>
          <cell r="K262">
            <v>43172</v>
          </cell>
          <cell r="L262" t="str">
            <v>JUAN DAVID CUADROS GARZON</v>
          </cell>
          <cell r="M262">
            <v>145</v>
          </cell>
          <cell r="N262" t="str">
            <v>CONTRATO DE PRESTACION DE SERVICIOS PROFESIONALES</v>
          </cell>
          <cell r="O262">
            <v>537</v>
          </cell>
          <cell r="P262">
            <v>43172</v>
          </cell>
          <cell r="Q262" t="str">
            <v>Pròrroga y Adiciòn al Contrato No 537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2">
            <v>12000000</v>
          </cell>
          <cell r="S262">
            <v>0</v>
          </cell>
          <cell r="T262">
            <v>0</v>
          </cell>
          <cell r="U262">
            <v>12000000</v>
          </cell>
          <cell r="V262">
            <v>12000000</v>
          </cell>
        </row>
        <row r="263">
          <cell r="J263">
            <v>1556</v>
          </cell>
          <cell r="K263">
            <v>43172</v>
          </cell>
          <cell r="L263" t="str">
            <v>CONSUELO  NAVAS MARTINEZ</v>
          </cell>
          <cell r="M263">
            <v>145</v>
          </cell>
          <cell r="N263" t="str">
            <v>CONTRATO DE PRESTACION DE SERVICIOS PROFESIONALES</v>
          </cell>
          <cell r="O263">
            <v>536</v>
          </cell>
          <cell r="P263">
            <v>43172</v>
          </cell>
          <cell r="Q263" t="str">
            <v>"PRÒRROGA Y ADICIÒN AL CONTRATO NO 536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3">
            <v>15300000</v>
          </cell>
          <cell r="S263">
            <v>0</v>
          </cell>
          <cell r="T263">
            <v>0</v>
          </cell>
          <cell r="U263">
            <v>15300000</v>
          </cell>
          <cell r="V263">
            <v>15300000</v>
          </cell>
        </row>
        <row r="264">
          <cell r="J264">
            <v>1572</v>
          </cell>
          <cell r="K264">
            <v>43173</v>
          </cell>
          <cell r="L264" t="str">
            <v>CINDY MARYORY RAMIREZ DURAN</v>
          </cell>
          <cell r="M264">
            <v>145</v>
          </cell>
          <cell r="N264" t="str">
            <v>CONTRATO DE PRESTACION DE SERVICIOS PROFESIONALES</v>
          </cell>
          <cell r="O264">
            <v>541</v>
          </cell>
          <cell r="P264">
            <v>43173</v>
          </cell>
          <cell r="Q264" t="str">
            <v>Pròrroga y Adiciòn al Contrato No 541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4">
            <v>9900000</v>
          </cell>
          <cell r="S264">
            <v>0</v>
          </cell>
          <cell r="T264">
            <v>0</v>
          </cell>
          <cell r="U264">
            <v>9900000</v>
          </cell>
          <cell r="V264">
            <v>9900000</v>
          </cell>
        </row>
        <row r="265">
          <cell r="J265">
            <v>1573</v>
          </cell>
          <cell r="K265">
            <v>43173</v>
          </cell>
          <cell r="L265" t="str">
            <v>LINA YESSENIA CAMPOS PASTRAN</v>
          </cell>
          <cell r="M265">
            <v>145</v>
          </cell>
          <cell r="N265" t="str">
            <v>CONTRATO DE PRESTACION DE SERVICIOS PROFESIONALES</v>
          </cell>
          <cell r="O265">
            <v>540</v>
          </cell>
          <cell r="P265">
            <v>43173</v>
          </cell>
          <cell r="Q265" t="str">
            <v>Pròrroga y Adiciòn al Contrato No 540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5">
            <v>16500000</v>
          </cell>
          <cell r="S265">
            <v>0</v>
          </cell>
          <cell r="T265">
            <v>0</v>
          </cell>
          <cell r="U265">
            <v>16500000</v>
          </cell>
          <cell r="V265">
            <v>16500000</v>
          </cell>
        </row>
        <row r="266">
          <cell r="J266">
            <v>1574</v>
          </cell>
          <cell r="K266">
            <v>43173</v>
          </cell>
          <cell r="L266" t="str">
            <v>MARIA CRISTINA FLORIAN RODRIGUEZ</v>
          </cell>
          <cell r="M266">
            <v>145</v>
          </cell>
          <cell r="N266" t="str">
            <v>CONTRATO DE PRESTACION DE SERVICIOS PROFESIONALES</v>
          </cell>
          <cell r="O266">
            <v>539</v>
          </cell>
          <cell r="P266">
            <v>43173</v>
          </cell>
          <cell r="Q266" t="str">
            <v>"Pròrroga y Adiciòn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6">
            <v>14670000</v>
          </cell>
          <cell r="S266">
            <v>0</v>
          </cell>
          <cell r="T266">
            <v>0</v>
          </cell>
          <cell r="U266">
            <v>14670000</v>
          </cell>
          <cell r="V266">
            <v>14670000</v>
          </cell>
        </row>
        <row r="267">
          <cell r="J267">
            <v>1575</v>
          </cell>
          <cell r="K267">
            <v>43173</v>
          </cell>
          <cell r="L267" t="str">
            <v>DIANA CAROLINA RATIVA SANTAFE</v>
          </cell>
          <cell r="M267">
            <v>145</v>
          </cell>
          <cell r="N267" t="str">
            <v>CONTRATO DE PRESTACION DE SERVICIOS PROFESIONALES</v>
          </cell>
          <cell r="O267">
            <v>534</v>
          </cell>
          <cell r="P267">
            <v>43173</v>
          </cell>
          <cell r="Q267" t="str">
            <v>Pròrroga y Adiciòn al Contrato No 534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7">
            <v>15300000</v>
          </cell>
          <cell r="S267">
            <v>0</v>
          </cell>
          <cell r="T267">
            <v>0</v>
          </cell>
          <cell r="U267">
            <v>15300000</v>
          </cell>
          <cell r="V267">
            <v>15300000</v>
          </cell>
        </row>
        <row r="268">
          <cell r="J268">
            <v>1576</v>
          </cell>
          <cell r="K268">
            <v>43173</v>
          </cell>
          <cell r="L268" t="str">
            <v>MARIA DEL PILAR FERNANDEZ GARCIA</v>
          </cell>
          <cell r="M268">
            <v>145</v>
          </cell>
          <cell r="N268" t="str">
            <v>CONTRATO DE PRESTACION DE SERVICIOS PROFESIONALES</v>
          </cell>
          <cell r="O268">
            <v>542</v>
          </cell>
          <cell r="P268">
            <v>43173</v>
          </cell>
          <cell r="Q268" t="str">
            <v>PRÒRROGA Y ADICIÒN AL CONTRATO NO 542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8">
            <v>15300000</v>
          </cell>
          <cell r="S268">
            <v>0</v>
          </cell>
          <cell r="T268">
            <v>0</v>
          </cell>
          <cell r="U268">
            <v>15300000</v>
          </cell>
          <cell r="V268">
            <v>15300000</v>
          </cell>
        </row>
        <row r="269">
          <cell r="J269">
            <v>1591</v>
          </cell>
          <cell r="K269">
            <v>43175</v>
          </cell>
          <cell r="L269" t="str">
            <v>NATALIA ANDREA MELENDEZ MONTENEGRO</v>
          </cell>
          <cell r="M269">
            <v>145</v>
          </cell>
          <cell r="N269" t="str">
            <v>CONTRATO DE PRESTACION DE SERVICIOS PROFESIONALES</v>
          </cell>
          <cell r="O269">
            <v>549</v>
          </cell>
          <cell r="P269">
            <v>43175</v>
          </cell>
          <cell r="Q269" t="str">
            <v>Pròrroga y Adiciòn al Contrato No 549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69">
            <v>9900000</v>
          </cell>
          <cell r="S269">
            <v>0</v>
          </cell>
          <cell r="T269">
            <v>0</v>
          </cell>
          <cell r="U269">
            <v>9900000</v>
          </cell>
          <cell r="V269">
            <v>9900000</v>
          </cell>
        </row>
        <row r="270">
          <cell r="J270">
            <v>1592</v>
          </cell>
          <cell r="K270">
            <v>43175</v>
          </cell>
          <cell r="L270" t="str">
            <v>LILIANA  MACHADO BOTERO</v>
          </cell>
          <cell r="M270">
            <v>145</v>
          </cell>
          <cell r="N270" t="str">
            <v>CONTRATO DE PRESTACION DE SERVICIOS PROFESIONALES</v>
          </cell>
          <cell r="O270">
            <v>545</v>
          </cell>
          <cell r="P270">
            <v>43175</v>
          </cell>
          <cell r="Q270" t="str">
            <v>"Pròrroga y Adiciòn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0">
            <v>15300000</v>
          </cell>
          <cell r="S270">
            <v>0</v>
          </cell>
          <cell r="T270">
            <v>0</v>
          </cell>
          <cell r="U270">
            <v>15300000</v>
          </cell>
          <cell r="V270">
            <v>15300000</v>
          </cell>
        </row>
        <row r="271">
          <cell r="J271">
            <v>1593</v>
          </cell>
          <cell r="K271">
            <v>43175</v>
          </cell>
          <cell r="L271" t="str">
            <v>SEBASTIAN  HERRERA RAMOS</v>
          </cell>
          <cell r="M271">
            <v>145</v>
          </cell>
          <cell r="N271" t="str">
            <v>CONTRATO DE PRESTACION DE SERVICIOS PROFESIONALES</v>
          </cell>
          <cell r="O271">
            <v>546</v>
          </cell>
          <cell r="P271">
            <v>43175</v>
          </cell>
          <cell r="Q271" t="str">
            <v>"Pròrroga y Adiciòn al Contrato No 546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1">
            <v>10350000</v>
          </cell>
          <cell r="S271">
            <v>0</v>
          </cell>
          <cell r="T271">
            <v>0</v>
          </cell>
          <cell r="U271">
            <v>10350000</v>
          </cell>
          <cell r="V271">
            <v>10350000</v>
          </cell>
        </row>
        <row r="272">
          <cell r="J272">
            <v>1594</v>
          </cell>
          <cell r="K272">
            <v>43175</v>
          </cell>
          <cell r="L272" t="str">
            <v>MARISOL  DELGADO FANDIÑO</v>
          </cell>
          <cell r="M272">
            <v>145</v>
          </cell>
          <cell r="N272" t="str">
            <v>CONTRATO DE PRESTACION DE SERVICIOS PROFESIONALES</v>
          </cell>
          <cell r="O272">
            <v>543</v>
          </cell>
          <cell r="P272">
            <v>43175</v>
          </cell>
          <cell r="Q272" t="str">
            <v>Pròrroga y Adiciòn al Contrato No 543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2">
            <v>9900000</v>
          </cell>
          <cell r="S272">
            <v>0</v>
          </cell>
          <cell r="T272">
            <v>0</v>
          </cell>
          <cell r="U272">
            <v>9900000</v>
          </cell>
          <cell r="V272">
            <v>9900000</v>
          </cell>
        </row>
        <row r="273">
          <cell r="J273">
            <v>1595</v>
          </cell>
          <cell r="K273">
            <v>43175</v>
          </cell>
          <cell r="L273" t="str">
            <v>CINDY LORENA MONROY OSSA</v>
          </cell>
          <cell r="M273">
            <v>145</v>
          </cell>
          <cell r="N273" t="str">
            <v>CONTRATO DE PRESTACION DE SERVICIOS PROFESIONALES</v>
          </cell>
          <cell r="O273">
            <v>551</v>
          </cell>
          <cell r="P273">
            <v>43175</v>
          </cell>
          <cell r="Q273" t="str">
            <v>PRÒRROGA Y ADICIÒN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3">
            <v>12000000</v>
          </cell>
          <cell r="S273">
            <v>0</v>
          </cell>
          <cell r="T273">
            <v>0</v>
          </cell>
          <cell r="U273">
            <v>12000000</v>
          </cell>
          <cell r="V273">
            <v>5733333</v>
          </cell>
        </row>
        <row r="274">
          <cell r="J274">
            <v>1596</v>
          </cell>
          <cell r="K274">
            <v>43175</v>
          </cell>
          <cell r="L274" t="str">
            <v>OSCAR  ROBAYO ULLOA</v>
          </cell>
          <cell r="M274">
            <v>145</v>
          </cell>
          <cell r="N274" t="str">
            <v>CONTRATO DE PRESTACION DE SERVICIOS PROFESIONALES</v>
          </cell>
          <cell r="O274">
            <v>544</v>
          </cell>
          <cell r="P274">
            <v>43175</v>
          </cell>
          <cell r="Q274" t="str">
            <v>"Pròrroga y Adiciòn al Contrato No 544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4">
            <v>15300000</v>
          </cell>
          <cell r="S274">
            <v>0</v>
          </cell>
          <cell r="T274">
            <v>0</v>
          </cell>
          <cell r="U274">
            <v>15300000</v>
          </cell>
          <cell r="V274">
            <v>15300000</v>
          </cell>
        </row>
        <row r="275">
          <cell r="J275">
            <v>1597</v>
          </cell>
          <cell r="K275">
            <v>43175</v>
          </cell>
          <cell r="L275" t="str">
            <v>LUZ CECILIA MARTINEZ MOSQUERA</v>
          </cell>
          <cell r="M275">
            <v>145</v>
          </cell>
          <cell r="N275" t="str">
            <v>CONTRATO DE PRESTACION DE SERVICIOS PROFESIONALES</v>
          </cell>
          <cell r="O275">
            <v>552</v>
          </cell>
          <cell r="P275">
            <v>43175</v>
          </cell>
          <cell r="Q275" t="str">
            <v>PRÒRROGA Y ADICIÒN AL CONTRATO NO 552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5">
            <v>12000000</v>
          </cell>
          <cell r="S275">
            <v>0</v>
          </cell>
          <cell r="T275">
            <v>0</v>
          </cell>
          <cell r="U275">
            <v>12000000</v>
          </cell>
          <cell r="V275">
            <v>12000000</v>
          </cell>
        </row>
        <row r="276">
          <cell r="J276">
            <v>1598</v>
          </cell>
          <cell r="K276">
            <v>43175</v>
          </cell>
          <cell r="L276" t="str">
            <v>MARIA CAROLINA ALVAREZ TECANO</v>
          </cell>
          <cell r="M276">
            <v>145</v>
          </cell>
          <cell r="N276" t="str">
            <v>CONTRATO DE PRESTACION DE SERVICIOS PROFESIONALES</v>
          </cell>
          <cell r="O276">
            <v>558</v>
          </cell>
          <cell r="P276">
            <v>43175</v>
          </cell>
          <cell r="Q276" t="str">
            <v>Pròrroga y Adiciòn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6">
            <v>10350000</v>
          </cell>
          <cell r="S276">
            <v>0</v>
          </cell>
          <cell r="T276">
            <v>0</v>
          </cell>
          <cell r="U276">
            <v>10350000</v>
          </cell>
          <cell r="V276">
            <v>10350000</v>
          </cell>
        </row>
        <row r="277">
          <cell r="J277">
            <v>1599</v>
          </cell>
          <cell r="K277">
            <v>43175</v>
          </cell>
          <cell r="L277" t="str">
            <v>MARISOL  AMAYA OVIEDO</v>
          </cell>
          <cell r="M277">
            <v>145</v>
          </cell>
          <cell r="N277" t="str">
            <v>CONTRATO DE PRESTACION DE SERVICIOS PROFESIONALES</v>
          </cell>
          <cell r="O277">
            <v>554</v>
          </cell>
          <cell r="P277">
            <v>43175</v>
          </cell>
          <cell r="Q277" t="str">
            <v>PRÒRROGA Y ADICIÒN AL CONTRATO NO 554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7">
            <v>15300000</v>
          </cell>
          <cell r="S277">
            <v>0</v>
          </cell>
          <cell r="T277">
            <v>0</v>
          </cell>
          <cell r="U277">
            <v>15300000</v>
          </cell>
          <cell r="V277">
            <v>15300000</v>
          </cell>
        </row>
        <row r="278">
          <cell r="J278">
            <v>1612</v>
          </cell>
          <cell r="K278">
            <v>43181</v>
          </cell>
          <cell r="L278" t="str">
            <v>GINA ESTEPHANIA LESCANO NIÑO</v>
          </cell>
          <cell r="M278">
            <v>145</v>
          </cell>
          <cell r="N278" t="str">
            <v>CONTRATO DE PRESTACION DE SERVICIOS PROFESIONALES</v>
          </cell>
          <cell r="O278">
            <v>561</v>
          </cell>
          <cell r="P278">
            <v>43181</v>
          </cell>
          <cell r="Q278" t="str">
            <v>"Pròrroga y Adiciòn al Contrato No 561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78">
            <v>10350000</v>
          </cell>
          <cell r="S278">
            <v>0</v>
          </cell>
          <cell r="T278">
            <v>0</v>
          </cell>
          <cell r="U278">
            <v>10350000</v>
          </cell>
          <cell r="V278">
            <v>10350000</v>
          </cell>
        </row>
        <row r="279">
          <cell r="J279">
            <v>1639</v>
          </cell>
          <cell r="K279">
            <v>43182</v>
          </cell>
          <cell r="L279" t="str">
            <v>MANUEL CAMILO MARTINEZ OSORIO</v>
          </cell>
          <cell r="M279">
            <v>148</v>
          </cell>
          <cell r="N279" t="str">
            <v>CONTRATO DE PRESTACION DE SERVICIOS DE APOYO A LA GESTION</v>
          </cell>
          <cell r="O279">
            <v>569</v>
          </cell>
          <cell r="P279">
            <v>43182</v>
          </cell>
          <cell r="Q279" t="str">
            <v>Pròrroga y Adiciòn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Kennedy".Cordialmente,</v>
          </cell>
          <cell r="R279">
            <v>7200000</v>
          </cell>
          <cell r="S279">
            <v>0</v>
          </cell>
          <cell r="T279">
            <v>0</v>
          </cell>
          <cell r="U279">
            <v>7200000</v>
          </cell>
          <cell r="V279">
            <v>5200000</v>
          </cell>
        </row>
        <row r="280">
          <cell r="J280">
            <v>1754</v>
          </cell>
          <cell r="K280">
            <v>43200</v>
          </cell>
          <cell r="L280" t="str">
            <v>FRANCY PAOLA CRUZ ARDILA</v>
          </cell>
          <cell r="M280">
            <v>145</v>
          </cell>
          <cell r="N280" t="str">
            <v>CONTRATO DE PRESTACION DE SERVICIOS PROFESIONALES</v>
          </cell>
          <cell r="O280">
            <v>548</v>
          </cell>
          <cell r="P280">
            <v>43200</v>
          </cell>
          <cell r="Q280" t="str">
            <v>PRÒRROGA Y ADICIÒN AL CONTRATO NO 548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R280">
            <v>15300000</v>
          </cell>
          <cell r="S280">
            <v>0</v>
          </cell>
          <cell r="T280">
            <v>0</v>
          </cell>
          <cell r="U280">
            <v>15300000</v>
          </cell>
          <cell r="V280">
            <v>15300000</v>
          </cell>
        </row>
        <row r="281">
          <cell r="J281">
            <v>2403</v>
          </cell>
          <cell r="K281">
            <v>43280</v>
          </cell>
          <cell r="L281" t="str">
            <v>UNIDAD ADMINISTRATIVA ESPECIAL DE CATASTRO DISTRITAL</v>
          </cell>
          <cell r="M281">
            <v>21</v>
          </cell>
          <cell r="N281" t="str">
            <v>CONVENIO INTERADMINISTRATIVO</v>
          </cell>
          <cell r="O281">
            <v>436</v>
          </cell>
          <cell r="P281">
            <v>43280</v>
          </cell>
          <cell r="Q281" t="str">
            <v>Realizar los avalúos comerciales y las tasaciones de daño emergente y lucro cesante de los predios que hacen parte de la acción popular 2009-0036 sector " Perpetuo Socorro" Localidad 08-Kennedy.</v>
          </cell>
          <cell r="R281">
            <v>59220487</v>
          </cell>
          <cell r="S281">
            <v>59220487</v>
          </cell>
          <cell r="T281">
            <v>0</v>
          </cell>
          <cell r="U281">
            <v>0</v>
          </cell>
          <cell r="V281">
            <v>0</v>
          </cell>
        </row>
        <row r="282">
          <cell r="J282">
            <v>2404</v>
          </cell>
          <cell r="K282">
            <v>43280</v>
          </cell>
          <cell r="L282" t="str">
            <v>UNIDAD ADMINISTRATIVA ESPECIAL DE CATASTRO DISTRITAL</v>
          </cell>
          <cell r="M282">
            <v>11</v>
          </cell>
          <cell r="N282" t="str">
            <v>CONTRATOS INTERADMINISTRATIVOS</v>
          </cell>
          <cell r="O282">
            <v>436</v>
          </cell>
          <cell r="P282">
            <v>43280</v>
          </cell>
          <cell r="Q282" t="str">
            <v>Realizar los avalúos comerciales y las tasaciones de daño emergente y lucro cesante de los predios que hacen parte de la acción popular 2009-0036 sector " Perpetuo Socorro" Localidad 08-Kennedy.</v>
          </cell>
          <cell r="R282">
            <v>59220487</v>
          </cell>
          <cell r="S282">
            <v>0</v>
          </cell>
          <cell r="T282">
            <v>0</v>
          </cell>
          <cell r="U282">
            <v>59220487</v>
          </cell>
          <cell r="V282">
            <v>0</v>
          </cell>
        </row>
        <row r="283">
          <cell r="J283">
            <v>2553</v>
          </cell>
          <cell r="K283">
            <v>43313</v>
          </cell>
          <cell r="L283" t="str">
            <v>ELIA BEATRIZ SAMPAYO MEZA</v>
          </cell>
          <cell r="M283">
            <v>145</v>
          </cell>
          <cell r="N283" t="str">
            <v>CONTRATO DE PRESTACION DE SERVICIOS PROFESIONALES</v>
          </cell>
          <cell r="O283">
            <v>472</v>
          </cell>
          <cell r="P283">
            <v>43313</v>
          </cell>
          <cell r="Q283" t="str">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v>
          </cell>
          <cell r="R283">
            <v>17767500</v>
          </cell>
          <cell r="S283">
            <v>0</v>
          </cell>
          <cell r="T283">
            <v>0</v>
          </cell>
          <cell r="U283">
            <v>17767500</v>
          </cell>
          <cell r="V283">
            <v>0</v>
          </cell>
        </row>
        <row r="284">
          <cell r="J284">
            <v>2677</v>
          </cell>
          <cell r="K284">
            <v>43329</v>
          </cell>
          <cell r="L284" t="str">
            <v>CAROLINA MARIA QUIMBAYA NOCHES</v>
          </cell>
          <cell r="M284">
            <v>145</v>
          </cell>
          <cell r="N284" t="str">
            <v>CONTRATO DE PRESTACION DE SERVICIOS PROFESIONALES</v>
          </cell>
          <cell r="O284">
            <v>505</v>
          </cell>
          <cell r="P284">
            <v>43329</v>
          </cell>
          <cell r="Q284" t="str">
            <v>Prestación de servicios profesionales en el componente social de la Dirección de Reasentamientos de la Caja de la Vivienda Popular, para la ejecución de planes y programas agenciados por el área misional.</v>
          </cell>
          <cell r="R284">
            <v>18540000</v>
          </cell>
          <cell r="S284">
            <v>0</v>
          </cell>
          <cell r="T284">
            <v>0</v>
          </cell>
          <cell r="U284">
            <v>18540000</v>
          </cell>
          <cell r="V284">
            <v>0</v>
          </cell>
        </row>
        <row r="285">
          <cell r="J285">
            <v>2706</v>
          </cell>
          <cell r="K285">
            <v>43334</v>
          </cell>
          <cell r="L285" t="str">
            <v>DORIS JOHANNA NOVOA LOZANO</v>
          </cell>
          <cell r="M285">
            <v>145</v>
          </cell>
          <cell r="N285" t="str">
            <v>CONTRATO DE PRESTACION DE SERVICIOS PROFESIONALES</v>
          </cell>
          <cell r="O285">
            <v>514</v>
          </cell>
          <cell r="P285">
            <v>43334</v>
          </cell>
          <cell r="Q285" t="str">
            <v>Prestación de servicios profesionales para el acompañamiento jurídico en las actuaciones propias que requiera la Dirección de Reasentamientos de la Caja de la Vivienda Popular.</v>
          </cell>
          <cell r="R285">
            <v>22660000</v>
          </cell>
          <cell r="S285">
            <v>0</v>
          </cell>
          <cell r="T285">
            <v>0</v>
          </cell>
          <cell r="U285">
            <v>22660000</v>
          </cell>
          <cell r="V285">
            <v>0</v>
          </cell>
        </row>
        <row r="286">
          <cell r="J286">
            <v>2707</v>
          </cell>
          <cell r="K286">
            <v>43334</v>
          </cell>
          <cell r="L286" t="str">
            <v>CONSUELO  NAVAS MARTINEZ</v>
          </cell>
          <cell r="M286">
            <v>145</v>
          </cell>
          <cell r="N286" t="str">
            <v>CONTRATO DE PRESTACION DE SERVICIOS PROFESIONALES</v>
          </cell>
          <cell r="O286">
            <v>515</v>
          </cell>
          <cell r="P286">
            <v>43334</v>
          </cell>
          <cell r="Q286" t="str">
            <v>Prestación de servicios profesionales para el acompañamiento jurídico en las actuaciones propias que requiera la Dirección de Reasentamientos de la Caja de la Vivienda Popular.</v>
          </cell>
          <cell r="R286">
            <v>21012000</v>
          </cell>
          <cell r="S286">
            <v>0</v>
          </cell>
          <cell r="T286">
            <v>0</v>
          </cell>
          <cell r="U286">
            <v>21012000</v>
          </cell>
          <cell r="V286">
            <v>0</v>
          </cell>
        </row>
        <row r="287">
          <cell r="J287">
            <v>2708</v>
          </cell>
          <cell r="K287">
            <v>43334</v>
          </cell>
          <cell r="L287" t="str">
            <v>NARDA XIMENA HERNANDEZ MARTINEZ</v>
          </cell>
          <cell r="M287">
            <v>145</v>
          </cell>
          <cell r="N287" t="str">
            <v>CONTRATO DE PRESTACION DE SERVICIOS PROFESIONALES</v>
          </cell>
          <cell r="O287">
            <v>516</v>
          </cell>
          <cell r="P287">
            <v>43334</v>
          </cell>
          <cell r="Q287" t="str">
            <v>Prestación de servicios profesionales en el componente social de la Dirección de Reasentamientos de la Caja de la Vivienda Popular, para la ejecución de planes y programas agenciados por el área misional.</v>
          </cell>
          <cell r="R287">
            <v>21012000</v>
          </cell>
          <cell r="S287">
            <v>0</v>
          </cell>
          <cell r="T287">
            <v>0</v>
          </cell>
          <cell r="U287">
            <v>21012000</v>
          </cell>
          <cell r="V287">
            <v>0</v>
          </cell>
        </row>
        <row r="288">
          <cell r="J288">
            <v>2709</v>
          </cell>
          <cell r="K288">
            <v>43334</v>
          </cell>
          <cell r="L288" t="str">
            <v>RICARDO  PARDO PINZON</v>
          </cell>
          <cell r="M288">
            <v>145</v>
          </cell>
          <cell r="N288" t="str">
            <v>CONTRATO DE PRESTACION DE SERVICIOS PROFESIONALES</v>
          </cell>
          <cell r="O288">
            <v>513</v>
          </cell>
          <cell r="P288">
            <v>43334</v>
          </cell>
          <cell r="Q288" t="str">
            <v>Prestación de servicios profesionales en el componente social de la Dirección de Reasentamientos de la Caja de la Vivienda Popular, para la ejecución de planes y programas agenciados por el área misional.</v>
          </cell>
          <cell r="R288">
            <v>28840000</v>
          </cell>
          <cell r="S288">
            <v>0</v>
          </cell>
          <cell r="T288">
            <v>0</v>
          </cell>
          <cell r="U288">
            <v>28840000</v>
          </cell>
          <cell r="V288">
            <v>0</v>
          </cell>
        </row>
        <row r="289">
          <cell r="J289">
            <v>2710</v>
          </cell>
          <cell r="K289">
            <v>43334</v>
          </cell>
          <cell r="L289" t="str">
            <v>LIZETH YANIRA ARDILA MUÑOZ</v>
          </cell>
          <cell r="M289">
            <v>145</v>
          </cell>
          <cell r="N289" t="str">
            <v>CONTRATO DE PRESTACION DE SERVICIOS PROFESIONALES</v>
          </cell>
          <cell r="O289">
            <v>511</v>
          </cell>
          <cell r="P289">
            <v>43334</v>
          </cell>
          <cell r="Q289" t="str">
            <v>Prestación de servicios profesionales para el acompañamiento jurídico en las actuaciones propias que requiera la Dirección de Reasentamientos de la Caja de la Vivienda Popular.</v>
          </cell>
          <cell r="R289">
            <v>14214000</v>
          </cell>
          <cell r="S289">
            <v>0</v>
          </cell>
          <cell r="T289">
            <v>0</v>
          </cell>
          <cell r="U289">
            <v>14214000</v>
          </cell>
          <cell r="V289">
            <v>0</v>
          </cell>
        </row>
        <row r="290">
          <cell r="J290">
            <v>2711</v>
          </cell>
          <cell r="K290">
            <v>43334</v>
          </cell>
          <cell r="L290" t="str">
            <v>MARIA CAROLINA ALVAREZ TECANO</v>
          </cell>
          <cell r="M290">
            <v>145</v>
          </cell>
          <cell r="N290" t="str">
            <v>CONTRATO DE PRESTACION DE SERVICIOS PROFESIONALES</v>
          </cell>
          <cell r="O290">
            <v>512</v>
          </cell>
          <cell r="P290">
            <v>43334</v>
          </cell>
          <cell r="Q290" t="str">
            <v>Prestación de servicios profesionales en el componente social de la Dirección de Reasentamientos de la Caja de la Vivienda Popular, para la ejecución de planes y programas agenciados por el área misional.</v>
          </cell>
          <cell r="R290">
            <v>14214000</v>
          </cell>
          <cell r="S290">
            <v>0</v>
          </cell>
          <cell r="T290">
            <v>0</v>
          </cell>
          <cell r="U290">
            <v>14214000</v>
          </cell>
          <cell r="V290">
            <v>0</v>
          </cell>
        </row>
        <row r="291">
          <cell r="J291">
            <v>2712</v>
          </cell>
          <cell r="K291">
            <v>43334</v>
          </cell>
          <cell r="L291" t="str">
            <v>VICTOR MANUEL LOPEZ RINCON</v>
          </cell>
          <cell r="M291">
            <v>145</v>
          </cell>
          <cell r="N291" t="str">
            <v>CONTRATO DE PRESTACION DE SERVICIOS PROFESIONALES</v>
          </cell>
          <cell r="O291">
            <v>517</v>
          </cell>
          <cell r="P291">
            <v>43334</v>
          </cell>
          <cell r="Q291" t="str">
            <v>Prestación de servicios profesionales en la Dirección de Reasentamientos de la Caja de la Vivienda Popular, apoyando la ejecución de las diferentes actividades relacionadas con el componente técnico del área misional.</v>
          </cell>
          <cell r="R291">
            <v>20146800</v>
          </cell>
          <cell r="S291">
            <v>0</v>
          </cell>
          <cell r="T291">
            <v>0</v>
          </cell>
          <cell r="U291">
            <v>20146800</v>
          </cell>
          <cell r="V291">
            <v>0</v>
          </cell>
        </row>
        <row r="292">
          <cell r="J292">
            <v>2713</v>
          </cell>
          <cell r="K292">
            <v>43334</v>
          </cell>
          <cell r="L292" t="str">
            <v>MARIENT LORENA PADILLA GARCIA</v>
          </cell>
          <cell r="M292">
            <v>145</v>
          </cell>
          <cell r="N292" t="str">
            <v>CONTRATO DE PRESTACION DE SERVICIOS PROFESIONALES</v>
          </cell>
          <cell r="O292">
            <v>527</v>
          </cell>
          <cell r="P292">
            <v>43334</v>
          </cell>
          <cell r="Q292" t="str">
            <v>PRESTACIÓN DE SERVICIOS PROFESIONALES PARA EL ACOMPAÑAMIENTO JURÍDICO EN LAS ACTUACIONES PROPIAS QUE REQUIERA LA DIRECCIÓN DE REASENTAMIENTOS DE LA CAJA DE LA VIVIENDA POPULAR.</v>
          </cell>
          <cell r="R292">
            <v>28840000</v>
          </cell>
          <cell r="S292">
            <v>0</v>
          </cell>
          <cell r="T292">
            <v>0</v>
          </cell>
          <cell r="U292">
            <v>28840000</v>
          </cell>
          <cell r="V292">
            <v>0</v>
          </cell>
        </row>
        <row r="293">
          <cell r="J293">
            <v>2715</v>
          </cell>
          <cell r="K293">
            <v>43334</v>
          </cell>
          <cell r="L293" t="str">
            <v>RUTH MIREYA VARGAS FIGUEREDO</v>
          </cell>
          <cell r="M293">
            <v>148</v>
          </cell>
          <cell r="N293" t="str">
            <v>CONTRATO DE PRESTACION DE SERVICIOS DE APOYO A LA GESTION</v>
          </cell>
          <cell r="O293">
            <v>509</v>
          </cell>
          <cell r="P293">
            <v>43334</v>
          </cell>
          <cell r="Q293" t="str">
            <v>Prestación de servicios de apoyo a la gestión en lo relacionado con los trámites requeridos para el manejo de archivo y gestión documental generado desde la Dirección de Reasentamientos de la Caja de la Vivienda Popular.</v>
          </cell>
          <cell r="R293">
            <v>7004000</v>
          </cell>
          <cell r="S293">
            <v>0</v>
          </cell>
          <cell r="T293">
            <v>0</v>
          </cell>
          <cell r="U293">
            <v>7004000</v>
          </cell>
          <cell r="V293">
            <v>0</v>
          </cell>
        </row>
        <row r="294">
          <cell r="J294">
            <v>2716</v>
          </cell>
          <cell r="K294">
            <v>43334</v>
          </cell>
          <cell r="L294" t="str">
            <v>LAURA MAGOLA RAMIREZ GARCIA</v>
          </cell>
          <cell r="M294">
            <v>145</v>
          </cell>
          <cell r="N294" t="str">
            <v>CONTRATO DE PRESTACION DE SERVICIOS PROFESIONALES</v>
          </cell>
          <cell r="O294">
            <v>510</v>
          </cell>
          <cell r="P294">
            <v>43334</v>
          </cell>
          <cell r="Q294" t="str">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v>
          </cell>
          <cell r="R294">
            <v>14214000</v>
          </cell>
          <cell r="S294">
            <v>0</v>
          </cell>
          <cell r="T294">
            <v>0</v>
          </cell>
          <cell r="U294">
            <v>14214000</v>
          </cell>
          <cell r="V294">
            <v>0</v>
          </cell>
        </row>
        <row r="295">
          <cell r="J295">
            <v>2722</v>
          </cell>
          <cell r="K295">
            <v>43335</v>
          </cell>
          <cell r="L295" t="str">
            <v>MARISOL  AMAYA OVIEDO</v>
          </cell>
          <cell r="M295">
            <v>145</v>
          </cell>
          <cell r="N295" t="str">
            <v>CONTRATO DE PRESTACION DE SERVICIOS PROFESIONALES</v>
          </cell>
          <cell r="O295">
            <v>508</v>
          </cell>
          <cell r="P295">
            <v>43335</v>
          </cell>
          <cell r="Q295" t="str">
            <v>Prestación de servicios profesionales en el componente social de la Dirección de Reasentamientos de la Caja de la Vivienda Popular, para la ejecución de planes y programas agenciados por el área misional.</v>
          </cell>
          <cell r="R295">
            <v>21012000</v>
          </cell>
          <cell r="S295">
            <v>0</v>
          </cell>
          <cell r="T295">
            <v>0</v>
          </cell>
          <cell r="U295">
            <v>21012000</v>
          </cell>
          <cell r="V295">
            <v>0</v>
          </cell>
        </row>
        <row r="296">
          <cell r="J296">
            <v>2724</v>
          </cell>
          <cell r="K296">
            <v>43335</v>
          </cell>
          <cell r="L296" t="str">
            <v>JUAN DAVID CUADROS GARZON</v>
          </cell>
          <cell r="M296">
            <v>145</v>
          </cell>
          <cell r="N296" t="str">
            <v>CONTRATO DE PRESTACION DE SERVICIOS PROFESIONALES</v>
          </cell>
          <cell r="O296">
            <v>528</v>
          </cell>
          <cell r="P296">
            <v>43335</v>
          </cell>
          <cell r="Q296" t="str">
            <v>Prestación de servicios profesionales para el acompañamiento jurídico en las actuaciones propias que requiera la Dirección de Reasentamientos de la Caja de la Vivienda Popular.</v>
          </cell>
          <cell r="R296">
            <v>16480000</v>
          </cell>
          <cell r="S296">
            <v>0</v>
          </cell>
          <cell r="T296">
            <v>0</v>
          </cell>
          <cell r="U296">
            <v>16480000</v>
          </cell>
          <cell r="V296">
            <v>0</v>
          </cell>
        </row>
        <row r="297">
          <cell r="J297">
            <v>2726</v>
          </cell>
          <cell r="K297">
            <v>43335</v>
          </cell>
          <cell r="L297" t="str">
            <v>MARIA ISABEL BARRERA CATAÑO</v>
          </cell>
          <cell r="M297">
            <v>145</v>
          </cell>
          <cell r="N297" t="str">
            <v>CONTRATO DE PRESTACION DE SERVICIOS PROFESIONALES</v>
          </cell>
          <cell r="O297">
            <v>523</v>
          </cell>
          <cell r="P297">
            <v>43335</v>
          </cell>
          <cell r="Q297" t="str">
            <v>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v>
          </cell>
          <cell r="R297">
            <v>21012000</v>
          </cell>
          <cell r="S297">
            <v>0</v>
          </cell>
          <cell r="T297">
            <v>0</v>
          </cell>
          <cell r="U297">
            <v>21012000</v>
          </cell>
          <cell r="V297">
            <v>0</v>
          </cell>
        </row>
        <row r="298">
          <cell r="J298">
            <v>2727</v>
          </cell>
          <cell r="K298">
            <v>43335</v>
          </cell>
          <cell r="L298" t="str">
            <v>HEIDY VANESSA PENAGOS SANDOVAL</v>
          </cell>
          <cell r="M298">
            <v>145</v>
          </cell>
          <cell r="N298" t="str">
            <v>CONTRATO DE PRESTACION DE SERVICIOS PROFESIONALES</v>
          </cell>
          <cell r="O298">
            <v>522</v>
          </cell>
          <cell r="P298">
            <v>43335</v>
          </cell>
          <cell r="Q298" t="str">
            <v>Prestación de servicios profesionales en la Dirección de Reasentamientos de la Caja de la Vivienda Popular, apoyando la ejecución de las diferentes actividades relacionadas con el componente técnico del área misional.</v>
          </cell>
          <cell r="R298">
            <v>14214000</v>
          </cell>
          <cell r="S298">
            <v>0</v>
          </cell>
          <cell r="T298">
            <v>0</v>
          </cell>
          <cell r="U298">
            <v>14214000</v>
          </cell>
          <cell r="V298">
            <v>0</v>
          </cell>
        </row>
        <row r="299">
          <cell r="J299">
            <v>2728</v>
          </cell>
          <cell r="K299">
            <v>43335</v>
          </cell>
          <cell r="L299" t="str">
            <v>JUDY ANDREA ESPAÑOL FLOREZ</v>
          </cell>
          <cell r="M299">
            <v>145</v>
          </cell>
          <cell r="N299" t="str">
            <v>CONTRATO DE PRESTACION DE SERVICIOS PROFESIONALES</v>
          </cell>
          <cell r="O299">
            <v>520</v>
          </cell>
          <cell r="P299">
            <v>43335</v>
          </cell>
          <cell r="Q299" t="str">
            <v>Prestacion de servicios profesionales, para el acompañamiento juridico, en los procesos y procedimientos establecidos frente a la ejecucion del programa misional de la Direccion de Reasentamientos de la Caja de la Vivienda Popular.</v>
          </cell>
          <cell r="R299">
            <v>22665150</v>
          </cell>
          <cell r="S299">
            <v>0</v>
          </cell>
          <cell r="T299">
            <v>0</v>
          </cell>
          <cell r="U299">
            <v>22665150</v>
          </cell>
          <cell r="V299">
            <v>0</v>
          </cell>
        </row>
        <row r="300">
          <cell r="J300">
            <v>2742</v>
          </cell>
          <cell r="K300">
            <v>43336</v>
          </cell>
          <cell r="L300" t="str">
            <v>LINDA GISSELLE SUAREZ VILLAMIZAR</v>
          </cell>
          <cell r="M300">
            <v>145</v>
          </cell>
          <cell r="N300" t="str">
            <v>CONTRATO DE PRESTACION DE SERVICIOS PROFESIONALES</v>
          </cell>
          <cell r="O300">
            <v>319</v>
          </cell>
          <cell r="P300">
            <v>43336</v>
          </cell>
          <cell r="Q300" t="str">
            <v>ADICIÒN Y PRORROGA AL CONTRATO NO 319 DE 2018 CUYO OBJETO ES: PRESTACIÓN DE SERVICIOS PROFESIONALES, PARA EL ACOMPAÑAMIENTO JURÍDICO, EN LOS PROCESOS Y PROCEDIMIENTOS ESTABLECIDOS FRENTE A LA EJECUCIÓN DEL PROGRAMA MISIONAL DE LA DIRECCIÓN DE REASENTAMIENTOS DE LA CAJA DE LA VIVIENDA POPULAR.</v>
          </cell>
          <cell r="R300">
            <v>4532000</v>
          </cell>
          <cell r="S300">
            <v>0</v>
          </cell>
          <cell r="T300">
            <v>0</v>
          </cell>
          <cell r="U300">
            <v>4532000</v>
          </cell>
          <cell r="V300">
            <v>0</v>
          </cell>
        </row>
        <row r="301">
          <cell r="J301">
            <v>2745</v>
          </cell>
          <cell r="K301">
            <v>43336</v>
          </cell>
          <cell r="L301" t="str">
            <v>GINA ESTEPHANIA LESCANO NIÑO</v>
          </cell>
          <cell r="M301">
            <v>145</v>
          </cell>
          <cell r="N301" t="str">
            <v>CONTRATO DE PRESTACION DE SERVICIOS PROFESIONALES</v>
          </cell>
          <cell r="O301">
            <v>521</v>
          </cell>
          <cell r="P301">
            <v>43336</v>
          </cell>
          <cell r="Q301" t="str">
            <v>Prestación de servicios profesionales para el acompañamiento jurídico en las actuaciones propias que requiera la Dirección de Reasentamientos de la Caja de la Vivienda Popular.</v>
          </cell>
          <cell r="R301">
            <v>14214000</v>
          </cell>
          <cell r="S301">
            <v>0</v>
          </cell>
          <cell r="T301">
            <v>0</v>
          </cell>
          <cell r="U301">
            <v>14214000</v>
          </cell>
          <cell r="V301">
            <v>0</v>
          </cell>
        </row>
        <row r="302">
          <cell r="J302">
            <v>2746</v>
          </cell>
          <cell r="K302">
            <v>43336</v>
          </cell>
          <cell r="L302" t="str">
            <v>DIANA PAOLA CASTIBLANCO VENEGAS</v>
          </cell>
          <cell r="M302">
            <v>145</v>
          </cell>
          <cell r="N302" t="str">
            <v>CONTRATO DE PRESTACION DE SERVICIOS PROFESIONALES</v>
          </cell>
          <cell r="O302">
            <v>525</v>
          </cell>
          <cell r="P302">
            <v>43336</v>
          </cell>
          <cell r="Q302" t="str">
            <v>Prestación de servicios profesionales en el componente social de la Dirección de Reasentamientos de la Caja de la Vivienda Popular, para la ejecución de planes y programas agenciados por el área misional.</v>
          </cell>
          <cell r="R302">
            <v>21012000</v>
          </cell>
          <cell r="S302">
            <v>0</v>
          </cell>
          <cell r="T302">
            <v>0</v>
          </cell>
          <cell r="U302">
            <v>21012000</v>
          </cell>
          <cell r="V302">
            <v>0</v>
          </cell>
        </row>
        <row r="303">
          <cell r="J303">
            <v>2769</v>
          </cell>
          <cell r="K303">
            <v>43343</v>
          </cell>
          <cell r="L303" t="str">
            <v>OSCAR CAMILO CASTAÑEDA LEON</v>
          </cell>
          <cell r="M303">
            <v>148</v>
          </cell>
          <cell r="N303" t="str">
            <v>CONTRATO DE PRESTACION DE SERVICIOS DE APOYO A LA GESTION</v>
          </cell>
          <cell r="O303">
            <v>544</v>
          </cell>
          <cell r="P303">
            <v>43343</v>
          </cell>
          <cell r="Q303" t="str">
            <v>Prestación de servicios de apoyo a la gestión en el componente social de la Dirección de Reasentamientos de la Caja de la Vivienda Popular, para la ejecución de planes y programas agenciados por el área misional.</v>
          </cell>
          <cell r="R303">
            <v>13307600</v>
          </cell>
          <cell r="S303">
            <v>0</v>
          </cell>
          <cell r="T303">
            <v>0</v>
          </cell>
          <cell r="U303">
            <v>13307600</v>
          </cell>
          <cell r="V303">
            <v>0</v>
          </cell>
        </row>
        <row r="304">
          <cell r="J304">
            <v>4</v>
          </cell>
          <cell r="K304">
            <v>43112</v>
          </cell>
          <cell r="L304" t="str">
            <v>NICOLAS MAURICIO BAUTE CABARCAS</v>
          </cell>
          <cell r="M304">
            <v>148</v>
          </cell>
          <cell r="N304" t="str">
            <v>CONTRATO DE PRESTACION DE SERVICIOS DE APOYO A LA GESTION</v>
          </cell>
          <cell r="O304">
            <v>7</v>
          </cell>
          <cell r="P304">
            <v>43112</v>
          </cell>
          <cell r="Q304" t="str">
            <v>Prestar Servicios de Apoyo a la Gestión a la Dirección de Mejoramiento de Barrios de la Caja de Vivienda Popular en los proyectos de intervención física a escala barrial requeridos desde el componente Técnico.</v>
          </cell>
          <cell r="R304">
            <v>38259350</v>
          </cell>
          <cell r="S304">
            <v>0</v>
          </cell>
          <cell r="T304">
            <v>0</v>
          </cell>
          <cell r="U304">
            <v>38259350</v>
          </cell>
          <cell r="V304">
            <v>21735747</v>
          </cell>
        </row>
        <row r="305">
          <cell r="J305">
            <v>9</v>
          </cell>
          <cell r="K305">
            <v>43112</v>
          </cell>
          <cell r="L305" t="str">
            <v>KEVIN STICK POSADA GUARACA</v>
          </cell>
          <cell r="M305">
            <v>145</v>
          </cell>
          <cell r="N305" t="str">
            <v>CONTRATO DE PRESTACION DE SERVICIOS PROFESIONALES</v>
          </cell>
          <cell r="O305">
            <v>13</v>
          </cell>
          <cell r="P305">
            <v>43112</v>
          </cell>
          <cell r="Q305" t="str">
            <v>Prestación de Servicios profesionales para apoyar a la Dirección de Mejoramiento de Barrios de la Caja de Vivienda Popular en los proyectos de intervención física a escala barrial que, en materia de Seguridad Industrial, Salud Ocupacional y Medio Ambiente se requieran.</v>
          </cell>
          <cell r="R305">
            <v>40865250</v>
          </cell>
          <cell r="S305">
            <v>0</v>
          </cell>
          <cell r="T305">
            <v>0</v>
          </cell>
          <cell r="U305">
            <v>40865250</v>
          </cell>
          <cell r="V305">
            <v>22742400</v>
          </cell>
        </row>
        <row r="306">
          <cell r="J306">
            <v>10</v>
          </cell>
          <cell r="K306">
            <v>43112</v>
          </cell>
          <cell r="L306" t="str">
            <v>ANA YANET LEGUIZAMON FANDIÑO</v>
          </cell>
          <cell r="M306">
            <v>145</v>
          </cell>
          <cell r="N306" t="str">
            <v>CONTRATO DE PRESTACION DE SERVICIOS PROFESIONALES</v>
          </cell>
          <cell r="O306">
            <v>10</v>
          </cell>
          <cell r="P306">
            <v>43112</v>
          </cell>
          <cell r="Q306" t="str">
            <v>Prestación de Servicios profesionales para apoyar a la Dirección de Mejoramiento de Barrios de la Caja de Vivienda Popular en los proyectos de intervención física a escala barrial que en materia técnica se requiera.</v>
          </cell>
          <cell r="R306">
            <v>52118000</v>
          </cell>
          <cell r="S306">
            <v>0</v>
          </cell>
          <cell r="T306">
            <v>0</v>
          </cell>
          <cell r="U306">
            <v>52118000</v>
          </cell>
          <cell r="V306">
            <v>29458000</v>
          </cell>
        </row>
        <row r="307">
          <cell r="J307">
            <v>11</v>
          </cell>
          <cell r="K307">
            <v>43112</v>
          </cell>
          <cell r="L307" t="str">
            <v>ANDRES  LIZARRALDE MARTINEZ</v>
          </cell>
          <cell r="M307">
            <v>145</v>
          </cell>
          <cell r="N307" t="str">
            <v>CONTRATO DE PRESTACION DE SERVICIOS PROFESIONALES</v>
          </cell>
          <cell r="O307">
            <v>14</v>
          </cell>
          <cell r="P307">
            <v>43112</v>
          </cell>
          <cell r="Q307" t="str">
            <v>Prestación de Servicios profesionales para apoyar a la Dirección de Mejoramiento de Barrios de la Caja de Vivienda Popular en los proyectos de intervención física a escala barrial que en materia técnica se requiera.</v>
          </cell>
          <cell r="R307">
            <v>60409500</v>
          </cell>
          <cell r="S307">
            <v>0</v>
          </cell>
          <cell r="T307">
            <v>0</v>
          </cell>
          <cell r="U307">
            <v>60409500</v>
          </cell>
          <cell r="V307">
            <v>34144500</v>
          </cell>
        </row>
        <row r="308">
          <cell r="J308">
            <v>12</v>
          </cell>
          <cell r="K308">
            <v>43112</v>
          </cell>
          <cell r="L308" t="str">
            <v>JHON HAROLD PEÑA COMETTA</v>
          </cell>
          <cell r="M308">
            <v>145</v>
          </cell>
          <cell r="N308" t="str">
            <v>CONTRATO DE PRESTACION DE SERVICIOS PROFESIONALES</v>
          </cell>
          <cell r="O308">
            <v>9</v>
          </cell>
          <cell r="P308">
            <v>43112</v>
          </cell>
          <cell r="Q308" t="str">
            <v>Prestación de Servicios profesionales para apoyar a la Dirección de Mejoramiento de Barrios de la Caja de Vivienda Popular en los proyectos de intervención física a escala barrial que, en materia de Seguridad Industrial, Salud Ocupacional y Medio Ambiente se requieran.</v>
          </cell>
          <cell r="R308">
            <v>40865250</v>
          </cell>
          <cell r="S308">
            <v>0</v>
          </cell>
          <cell r="T308">
            <v>0</v>
          </cell>
          <cell r="U308">
            <v>40865250</v>
          </cell>
          <cell r="V308">
            <v>23097750</v>
          </cell>
        </row>
        <row r="309">
          <cell r="J309">
            <v>13</v>
          </cell>
          <cell r="K309">
            <v>43112</v>
          </cell>
          <cell r="L309" t="str">
            <v>LAURA DIOCITA ALEJANDRA SANCHEZ FORERO</v>
          </cell>
          <cell r="M309">
            <v>145</v>
          </cell>
          <cell r="N309" t="str">
            <v>CONTRATO DE PRESTACION DE SERVICIOS PROFESIONALES</v>
          </cell>
          <cell r="O309">
            <v>12</v>
          </cell>
          <cell r="P309">
            <v>43112</v>
          </cell>
          <cell r="Q309" t="str">
            <v>Prestación de Servicios profesionales de carácter jurídico para apoyar a la Dirección de Mejoramiento de Barrios de la Caja de la Vivienda Popular.</v>
          </cell>
          <cell r="R309">
            <v>60409500</v>
          </cell>
          <cell r="S309">
            <v>0</v>
          </cell>
          <cell r="T309">
            <v>0</v>
          </cell>
          <cell r="U309">
            <v>60409500</v>
          </cell>
          <cell r="V309">
            <v>34144500</v>
          </cell>
        </row>
        <row r="310">
          <cell r="J310">
            <v>15</v>
          </cell>
          <cell r="K310">
            <v>43112</v>
          </cell>
          <cell r="L310" t="str">
            <v>MARIA ALEJANDRA CERQUERA SANCHEZ</v>
          </cell>
          <cell r="M310">
            <v>145</v>
          </cell>
          <cell r="N310" t="str">
            <v>CONTRATO DE PRESTACION DE SERVICIOS PROFESIONALES</v>
          </cell>
          <cell r="O310">
            <v>11</v>
          </cell>
          <cell r="P310">
            <v>43112</v>
          </cell>
          <cell r="Q310" t="str">
            <v>Prestación de Servicios profesionales para apoyar a la Dirección de Mejoramiento de Barrios de la Caja de Vivienda Popular en los proyectos de intervención física a escala barrial que en materia social se requiera.</v>
          </cell>
          <cell r="R310">
            <v>40865250</v>
          </cell>
          <cell r="S310">
            <v>0</v>
          </cell>
          <cell r="T310">
            <v>0</v>
          </cell>
          <cell r="U310">
            <v>40865250</v>
          </cell>
          <cell r="V310">
            <v>23097750</v>
          </cell>
        </row>
        <row r="311">
          <cell r="J311">
            <v>40</v>
          </cell>
          <cell r="K311">
            <v>43116</v>
          </cell>
          <cell r="L311" t="str">
            <v>LINA MARIA AZUERO GUTIERREZ</v>
          </cell>
          <cell r="M311">
            <v>145</v>
          </cell>
          <cell r="N311" t="str">
            <v>CONTRATO DE PRESTACION DE SERVICIOS PROFESIONALES</v>
          </cell>
          <cell r="O311">
            <v>36</v>
          </cell>
          <cell r="P311">
            <v>43116</v>
          </cell>
          <cell r="Q311" t="str">
            <v>Prestación de servicios profesionales en los procesos misionales y proyectos especiales, para apoyar la gestión, planeación, concertación y seguimiento a los planes y cronogramas del componente social.</v>
          </cell>
          <cell r="R311">
            <v>23621333</v>
          </cell>
          <cell r="S311">
            <v>0</v>
          </cell>
          <cell r="T311">
            <v>0</v>
          </cell>
          <cell r="U311">
            <v>23621333</v>
          </cell>
          <cell r="V311">
            <v>16205333</v>
          </cell>
        </row>
        <row r="312">
          <cell r="J312">
            <v>60</v>
          </cell>
          <cell r="K312">
            <v>43116</v>
          </cell>
          <cell r="L312" t="str">
            <v>DANIEL FELIPE OROZCO ROA</v>
          </cell>
          <cell r="M312">
            <v>145</v>
          </cell>
          <cell r="N312" t="str">
            <v>CONTRATO DE PRESTACION DE SERVICIOS PROFESIONALES</v>
          </cell>
          <cell r="O312">
            <v>25</v>
          </cell>
          <cell r="P312">
            <v>43116</v>
          </cell>
          <cell r="Q312" t="str">
            <v>Prestación de Servicios profesionales para apoyar a la Dirección de Mejoramiento de Barrios de la Caja de Vivienda Popular en los proyectos de intervención física a escala barrial que, en materia de Seguridad Industrial, Salud Ocupacional y Medio Ambiente se requieran.</v>
          </cell>
          <cell r="R312">
            <v>47380000</v>
          </cell>
          <cell r="S312">
            <v>0</v>
          </cell>
          <cell r="T312">
            <v>0</v>
          </cell>
          <cell r="U312">
            <v>47380000</v>
          </cell>
          <cell r="V312">
            <v>26642667</v>
          </cell>
        </row>
        <row r="313">
          <cell r="J313">
            <v>79</v>
          </cell>
          <cell r="K313">
            <v>43116</v>
          </cell>
          <cell r="L313" t="str">
            <v>DIANA CAROLINA ESQUIVEL ROMERO</v>
          </cell>
          <cell r="M313">
            <v>145</v>
          </cell>
          <cell r="N313" t="str">
            <v>CONTRATO DE PRESTACION DE SERVICIOS PROFESIONALES</v>
          </cell>
          <cell r="O313">
            <v>65</v>
          </cell>
          <cell r="P313">
            <v>43116</v>
          </cell>
          <cell r="Q313" t="str">
            <v>Prestación de Servicios profesionales de carácter jurídico para apoyar a la Dirección de Mejoramiento de Barrios de la Caja de la Vivienda Popular.</v>
          </cell>
          <cell r="R313">
            <v>65147500</v>
          </cell>
          <cell r="S313">
            <v>0</v>
          </cell>
          <cell r="T313">
            <v>0</v>
          </cell>
          <cell r="U313">
            <v>65147500</v>
          </cell>
          <cell r="V313">
            <v>36633667</v>
          </cell>
        </row>
        <row r="314">
          <cell r="J314">
            <v>80</v>
          </cell>
          <cell r="K314">
            <v>43116</v>
          </cell>
          <cell r="L314" t="str">
            <v>MARIA ALEXANDRA TORO CHARRY</v>
          </cell>
          <cell r="M314">
            <v>145</v>
          </cell>
          <cell r="N314" t="str">
            <v>CONTRATO DE PRESTACION DE SERVICIOS PROFESIONALES</v>
          </cell>
          <cell r="O314">
            <v>55</v>
          </cell>
          <cell r="P314">
            <v>43116</v>
          </cell>
          <cell r="Q314" t="str">
            <v>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v>
          </cell>
          <cell r="R314">
            <v>94760000</v>
          </cell>
          <cell r="S314">
            <v>0</v>
          </cell>
          <cell r="T314">
            <v>0</v>
          </cell>
          <cell r="U314">
            <v>94760000</v>
          </cell>
          <cell r="V314">
            <v>40101333</v>
          </cell>
        </row>
        <row r="315">
          <cell r="J315">
            <v>119</v>
          </cell>
          <cell r="K315">
            <v>43117</v>
          </cell>
          <cell r="L315" t="str">
            <v>CHRISTIAN ALEXIS VALDERRAMA TORRES</v>
          </cell>
          <cell r="M315">
            <v>148</v>
          </cell>
          <cell r="N315" t="str">
            <v>CONTRATO DE PRESTACION DE SERVICIOS DE APOYO A LA GESTION</v>
          </cell>
          <cell r="O315">
            <v>98</v>
          </cell>
          <cell r="P315">
            <v>43117</v>
          </cell>
          <cell r="Q315" t="str">
            <v>Prestación de servicios para apoyar a la Dirección de Mejoramiento de Barrios de la Caja de la Vivienda Popular en las actividades documentales y operativas de los proyectos de intervención física a escala barrial.</v>
          </cell>
          <cell r="R315">
            <v>28428000</v>
          </cell>
          <cell r="S315">
            <v>0</v>
          </cell>
          <cell r="T315">
            <v>0</v>
          </cell>
          <cell r="U315">
            <v>28428000</v>
          </cell>
          <cell r="V315">
            <v>15903200</v>
          </cell>
        </row>
        <row r="316">
          <cell r="J316">
            <v>120</v>
          </cell>
          <cell r="K316">
            <v>43117</v>
          </cell>
          <cell r="L316" t="str">
            <v>JOAQUIN EDUARDO PERDOMO ARTUNDUAGA</v>
          </cell>
          <cell r="M316">
            <v>148</v>
          </cell>
          <cell r="N316" t="str">
            <v>CONTRATO DE PRESTACION DE SERVICIOS DE APOYO A LA GESTION</v>
          </cell>
          <cell r="O316">
            <v>99</v>
          </cell>
          <cell r="P316">
            <v>43117</v>
          </cell>
          <cell r="Q316" t="str">
            <v>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v>
          </cell>
          <cell r="R316">
            <v>38259350</v>
          </cell>
          <cell r="S316">
            <v>0</v>
          </cell>
          <cell r="T316">
            <v>0</v>
          </cell>
          <cell r="U316">
            <v>38259350</v>
          </cell>
          <cell r="V316">
            <v>21403056</v>
          </cell>
        </row>
        <row r="317">
          <cell r="J317">
            <v>142</v>
          </cell>
          <cell r="K317">
            <v>43117</v>
          </cell>
          <cell r="L317" t="str">
            <v>JACQUELINE  CACHAYA SANCHEZ</v>
          </cell>
          <cell r="M317">
            <v>145</v>
          </cell>
          <cell r="N317" t="str">
            <v>CONTRATO DE PRESTACION DE SERVICIOS PROFESIONALES</v>
          </cell>
          <cell r="O317">
            <v>147</v>
          </cell>
          <cell r="P317">
            <v>43117</v>
          </cell>
          <cell r="Q317" t="str">
            <v>Prestación de Servicios profesionales para apoyar a la Dirección de Mejoramiento de Barrios de la Caja de Vivienda Popular en los proyectos de intervención física a escala barrial que en materia técnica se requiera.</v>
          </cell>
          <cell r="R317">
            <v>71070000</v>
          </cell>
          <cell r="S317">
            <v>0</v>
          </cell>
          <cell r="T317">
            <v>0</v>
          </cell>
          <cell r="U317">
            <v>71070000</v>
          </cell>
          <cell r="V317">
            <v>39758000</v>
          </cell>
        </row>
        <row r="318">
          <cell r="J318">
            <v>144</v>
          </cell>
          <cell r="K318">
            <v>43117</v>
          </cell>
          <cell r="L318" t="str">
            <v>JEIMY TATIANA CRUZ BEJARANO</v>
          </cell>
          <cell r="M318">
            <v>148</v>
          </cell>
          <cell r="N318" t="str">
            <v>CONTRATO DE PRESTACION DE SERVICIOS DE APOYO A LA GESTION</v>
          </cell>
          <cell r="O318">
            <v>148</v>
          </cell>
          <cell r="P318">
            <v>43117</v>
          </cell>
          <cell r="Q318"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18">
            <v>17767500</v>
          </cell>
          <cell r="S318">
            <v>0</v>
          </cell>
          <cell r="T318">
            <v>0</v>
          </cell>
          <cell r="U318">
            <v>17767500</v>
          </cell>
          <cell r="V318">
            <v>9939500</v>
          </cell>
        </row>
        <row r="319">
          <cell r="J319">
            <v>146</v>
          </cell>
          <cell r="K319">
            <v>43117</v>
          </cell>
          <cell r="L319" t="str">
            <v>JULY PAOLA TORRES RISCANEVO</v>
          </cell>
          <cell r="M319">
            <v>145</v>
          </cell>
          <cell r="N319" t="str">
            <v>CONTRATO DE PRESTACION DE SERVICIOS PROFESIONALES</v>
          </cell>
          <cell r="O319">
            <v>155</v>
          </cell>
          <cell r="P319">
            <v>43117</v>
          </cell>
          <cell r="Q319" t="str">
            <v>Prestar servicios profesionales en la implementacion y seguimiento de la politica de responsabilidad social, bajo los tres pilares de sostenibilidad a los procesos de gestion misional de la entidad.</v>
          </cell>
          <cell r="R319">
            <v>23690000</v>
          </cell>
          <cell r="S319">
            <v>23690000</v>
          </cell>
          <cell r="T319">
            <v>0</v>
          </cell>
          <cell r="U319">
            <v>0</v>
          </cell>
          <cell r="V319">
            <v>0</v>
          </cell>
        </row>
        <row r="320">
          <cell r="J320">
            <v>152</v>
          </cell>
          <cell r="K320">
            <v>43117</v>
          </cell>
          <cell r="L320" t="str">
            <v>JULY PAOLA TORRES RISCANEVO</v>
          </cell>
          <cell r="M320">
            <v>145</v>
          </cell>
          <cell r="N320" t="str">
            <v>CONTRATO DE PRESTACION DE SERVICIOS PROFESIONALES</v>
          </cell>
          <cell r="O320">
            <v>155</v>
          </cell>
          <cell r="P320">
            <v>43117</v>
          </cell>
          <cell r="Q320" t="str">
            <v>PRESTAR SERVICIOS PROFESIONALES PARA EL DESARROLLO DE LA POLITICA DE RESPONSABILIDAD SOCIAL, BAJO LOS TRES PILARES DE SOSTENIBILIDAD A LOS PROCESOS DE GESTION MISIONAL DE LA CAJA DE LA VIVIENDA POPULAR.</v>
          </cell>
          <cell r="R320">
            <v>23690000</v>
          </cell>
          <cell r="S320">
            <v>0</v>
          </cell>
          <cell r="T320">
            <v>0</v>
          </cell>
          <cell r="U320">
            <v>23690000</v>
          </cell>
          <cell r="V320">
            <v>13252669</v>
          </cell>
        </row>
        <row r="321">
          <cell r="J321">
            <v>159</v>
          </cell>
          <cell r="K321">
            <v>43118</v>
          </cell>
          <cell r="L321" t="str">
            <v>RAUL  TOVAR MARTINEZ</v>
          </cell>
          <cell r="M321">
            <v>145</v>
          </cell>
          <cell r="N321" t="str">
            <v>CONTRATO DE PRESTACION DE SERVICIOS PROFESIONALES</v>
          </cell>
          <cell r="O321">
            <v>126</v>
          </cell>
          <cell r="P321">
            <v>43118</v>
          </cell>
          <cell r="Q321" t="str">
            <v>Prestación de servicios de profesionales para apoyar a la Dirección de Mejoramiento de Barrios y a la Dirección de Titulaciones y Urbanizaciones de la Caja de la Vivienda Popular en las actividades precontractuales y contractuales que en materia Técnica se requieran.</v>
          </cell>
          <cell r="R321">
            <v>35535000</v>
          </cell>
          <cell r="S321">
            <v>0</v>
          </cell>
          <cell r="T321">
            <v>0</v>
          </cell>
          <cell r="U321">
            <v>35535000</v>
          </cell>
          <cell r="V321">
            <v>16789000</v>
          </cell>
        </row>
        <row r="322">
          <cell r="J322">
            <v>160</v>
          </cell>
          <cell r="K322">
            <v>43118</v>
          </cell>
          <cell r="L322" t="str">
            <v>RUBEN DARIO AGUILERA DIAZ</v>
          </cell>
          <cell r="M322">
            <v>148</v>
          </cell>
          <cell r="N322" t="str">
            <v>CONTRATO DE PRESTACION DE SERVICIOS DE APOYO A LA GESTION</v>
          </cell>
          <cell r="O322">
            <v>133</v>
          </cell>
          <cell r="P322">
            <v>43118</v>
          </cell>
          <cell r="Q322"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22">
            <v>17767500</v>
          </cell>
          <cell r="S322">
            <v>0</v>
          </cell>
          <cell r="T322">
            <v>0</v>
          </cell>
          <cell r="U322">
            <v>17767500</v>
          </cell>
          <cell r="V322">
            <v>9939500</v>
          </cell>
        </row>
        <row r="323">
          <cell r="J323">
            <v>163</v>
          </cell>
          <cell r="K323">
            <v>43118</v>
          </cell>
          <cell r="L323" t="str">
            <v>INGRID PAOLA MARTIN CASTILLO</v>
          </cell>
          <cell r="M323">
            <v>148</v>
          </cell>
          <cell r="N323" t="str">
            <v>CONTRATO DE PRESTACION DE SERVICIOS DE APOYO A LA GESTION</v>
          </cell>
          <cell r="O323">
            <v>132</v>
          </cell>
          <cell r="P323">
            <v>43118</v>
          </cell>
          <cell r="Q323" t="str">
            <v>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v>
          </cell>
          <cell r="R323">
            <v>28428000</v>
          </cell>
          <cell r="S323">
            <v>0</v>
          </cell>
          <cell r="T323">
            <v>0</v>
          </cell>
          <cell r="U323">
            <v>28428000</v>
          </cell>
          <cell r="V323">
            <v>15903200</v>
          </cell>
        </row>
        <row r="324">
          <cell r="J324">
            <v>165</v>
          </cell>
          <cell r="K324">
            <v>43118</v>
          </cell>
          <cell r="L324" t="str">
            <v>OSCAR ABIMELEC BALLESTEROS CARRILLO</v>
          </cell>
          <cell r="M324">
            <v>145</v>
          </cell>
          <cell r="N324" t="str">
            <v>CONTRATO DE PRESTACION DE SERVICIOS PROFESIONALES</v>
          </cell>
          <cell r="O324">
            <v>131</v>
          </cell>
          <cell r="P324">
            <v>43118</v>
          </cell>
          <cell r="Q324" t="str">
            <v>Prestación de Servicios profesionales para apoyar a la Dirección de Mejoramiento de Barrios de la Caja de la Vivienda Popular en los procesos y procedimientos de carácter administrativo, financiero y presupuestal que se requieran en la etapa pos contractual.</v>
          </cell>
          <cell r="R324">
            <v>57922050</v>
          </cell>
          <cell r="S324">
            <v>0</v>
          </cell>
          <cell r="T324">
            <v>0</v>
          </cell>
          <cell r="U324">
            <v>57922050</v>
          </cell>
          <cell r="V324">
            <v>32402770</v>
          </cell>
        </row>
        <row r="325">
          <cell r="J325">
            <v>167</v>
          </cell>
          <cell r="K325">
            <v>43118</v>
          </cell>
          <cell r="L325" t="str">
            <v>ANA YAMILE QUINTERO BERNAL</v>
          </cell>
          <cell r="M325">
            <v>148</v>
          </cell>
          <cell r="N325" t="str">
            <v>CONTRATO DE PRESTACION DE SERVICIOS DE APOYO A LA GESTION</v>
          </cell>
          <cell r="O325">
            <v>130</v>
          </cell>
          <cell r="P325">
            <v>43118</v>
          </cell>
          <cell r="Q325"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25">
            <v>17767500</v>
          </cell>
          <cell r="S325">
            <v>0</v>
          </cell>
          <cell r="T325">
            <v>0</v>
          </cell>
          <cell r="U325">
            <v>17767500</v>
          </cell>
          <cell r="V325">
            <v>8394500</v>
          </cell>
        </row>
        <row r="326">
          <cell r="J326">
            <v>168</v>
          </cell>
          <cell r="K326">
            <v>43118</v>
          </cell>
          <cell r="L326" t="str">
            <v>LUISA LORENA BECERRA BENAVIDES</v>
          </cell>
          <cell r="M326">
            <v>148</v>
          </cell>
          <cell r="N326" t="str">
            <v>CONTRATO DE PRESTACION DE SERVICIOS DE APOYO A LA GESTION</v>
          </cell>
          <cell r="O326">
            <v>129</v>
          </cell>
          <cell r="P326">
            <v>43118</v>
          </cell>
          <cell r="Q326"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26">
            <v>17767500</v>
          </cell>
          <cell r="S326">
            <v>0</v>
          </cell>
          <cell r="T326">
            <v>0</v>
          </cell>
          <cell r="U326">
            <v>17767500</v>
          </cell>
          <cell r="V326">
            <v>9939500</v>
          </cell>
        </row>
        <row r="327">
          <cell r="J327">
            <v>170</v>
          </cell>
          <cell r="K327">
            <v>43118</v>
          </cell>
          <cell r="L327" t="str">
            <v>JUAN SEBASTIAN CARDENAS LOZANO</v>
          </cell>
          <cell r="M327">
            <v>145</v>
          </cell>
          <cell r="N327" t="str">
            <v>CONTRATO DE PRESTACION DE SERVICIOS PROFESIONALES</v>
          </cell>
          <cell r="O327">
            <v>127</v>
          </cell>
          <cell r="P327">
            <v>43118</v>
          </cell>
          <cell r="Q327" t="str">
            <v>Prestación de Servicios profesionales para apoyar a la Dirección de Mejoramiento de Barrios de la Caja de la Vivienda Popular en los procesos y procedimientos de carácter administrativo, financiero y presupuestal que se requieran.</v>
          </cell>
          <cell r="R327">
            <v>65147500</v>
          </cell>
          <cell r="S327">
            <v>0</v>
          </cell>
          <cell r="T327">
            <v>0</v>
          </cell>
          <cell r="U327">
            <v>65147500</v>
          </cell>
          <cell r="V327">
            <v>36444833</v>
          </cell>
        </row>
        <row r="328">
          <cell r="J328">
            <v>173</v>
          </cell>
          <cell r="K328">
            <v>43118</v>
          </cell>
          <cell r="L328" t="str">
            <v>JOHN JAIRO SALINAS PIÑEROS</v>
          </cell>
          <cell r="M328">
            <v>145</v>
          </cell>
          <cell r="N328" t="str">
            <v>CONTRATO DE PRESTACION DE SERVICIOS PROFESIONALES</v>
          </cell>
          <cell r="O328">
            <v>138</v>
          </cell>
          <cell r="P328">
            <v>43118</v>
          </cell>
          <cell r="Q328" t="str">
            <v>Prestación de Servicios profesionales para apoyar a la Dirección de Mejoramiento de Barrios de la Caja de Vivienda Popular en los proyectos de intervención física a escala barrial que en materia técnica se requiera.</v>
          </cell>
          <cell r="R328">
            <v>65147500</v>
          </cell>
          <cell r="S328">
            <v>0</v>
          </cell>
          <cell r="T328">
            <v>0</v>
          </cell>
          <cell r="U328">
            <v>65147500</v>
          </cell>
          <cell r="V328">
            <v>36444833</v>
          </cell>
        </row>
        <row r="329">
          <cell r="J329">
            <v>177</v>
          </cell>
          <cell r="K329">
            <v>43118</v>
          </cell>
          <cell r="L329" t="str">
            <v>MONICA VIVIANA CEBALLOS CRIOLLO</v>
          </cell>
          <cell r="M329">
            <v>145</v>
          </cell>
          <cell r="N329" t="str">
            <v>CONTRATO DE PRESTACION DE SERVICIOS PROFESIONALES</v>
          </cell>
          <cell r="O329">
            <v>160</v>
          </cell>
          <cell r="P329">
            <v>43118</v>
          </cell>
          <cell r="Q329" t="str">
            <v>CONTRATAR LOS SERVICIOS PROFESIONALES DE UN COMUNICADOR SOCIAL QUE DESARROLLE LA INFORMACION PERIODISTICA DE LAS AREAS MISIONALES, PARA FORTALECER LOS CANALES DE COMUNICACIÓN INTERNOS Y EXTERNOS DE LA ENTIDAD, CONFORME A LA ESTRATEGIA DE COMUNICACIONES DE LA CAJA DE LA VIVIENDA POPULAR.</v>
          </cell>
          <cell r="R329">
            <v>13850925</v>
          </cell>
          <cell r="S329">
            <v>0</v>
          </cell>
          <cell r="T329">
            <v>0</v>
          </cell>
          <cell r="U329">
            <v>13850925</v>
          </cell>
          <cell r="V329">
            <v>8100692</v>
          </cell>
        </row>
        <row r="330">
          <cell r="J330">
            <v>180</v>
          </cell>
          <cell r="K330">
            <v>43118</v>
          </cell>
          <cell r="L330" t="str">
            <v>ANA MARIA BERMUDEZ ANDRADE</v>
          </cell>
          <cell r="M330">
            <v>145</v>
          </cell>
          <cell r="N330" t="str">
            <v>CONTRATO DE PRESTACION DE SERVICIOS PROFESIONALES</v>
          </cell>
          <cell r="O330">
            <v>134</v>
          </cell>
          <cell r="P330">
            <v>43118</v>
          </cell>
          <cell r="Q330" t="str">
            <v>Prestación de Servicios profesionales para apoyar a la Dirección de Mejoramiento de Barrios de la Caja de Vivienda Popular en los proyectos de intervención física a escala barrial que, en materia de Seguridad Industrial, Salud Ocupacional y Medio Ambiente se requieran.</v>
          </cell>
          <cell r="R330">
            <v>40865250</v>
          </cell>
          <cell r="S330">
            <v>0</v>
          </cell>
          <cell r="T330">
            <v>0</v>
          </cell>
          <cell r="U330">
            <v>40865250</v>
          </cell>
          <cell r="V330">
            <v>22860850</v>
          </cell>
        </row>
        <row r="331">
          <cell r="J331">
            <v>183</v>
          </cell>
          <cell r="K331">
            <v>43118</v>
          </cell>
          <cell r="L331" t="str">
            <v>MAYRA ALEJANDRA BAUTISTA ROJAS</v>
          </cell>
          <cell r="M331">
            <v>145</v>
          </cell>
          <cell r="N331" t="str">
            <v>CONTRATO DE PRESTACION DE SERVICIOS PROFESIONALES</v>
          </cell>
          <cell r="O331">
            <v>137</v>
          </cell>
          <cell r="P331">
            <v>43118</v>
          </cell>
          <cell r="Q331" t="str">
            <v>Prestación de Servicios profesionales para apoyar a la Dirección de Mejoramiento de Barrios de la Caja de Vivienda Popular en los proyectos de intervención física a escala barrial que en materia social se requiera.</v>
          </cell>
          <cell r="R331">
            <v>40865250</v>
          </cell>
          <cell r="S331">
            <v>0</v>
          </cell>
          <cell r="T331">
            <v>0</v>
          </cell>
          <cell r="U331">
            <v>40865250</v>
          </cell>
          <cell r="V331">
            <v>22860850</v>
          </cell>
        </row>
        <row r="332">
          <cell r="J332">
            <v>184</v>
          </cell>
          <cell r="K332">
            <v>43118</v>
          </cell>
          <cell r="L332" t="str">
            <v>ANA MARIA LUNA TRUJILLO</v>
          </cell>
          <cell r="M332">
            <v>145</v>
          </cell>
          <cell r="N332" t="str">
            <v>CONTRATO DE PRESTACION DE SERVICIOS PROFESIONALES</v>
          </cell>
          <cell r="O332">
            <v>135</v>
          </cell>
          <cell r="P332">
            <v>43118</v>
          </cell>
          <cell r="Q332" t="str">
            <v>Prestación de Servicios profesionales para apoyar a la Dirección de Mejoramiento de Barrios de la Caja de Vivienda Popular en los proyectos de intervención física a escala barrial que en materia social se requiera.</v>
          </cell>
          <cell r="R332">
            <v>47380000</v>
          </cell>
          <cell r="S332">
            <v>0</v>
          </cell>
          <cell r="T332">
            <v>0</v>
          </cell>
          <cell r="U332">
            <v>47380000</v>
          </cell>
          <cell r="V332">
            <v>26505333</v>
          </cell>
        </row>
        <row r="333">
          <cell r="J333">
            <v>185</v>
          </cell>
          <cell r="K333">
            <v>43118</v>
          </cell>
          <cell r="L333" t="str">
            <v>LUIS ALEXANDER PEÑA CADENA</v>
          </cell>
          <cell r="M333">
            <v>145</v>
          </cell>
          <cell r="N333" t="str">
            <v>CONTRATO DE PRESTACION DE SERVICIOS PROFESIONALES</v>
          </cell>
          <cell r="O333">
            <v>136</v>
          </cell>
          <cell r="P333">
            <v>43118</v>
          </cell>
          <cell r="Q333" t="str">
            <v>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v>
          </cell>
          <cell r="R333">
            <v>47380000</v>
          </cell>
          <cell r="S333">
            <v>0</v>
          </cell>
          <cell r="T333">
            <v>0</v>
          </cell>
          <cell r="U333">
            <v>47380000</v>
          </cell>
          <cell r="V333">
            <v>26368000</v>
          </cell>
        </row>
        <row r="334">
          <cell r="J334">
            <v>186</v>
          </cell>
          <cell r="K334">
            <v>43118</v>
          </cell>
          <cell r="L334" t="str">
            <v>HECTOR JAVIER VARGAS NAVARRO</v>
          </cell>
          <cell r="M334">
            <v>145</v>
          </cell>
          <cell r="N334" t="str">
            <v>CONTRATO DE PRESTACION DE SERVICIOS PROFESIONALES</v>
          </cell>
          <cell r="O334">
            <v>149</v>
          </cell>
          <cell r="P334">
            <v>43118</v>
          </cell>
          <cell r="Q334" t="str">
            <v>Prestación de Servicios profesionales para apoyar a la Dirección de Mejoramiento de Barrios de la Caja de Vivienda Popular en los proyectos de intervención física a escala barrial que en materia técnica se requiera.</v>
          </cell>
          <cell r="R334">
            <v>65147500</v>
          </cell>
          <cell r="S334">
            <v>0</v>
          </cell>
          <cell r="T334">
            <v>0</v>
          </cell>
          <cell r="U334">
            <v>65147500</v>
          </cell>
          <cell r="V334">
            <v>35689500</v>
          </cell>
        </row>
        <row r="335">
          <cell r="J335">
            <v>257</v>
          </cell>
          <cell r="K335">
            <v>43119</v>
          </cell>
          <cell r="L335" t="str">
            <v>KAREN NATHALY MUÑOZ SANCHEZ</v>
          </cell>
          <cell r="M335">
            <v>145</v>
          </cell>
          <cell r="N335" t="str">
            <v>CONTRATO DE PRESTACION DE SERVICIOS PROFESIONALES</v>
          </cell>
          <cell r="O335">
            <v>225</v>
          </cell>
          <cell r="P335">
            <v>43119</v>
          </cell>
          <cell r="Q335" t="str">
            <v>Prestación de Servicios profesionales para apoyar a la Dirección de Mejoramiento de Barrios de la Caja de Vivienda Popular en los proyectos de intervención física a escala barrial que en materia social se requiera.</v>
          </cell>
          <cell r="R335">
            <v>40865250</v>
          </cell>
          <cell r="S335">
            <v>0</v>
          </cell>
          <cell r="T335">
            <v>0</v>
          </cell>
          <cell r="U335">
            <v>40865250</v>
          </cell>
          <cell r="V335">
            <v>22387050</v>
          </cell>
        </row>
        <row r="336">
          <cell r="J336">
            <v>260</v>
          </cell>
          <cell r="K336">
            <v>43119</v>
          </cell>
          <cell r="L336" t="str">
            <v>JORGE ALBERTO ACEVEDO TALERO</v>
          </cell>
          <cell r="M336">
            <v>148</v>
          </cell>
          <cell r="N336" t="str">
            <v>CONTRATO DE PRESTACION DE SERVICIOS DE APOYO A LA GESTION</v>
          </cell>
          <cell r="O336">
            <v>234</v>
          </cell>
          <cell r="P336">
            <v>43119</v>
          </cell>
          <cell r="Q336" t="str">
            <v>Prestación de servicios para apoyar a la Dirección de Mejoramiento de Barrios de la Caja de la Vivienda Popular, en las actividades técnicas y administrativas requeridas en el desarrollo de los proyectos de intervención física a escala barrial.</v>
          </cell>
          <cell r="R336">
            <v>38259350</v>
          </cell>
          <cell r="S336">
            <v>0</v>
          </cell>
          <cell r="T336">
            <v>0</v>
          </cell>
          <cell r="U336">
            <v>38259350</v>
          </cell>
          <cell r="V336">
            <v>20848573</v>
          </cell>
        </row>
        <row r="337">
          <cell r="J337">
            <v>293</v>
          </cell>
          <cell r="K337">
            <v>43122</v>
          </cell>
          <cell r="L337" t="str">
            <v>JHON CARLOS RINCON AGREDO</v>
          </cell>
          <cell r="M337">
            <v>145</v>
          </cell>
          <cell r="N337" t="str">
            <v>CONTRATO DE PRESTACION DE SERVICIOS PROFESIONALES</v>
          </cell>
          <cell r="O337">
            <v>261</v>
          </cell>
          <cell r="P337">
            <v>43122</v>
          </cell>
          <cell r="Q337" t="str">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v>
          </cell>
          <cell r="R337">
            <v>9772125</v>
          </cell>
          <cell r="S337">
            <v>0</v>
          </cell>
          <cell r="T337">
            <v>0</v>
          </cell>
          <cell r="U337">
            <v>9772125</v>
          </cell>
          <cell r="V337">
            <v>5596787</v>
          </cell>
        </row>
        <row r="338">
          <cell r="J338">
            <v>312</v>
          </cell>
          <cell r="K338">
            <v>43122</v>
          </cell>
          <cell r="L338" t="str">
            <v>WILSON  GUALTEROS AGUILLON</v>
          </cell>
          <cell r="M338">
            <v>145</v>
          </cell>
          <cell r="N338" t="str">
            <v>CONTRATO DE PRESTACION DE SERVICIOS PROFESIONALES</v>
          </cell>
          <cell r="O338">
            <v>226</v>
          </cell>
          <cell r="P338">
            <v>43122</v>
          </cell>
          <cell r="Q338" t="str">
            <v>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v>
          </cell>
          <cell r="R338">
            <v>27192000</v>
          </cell>
          <cell r="S338">
            <v>0</v>
          </cell>
          <cell r="T338">
            <v>0</v>
          </cell>
          <cell r="U338">
            <v>27192000</v>
          </cell>
          <cell r="V338">
            <v>27192000</v>
          </cell>
        </row>
        <row r="339">
          <cell r="J339">
            <v>329</v>
          </cell>
          <cell r="K339">
            <v>43123</v>
          </cell>
          <cell r="L339" t="str">
            <v>GRETEL STELLA MEDRANO MORA</v>
          </cell>
          <cell r="M339">
            <v>145</v>
          </cell>
          <cell r="N339" t="str">
            <v>CONTRATO DE PRESTACION DE SERVICIOS PROFESIONALES</v>
          </cell>
          <cell r="O339">
            <v>288</v>
          </cell>
          <cell r="P339">
            <v>43123</v>
          </cell>
          <cell r="Q339" t="str">
            <v>Prestación de Servicios profesionales para apoyar a la Dirección de Mejoramiento de Barrios de la Caja de la Vivienda Popular en los procesos y procedimientos de carácter administrativo, financiero y presupuestal que se requieran.</v>
          </cell>
          <cell r="R339">
            <v>40865250</v>
          </cell>
          <cell r="S339">
            <v>0</v>
          </cell>
          <cell r="T339">
            <v>0</v>
          </cell>
          <cell r="U339">
            <v>40865250</v>
          </cell>
          <cell r="V339">
            <v>22268600</v>
          </cell>
        </row>
        <row r="340">
          <cell r="J340">
            <v>332</v>
          </cell>
          <cell r="K340">
            <v>43123</v>
          </cell>
          <cell r="L340" t="str">
            <v>LAURA FERNANDA GOMEZ RAMIREZ</v>
          </cell>
          <cell r="M340">
            <v>145</v>
          </cell>
          <cell r="N340" t="str">
            <v>CONTRATO DE PRESTACION DE SERVICIOS PROFESIONALES</v>
          </cell>
          <cell r="O340">
            <v>282</v>
          </cell>
          <cell r="P340">
            <v>43123</v>
          </cell>
          <cell r="Q340" t="str">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ell>
          <cell r="R340">
            <v>57500000</v>
          </cell>
          <cell r="S340">
            <v>0</v>
          </cell>
          <cell r="T340">
            <v>0</v>
          </cell>
          <cell r="U340">
            <v>57500000</v>
          </cell>
          <cell r="V340">
            <v>30166667</v>
          </cell>
        </row>
        <row r="341">
          <cell r="J341">
            <v>376</v>
          </cell>
          <cell r="K341">
            <v>43124</v>
          </cell>
          <cell r="L341" t="str">
            <v>FRANCISCO JOSE ARGUELLO ROJAS</v>
          </cell>
          <cell r="M341">
            <v>145</v>
          </cell>
          <cell r="N341" t="str">
            <v>CONTRATO DE PRESTACION DE SERVICIOS PROFESIONALES</v>
          </cell>
          <cell r="O341">
            <v>301</v>
          </cell>
          <cell r="P341">
            <v>43124</v>
          </cell>
          <cell r="Q341" t="str">
            <v>Prestar los servicios profesionales para la planeación, realización y desarrollo de contenidos periodísticos que permitan la difusión y divulgación de la gestión de cada una de las áreas misionales de la Caja de la Vivienda Popular.</v>
          </cell>
          <cell r="R341">
            <v>11330000</v>
          </cell>
          <cell r="S341">
            <v>11330000</v>
          </cell>
          <cell r="T341">
            <v>0</v>
          </cell>
          <cell r="U341">
            <v>0</v>
          </cell>
          <cell r="V341">
            <v>0</v>
          </cell>
        </row>
        <row r="342">
          <cell r="J342">
            <v>404</v>
          </cell>
          <cell r="K342">
            <v>43124</v>
          </cell>
          <cell r="L342" t="str">
            <v>FRANCISCO JOSE ARGUELLO ROJAS</v>
          </cell>
          <cell r="M342">
            <v>145</v>
          </cell>
          <cell r="N342" t="str">
            <v>CONTRATO DE PRESTACION DE SERVICIOS PROFESIONALES</v>
          </cell>
          <cell r="O342">
            <v>304</v>
          </cell>
          <cell r="P342">
            <v>43124</v>
          </cell>
          <cell r="Q342" t="str">
            <v>Prestar los servicios profesionales para la planeación, realización y desarrollo de contenidos periodísticos que permitan la difusión y divulgación de la gestión de cada una de las áreas misionales de la Caja de la Vivienda Popular.</v>
          </cell>
          <cell r="R342">
            <v>11330000</v>
          </cell>
          <cell r="S342">
            <v>0</v>
          </cell>
          <cell r="T342">
            <v>0</v>
          </cell>
          <cell r="U342">
            <v>11330000</v>
          </cell>
          <cell r="V342">
            <v>6420333</v>
          </cell>
        </row>
        <row r="343">
          <cell r="J343">
            <v>438</v>
          </cell>
          <cell r="K343">
            <v>43125</v>
          </cell>
          <cell r="L343" t="str">
            <v>LOTERO ZULUAGA ABOGADOS S A S</v>
          </cell>
          <cell r="M343">
            <v>145</v>
          </cell>
          <cell r="N343" t="str">
            <v>CONTRATO DE PRESTACION DE SERVICIOS PROFESIONALES</v>
          </cell>
          <cell r="O343">
            <v>379</v>
          </cell>
          <cell r="P343">
            <v>43125</v>
          </cell>
          <cell r="Q343" t="str">
            <v>Prestación de servicios profesionales para brindar asesoría jurídica y acompañamiento externo en la gestión contractual y demás trámites administrativos que sean requeridos.</v>
          </cell>
          <cell r="R343">
            <v>47380000</v>
          </cell>
          <cell r="S343">
            <v>47380000</v>
          </cell>
          <cell r="T343">
            <v>0</v>
          </cell>
          <cell r="U343">
            <v>0</v>
          </cell>
          <cell r="V343">
            <v>0</v>
          </cell>
        </row>
        <row r="344">
          <cell r="J344">
            <v>444</v>
          </cell>
          <cell r="K344">
            <v>43125</v>
          </cell>
          <cell r="L344" t="str">
            <v>LOTERO ZULUAGA ABOGADOS S A S</v>
          </cell>
          <cell r="M344">
            <v>145</v>
          </cell>
          <cell r="N344" t="str">
            <v>CONTRATO DE PRESTACION DE SERVICIOS PROFESIONALES</v>
          </cell>
          <cell r="O344">
            <v>379</v>
          </cell>
          <cell r="P344">
            <v>43125</v>
          </cell>
          <cell r="Q344" t="str">
            <v>Prestación de servicios profesionales para brindar asesoría jurídica y acompañamiento externo en la gestión contractual y demás trámites administrativos que sean requeridos.</v>
          </cell>
          <cell r="R344">
            <v>44000000</v>
          </cell>
          <cell r="S344">
            <v>0</v>
          </cell>
          <cell r="T344">
            <v>0</v>
          </cell>
          <cell r="U344">
            <v>44000000</v>
          </cell>
          <cell r="V344">
            <v>24666667</v>
          </cell>
        </row>
        <row r="345">
          <cell r="J345">
            <v>451</v>
          </cell>
          <cell r="K345">
            <v>43125</v>
          </cell>
          <cell r="L345" t="str">
            <v>JUAN JOSE SALAMANCA GONZALEZ</v>
          </cell>
          <cell r="M345">
            <v>148</v>
          </cell>
          <cell r="N345" t="str">
            <v>CONTRATO DE PRESTACION DE SERVICIOS DE APOYO A LA GESTION</v>
          </cell>
          <cell r="O345">
            <v>381</v>
          </cell>
          <cell r="P345">
            <v>43125</v>
          </cell>
          <cell r="Q345"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45">
            <v>17767500</v>
          </cell>
          <cell r="S345">
            <v>0</v>
          </cell>
          <cell r="T345">
            <v>0</v>
          </cell>
          <cell r="U345">
            <v>17767500</v>
          </cell>
          <cell r="V345">
            <v>9527500</v>
          </cell>
        </row>
        <row r="346">
          <cell r="J346">
            <v>465</v>
          </cell>
          <cell r="K346">
            <v>43126</v>
          </cell>
          <cell r="L346" t="str">
            <v>LUIS ROLANDO RIAÑO ORTIZ</v>
          </cell>
          <cell r="M346">
            <v>145</v>
          </cell>
          <cell r="N346" t="str">
            <v>CONTRATO DE PRESTACION DE SERVICIOS PROFESIONALES</v>
          </cell>
          <cell r="O346">
            <v>392</v>
          </cell>
          <cell r="P346">
            <v>43126</v>
          </cell>
          <cell r="Q346" t="str">
            <v>Prestación de Servicios profesionales para apoyar a la gestión operativa de la Dirección de Mejoramiento de Barrios de la Caja de Vivienda Popular en los proyectos de intervención física a escala barrial.</v>
          </cell>
          <cell r="R346">
            <v>90640000</v>
          </cell>
          <cell r="S346">
            <v>0</v>
          </cell>
          <cell r="T346">
            <v>0</v>
          </cell>
          <cell r="U346">
            <v>90640000</v>
          </cell>
          <cell r="V346">
            <v>50813333</v>
          </cell>
        </row>
        <row r="347">
          <cell r="J347">
            <v>483</v>
          </cell>
          <cell r="K347">
            <v>43126</v>
          </cell>
          <cell r="L347" t="str">
            <v>OSCAR LEONARDO HERNANDEZ VELASQUEZ</v>
          </cell>
          <cell r="M347">
            <v>145</v>
          </cell>
          <cell r="N347" t="str">
            <v>CONTRATO DE PRESTACION DE SERVICIOS PROFESIONALES</v>
          </cell>
          <cell r="O347">
            <v>405</v>
          </cell>
          <cell r="P347">
            <v>43126</v>
          </cell>
          <cell r="Q347" t="str">
            <v>Prestación de servicios profesionales en apoyo al equipo técnico de la Dirección de Mejoramiento de Barrios de la Caja de Vivienda Popular en los proyectos de intervención física a escala barrial.</v>
          </cell>
          <cell r="R347">
            <v>73645000</v>
          </cell>
          <cell r="S347">
            <v>0</v>
          </cell>
          <cell r="T347">
            <v>0</v>
          </cell>
          <cell r="U347">
            <v>73645000</v>
          </cell>
          <cell r="V347">
            <v>40616333</v>
          </cell>
        </row>
        <row r="348">
          <cell r="J348">
            <v>496</v>
          </cell>
          <cell r="K348">
            <v>43126</v>
          </cell>
          <cell r="L348" t="str">
            <v>SANDRA VIVIANA ACOSTA RODRIGUEZ</v>
          </cell>
          <cell r="M348">
            <v>145</v>
          </cell>
          <cell r="N348" t="str">
            <v>CONTRATO DE PRESTACION DE SERVICIOS PROFESIONALES</v>
          </cell>
          <cell r="O348">
            <v>425</v>
          </cell>
          <cell r="P348">
            <v>43126</v>
          </cell>
          <cell r="Q348" t="str">
            <v>Prestación de Servicios profesionales para apoyar a la Dirección de Mejoramiento de Barrios de la Caja de Vivienda Popular en los proyectos de intervención física a escala barrial que en materia técnica se requiera.</v>
          </cell>
          <cell r="R348">
            <v>40865250</v>
          </cell>
          <cell r="S348">
            <v>0</v>
          </cell>
          <cell r="T348">
            <v>0</v>
          </cell>
          <cell r="U348">
            <v>40865250</v>
          </cell>
          <cell r="V348">
            <v>21557900</v>
          </cell>
        </row>
        <row r="349">
          <cell r="J349">
            <v>499</v>
          </cell>
          <cell r="K349">
            <v>43126</v>
          </cell>
          <cell r="L349" t="str">
            <v>ALBA MARIA CAMACHO RINCON</v>
          </cell>
          <cell r="M349">
            <v>145</v>
          </cell>
          <cell r="N349" t="str">
            <v>CONTRATO DE PRESTACION DE SERVICIOS PROFESIONALES</v>
          </cell>
          <cell r="O349">
            <v>409</v>
          </cell>
          <cell r="P349">
            <v>43126</v>
          </cell>
          <cell r="Q349" t="str">
            <v>Prestación de Servicios profesionales para apoyar a la Dirección de Mejoramiento de Barrios de la Caja de Vivienda Popular en los proyectos de intervención física a escala barrial que en materia social se requiera.</v>
          </cell>
          <cell r="R349">
            <v>39088500</v>
          </cell>
          <cell r="S349">
            <v>0</v>
          </cell>
          <cell r="T349">
            <v>0</v>
          </cell>
          <cell r="U349">
            <v>39088500</v>
          </cell>
          <cell r="V349">
            <v>21557900</v>
          </cell>
        </row>
        <row r="350">
          <cell r="J350">
            <v>502</v>
          </cell>
          <cell r="K350">
            <v>43126</v>
          </cell>
          <cell r="L350" t="str">
            <v>JUAN SEBASTIAN BEJARANO CASTAÑEDA</v>
          </cell>
          <cell r="M350">
            <v>148</v>
          </cell>
          <cell r="N350" t="str">
            <v>CONTRATO DE PRESTACION DE SERVICIOS DE APOYO A LA GESTION</v>
          </cell>
          <cell r="O350">
            <v>413</v>
          </cell>
          <cell r="P350">
            <v>43126</v>
          </cell>
          <cell r="Q350"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50">
            <v>17767500</v>
          </cell>
          <cell r="S350">
            <v>0</v>
          </cell>
          <cell r="T350">
            <v>0</v>
          </cell>
          <cell r="U350">
            <v>17767500</v>
          </cell>
          <cell r="V350">
            <v>9373000</v>
          </cell>
        </row>
        <row r="351">
          <cell r="J351">
            <v>504</v>
          </cell>
          <cell r="K351">
            <v>43126</v>
          </cell>
          <cell r="L351" t="str">
            <v>DENIS STICK CALCETO</v>
          </cell>
          <cell r="M351">
            <v>145</v>
          </cell>
          <cell r="N351" t="str">
            <v>CONTRATO DE PRESTACION DE SERVICIOS PROFESIONALES</v>
          </cell>
          <cell r="O351">
            <v>414</v>
          </cell>
          <cell r="P351">
            <v>43126</v>
          </cell>
          <cell r="Q351" t="str">
            <v>Prestación de Servicios profesionales para apoyar a la Dirección de Mejoramiento de Barrios de la Caja de Vivienda Popular en los proyectos de intervención física a escala barrial que en materia técnica se requiera.</v>
          </cell>
          <cell r="R351">
            <v>57922050</v>
          </cell>
          <cell r="S351">
            <v>0</v>
          </cell>
          <cell r="T351">
            <v>0</v>
          </cell>
          <cell r="U351">
            <v>57922050</v>
          </cell>
          <cell r="V351">
            <v>30555980</v>
          </cell>
        </row>
        <row r="352">
          <cell r="J352">
            <v>1541</v>
          </cell>
          <cell r="K352">
            <v>43165</v>
          </cell>
          <cell r="L352" t="str">
            <v>POSITIVA COMPAÑIA DE SEGUROS SA</v>
          </cell>
          <cell r="M352">
            <v>54</v>
          </cell>
          <cell r="N352" t="str">
            <v>ORDEN DE SUMINISTRO DE SERVICIOS</v>
          </cell>
          <cell r="O352">
            <v>3</v>
          </cell>
          <cell r="P352">
            <v>43165</v>
          </cell>
          <cell r="Q352"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MARZO DE 2018</v>
          </cell>
          <cell r="R352">
            <v>841600</v>
          </cell>
          <cell r="S352">
            <v>841600</v>
          </cell>
          <cell r="T352">
            <v>0</v>
          </cell>
          <cell r="U352">
            <v>0</v>
          </cell>
          <cell r="V352">
            <v>0</v>
          </cell>
        </row>
        <row r="353">
          <cell r="J353">
            <v>1542</v>
          </cell>
          <cell r="K353">
            <v>43165</v>
          </cell>
          <cell r="L353" t="str">
            <v>POSITIVA COMPAÑIA DE SEGUROS SA</v>
          </cell>
          <cell r="M353">
            <v>30</v>
          </cell>
          <cell r="N353" t="str">
            <v>ORDEN DE PRESTACION DE SERVICIOS</v>
          </cell>
          <cell r="O353">
            <v>3</v>
          </cell>
          <cell r="P353">
            <v>43165</v>
          </cell>
          <cell r="Q353"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MARZO DE 2018</v>
          </cell>
          <cell r="R353">
            <v>841600</v>
          </cell>
          <cell r="S353">
            <v>0</v>
          </cell>
          <cell r="T353">
            <v>0</v>
          </cell>
          <cell r="U353">
            <v>841600</v>
          </cell>
          <cell r="V353">
            <v>841600</v>
          </cell>
        </row>
        <row r="354">
          <cell r="J354">
            <v>1720</v>
          </cell>
          <cell r="K354">
            <v>43195</v>
          </cell>
          <cell r="L354" t="str">
            <v>POSITIVA COMPAÑIA DE SEGUROS SA</v>
          </cell>
          <cell r="M354">
            <v>30</v>
          </cell>
          <cell r="N354" t="str">
            <v>ORDEN DE PRESTACION DE SERVICIOS</v>
          </cell>
          <cell r="O354">
            <v>4</v>
          </cell>
          <cell r="P354">
            <v>43195</v>
          </cell>
          <cell r="Q354"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ABRIL 2018</v>
          </cell>
          <cell r="R354">
            <v>2660200</v>
          </cell>
          <cell r="S354">
            <v>0</v>
          </cell>
          <cell r="T354">
            <v>0</v>
          </cell>
          <cell r="U354">
            <v>2660200</v>
          </cell>
          <cell r="V354">
            <v>2660200</v>
          </cell>
        </row>
        <row r="355">
          <cell r="J355">
            <v>1911</v>
          </cell>
          <cell r="K355">
            <v>43236</v>
          </cell>
          <cell r="L355" t="str">
            <v>POSITIVA COMPAÑIA DE SEGUROS SA</v>
          </cell>
          <cell r="M355">
            <v>30</v>
          </cell>
          <cell r="N355" t="str">
            <v>ORDEN DE PRESTACION DE SERVICIOS</v>
          </cell>
          <cell r="O355">
            <v>5</v>
          </cell>
          <cell r="P355">
            <v>43236</v>
          </cell>
          <cell r="Q355"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MAYO 2018</v>
          </cell>
          <cell r="R355">
            <v>2660200</v>
          </cell>
          <cell r="S355">
            <v>0</v>
          </cell>
          <cell r="T355">
            <v>0</v>
          </cell>
          <cell r="U355">
            <v>2660200</v>
          </cell>
          <cell r="V355">
            <v>2660200</v>
          </cell>
        </row>
        <row r="356">
          <cell r="J356">
            <v>2007</v>
          </cell>
          <cell r="K356">
            <v>43258</v>
          </cell>
          <cell r="L356" t="str">
            <v>POSITIVA COMPAÑIA DE SEGUROS SA</v>
          </cell>
          <cell r="M356">
            <v>30</v>
          </cell>
          <cell r="N356" t="str">
            <v>ORDEN DE PRESTACION DE SERVICIOS</v>
          </cell>
          <cell r="O356">
            <v>6</v>
          </cell>
          <cell r="P356">
            <v>43258</v>
          </cell>
          <cell r="Q356"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JUNIO DE 2018</v>
          </cell>
          <cell r="R356">
            <v>2660200</v>
          </cell>
          <cell r="S356">
            <v>0</v>
          </cell>
          <cell r="T356">
            <v>0</v>
          </cell>
          <cell r="U356">
            <v>2660200</v>
          </cell>
          <cell r="V356">
            <v>2660200</v>
          </cell>
        </row>
        <row r="357">
          <cell r="J357">
            <v>2457</v>
          </cell>
          <cell r="K357">
            <v>43290</v>
          </cell>
          <cell r="L357" t="str">
            <v>POSITIVA COMPAÑIA DE SEGUROS SA</v>
          </cell>
          <cell r="M357">
            <v>30</v>
          </cell>
          <cell r="N357" t="str">
            <v>ORDEN DE PRESTACION DE SERVICIOS</v>
          </cell>
          <cell r="O357">
            <v>7</v>
          </cell>
          <cell r="P357">
            <v>43290</v>
          </cell>
          <cell r="Q357" t="str">
            <v>PAGO DE COTIZACIÓN AL SISTEMA GENERAL DE RIESGOS LABORALES DE LAS PERSONAS VINCULADAS A TRAVÉS DE UN CONTRATO DE PRESTACIÓN DE SERVICIOS CON LA CAJA DE LA VIVIENDA POPULAR QUE LABORAN EN ACTIVIDADES DE ALTO RIESGO, SEGÚN EN EL ARTÍCULO 13 DEL DECRETO 723 DE 2013. MES JULIO DE 2018</v>
          </cell>
          <cell r="R357">
            <v>2660200</v>
          </cell>
          <cell r="S357">
            <v>0</v>
          </cell>
          <cell r="T357">
            <v>0</v>
          </cell>
          <cell r="U357">
            <v>2660200</v>
          </cell>
          <cell r="V357">
            <v>2660200</v>
          </cell>
        </row>
        <row r="358">
          <cell r="J358">
            <v>2518</v>
          </cell>
          <cell r="K358">
            <v>43300</v>
          </cell>
          <cell r="L358" t="str">
            <v>AGUSTIN  LOBATON CORTES</v>
          </cell>
          <cell r="M358">
            <v>145</v>
          </cell>
          <cell r="N358" t="str">
            <v>CONTRATO DE PRESTACION DE SERVICIOS PROFESIONALES</v>
          </cell>
          <cell r="O358">
            <v>226</v>
          </cell>
          <cell r="P358">
            <v>43300</v>
          </cell>
          <cell r="Q358" t="str">
            <v>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v>
          </cell>
          <cell r="R358">
            <v>4532000</v>
          </cell>
          <cell r="S358">
            <v>0</v>
          </cell>
          <cell r="T358">
            <v>0</v>
          </cell>
          <cell r="U358">
            <v>4532000</v>
          </cell>
          <cell r="V358">
            <v>1510667</v>
          </cell>
        </row>
        <row r="359">
          <cell r="J359">
            <v>2534</v>
          </cell>
          <cell r="K359">
            <v>43305</v>
          </cell>
          <cell r="L359" t="str">
            <v>MONICA JOHANNA CHIPATECUA QUEVEDO</v>
          </cell>
          <cell r="M359">
            <v>148</v>
          </cell>
          <cell r="N359" t="str">
            <v>CONTRATO DE PRESTACION DE SERVICIOS DE APOYO A LA GESTION</v>
          </cell>
          <cell r="O359">
            <v>452</v>
          </cell>
          <cell r="P359">
            <v>43336</v>
          </cell>
          <cell r="Q359"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59">
            <v>8240000</v>
          </cell>
          <cell r="S359">
            <v>0</v>
          </cell>
          <cell r="T359">
            <v>0</v>
          </cell>
          <cell r="U359">
            <v>8240000</v>
          </cell>
          <cell r="V359">
            <v>0</v>
          </cell>
        </row>
        <row r="360">
          <cell r="J360">
            <v>2541</v>
          </cell>
          <cell r="K360">
            <v>43305</v>
          </cell>
          <cell r="L360" t="str">
            <v>LUIS ALFONSO DIAZ MARTIN</v>
          </cell>
          <cell r="M360">
            <v>148</v>
          </cell>
          <cell r="N360" t="str">
            <v>CONTRATO DE PRESTACION DE SERVICIOS DE APOYO A LA GESTION</v>
          </cell>
          <cell r="O360">
            <v>455</v>
          </cell>
          <cell r="P360">
            <v>43305</v>
          </cell>
          <cell r="Q360"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60">
            <v>8240000</v>
          </cell>
          <cell r="S360">
            <v>0</v>
          </cell>
          <cell r="T360">
            <v>0</v>
          </cell>
          <cell r="U360">
            <v>8240000</v>
          </cell>
          <cell r="V360">
            <v>309000</v>
          </cell>
        </row>
        <row r="361">
          <cell r="J361">
            <v>2548</v>
          </cell>
          <cell r="K361">
            <v>43311</v>
          </cell>
          <cell r="L361" t="str">
            <v>NATALY ANGELICA NOGALES VARGAS</v>
          </cell>
          <cell r="M361">
            <v>148</v>
          </cell>
          <cell r="N361" t="str">
            <v>CONTRATO DE PRESTACION DE SERVICIOS DE APOYO A LA GESTION</v>
          </cell>
          <cell r="O361">
            <v>466</v>
          </cell>
          <cell r="P361">
            <v>43311</v>
          </cell>
          <cell r="Q361"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61">
            <v>7725000</v>
          </cell>
          <cell r="S361">
            <v>0</v>
          </cell>
          <cell r="T361">
            <v>0</v>
          </cell>
          <cell r="U361">
            <v>7725000</v>
          </cell>
          <cell r="V361">
            <v>0</v>
          </cell>
        </row>
        <row r="362">
          <cell r="J362">
            <v>2561</v>
          </cell>
          <cell r="K362">
            <v>43313</v>
          </cell>
          <cell r="L362" t="str">
            <v>NATALIA MERCEDES BOCANEGRA MONTALVO</v>
          </cell>
          <cell r="M362">
            <v>148</v>
          </cell>
          <cell r="N362" t="str">
            <v>CONTRATO DE PRESTACION DE SERVICIOS DE APOYO A LA GESTION</v>
          </cell>
          <cell r="O362">
            <v>465</v>
          </cell>
          <cell r="P362">
            <v>43313</v>
          </cell>
          <cell r="Q362"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62">
            <v>7725000</v>
          </cell>
          <cell r="S362">
            <v>0</v>
          </cell>
          <cell r="T362">
            <v>0</v>
          </cell>
          <cell r="U362">
            <v>7725000</v>
          </cell>
          <cell r="V362">
            <v>0</v>
          </cell>
        </row>
        <row r="363">
          <cell r="J363">
            <v>2593</v>
          </cell>
          <cell r="K363">
            <v>43315</v>
          </cell>
          <cell r="L363" t="str">
            <v>POSITIVA COMPAÑIA DE SEGUROS SA</v>
          </cell>
          <cell r="M363">
            <v>30</v>
          </cell>
          <cell r="N363" t="str">
            <v>ORDEN DE PRESTACION DE SERVICIOS</v>
          </cell>
          <cell r="O363">
            <v>8</v>
          </cell>
          <cell r="P363">
            <v>43315</v>
          </cell>
          <cell r="Q363"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AGOSTO DE 2018.</v>
          </cell>
          <cell r="R363">
            <v>2660200</v>
          </cell>
          <cell r="S363">
            <v>0</v>
          </cell>
          <cell r="T363">
            <v>0</v>
          </cell>
          <cell r="U363">
            <v>2660200</v>
          </cell>
          <cell r="V363">
            <v>2660200</v>
          </cell>
        </row>
        <row r="364">
          <cell r="J364">
            <v>2597</v>
          </cell>
          <cell r="K364">
            <v>43315</v>
          </cell>
          <cell r="L364" t="str">
            <v>ALEJANDRA MARIA MUSKUS CARRIAZO</v>
          </cell>
          <cell r="M364">
            <v>145</v>
          </cell>
          <cell r="N364" t="str">
            <v>CONTRATO DE PRESTACION DE SERVICIOS PROFESIONALES</v>
          </cell>
          <cell r="O364">
            <v>476</v>
          </cell>
          <cell r="P364">
            <v>43315</v>
          </cell>
          <cell r="Q364" t="str">
            <v>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v>
          </cell>
          <cell r="R364">
            <v>17767500</v>
          </cell>
          <cell r="S364">
            <v>0</v>
          </cell>
          <cell r="T364">
            <v>0</v>
          </cell>
          <cell r="U364">
            <v>17767500</v>
          </cell>
          <cell r="V364">
            <v>0</v>
          </cell>
        </row>
        <row r="365">
          <cell r="J365">
            <v>2647</v>
          </cell>
          <cell r="K365">
            <v>43326</v>
          </cell>
          <cell r="L365" t="str">
            <v>JUAN PABLO GARCIA LIZARAZO</v>
          </cell>
          <cell r="M365">
            <v>145</v>
          </cell>
          <cell r="N365" t="str">
            <v>CONTRATO DE PRESTACION DE SERVICIOS PROFESIONALES</v>
          </cell>
          <cell r="O365">
            <v>487</v>
          </cell>
          <cell r="P365">
            <v>43326</v>
          </cell>
          <cell r="Q365" t="str">
            <v>Prestación de Servicios profesionales para apoyar a la Dirección de Mejoramiento de Barrios de la Caja de Vivienda Popular en los proyectos de intervención física a escala barrial que en materia técnica se requiera.</v>
          </cell>
          <cell r="R365">
            <v>16583000</v>
          </cell>
          <cell r="S365">
            <v>0</v>
          </cell>
          <cell r="T365">
            <v>0</v>
          </cell>
          <cell r="U365">
            <v>16583000</v>
          </cell>
          <cell r="V365">
            <v>0</v>
          </cell>
        </row>
        <row r="366">
          <cell r="J366">
            <v>2652</v>
          </cell>
          <cell r="K366">
            <v>43326</v>
          </cell>
          <cell r="L366" t="str">
            <v>GINA MARCELA ALVARADO GONZALEZ</v>
          </cell>
          <cell r="M366">
            <v>145</v>
          </cell>
          <cell r="N366" t="str">
            <v>CONTRATO DE PRESTACION DE SERVICIOS PROFESIONALES</v>
          </cell>
          <cell r="O366">
            <v>1004</v>
          </cell>
          <cell r="P366">
            <v>43326</v>
          </cell>
          <cell r="Q366" t="str">
            <v>Prestación de Servicios profesionales de carácter jurídico para apoyar a la Dirección de Mejoramiento de Barrios de la Caja de la Vivienda Popular.</v>
          </cell>
          <cell r="R366">
            <v>30900000</v>
          </cell>
          <cell r="S366">
            <v>30900000</v>
          </cell>
          <cell r="T366">
            <v>0</v>
          </cell>
          <cell r="U366">
            <v>0</v>
          </cell>
          <cell r="V366">
            <v>0</v>
          </cell>
        </row>
        <row r="367">
          <cell r="J367">
            <v>2656</v>
          </cell>
          <cell r="K367">
            <v>43326</v>
          </cell>
          <cell r="L367" t="str">
            <v>GINA MARCELA ALVARADO GONZALEZ</v>
          </cell>
          <cell r="M367">
            <v>145</v>
          </cell>
          <cell r="N367" t="str">
            <v>CONTRATO DE PRESTACION DE SERVICIOS PROFESIONALES</v>
          </cell>
          <cell r="O367">
            <v>492</v>
          </cell>
          <cell r="P367">
            <v>43326</v>
          </cell>
          <cell r="Q367" t="str">
            <v>Prestación de Servicios profesionales de carácter jurídico para apoyar a la Dirección de Mejoramiento de Barrios de la Caja de la Vivienda Popular.</v>
          </cell>
          <cell r="R367">
            <v>30900000</v>
          </cell>
          <cell r="S367">
            <v>0</v>
          </cell>
          <cell r="T367">
            <v>0</v>
          </cell>
          <cell r="U367">
            <v>30900000</v>
          </cell>
          <cell r="V367">
            <v>0</v>
          </cell>
        </row>
        <row r="368">
          <cell r="J368">
            <v>2686</v>
          </cell>
          <cell r="K368">
            <v>43329</v>
          </cell>
          <cell r="L368" t="str">
            <v>AGUSTIN  LOBATON CORTES</v>
          </cell>
          <cell r="M368">
            <v>145</v>
          </cell>
          <cell r="N368" t="str">
            <v>CONTRATO DE PRESTACION DE SERVICIOS PROFESIONALES</v>
          </cell>
          <cell r="O368">
            <v>226</v>
          </cell>
          <cell r="P368">
            <v>43329</v>
          </cell>
          <cell r="Q368" t="str">
            <v>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v>
          </cell>
          <cell r="R368">
            <v>9064000</v>
          </cell>
          <cell r="S368">
            <v>0</v>
          </cell>
          <cell r="T368">
            <v>0</v>
          </cell>
          <cell r="U368">
            <v>9064000</v>
          </cell>
          <cell r="V368">
            <v>0</v>
          </cell>
        </row>
        <row r="369">
          <cell r="J369">
            <v>2723</v>
          </cell>
          <cell r="K369">
            <v>43335</v>
          </cell>
          <cell r="L369" t="str">
            <v>VALENTINA  ESTEBAN BERNAL</v>
          </cell>
          <cell r="M369">
            <v>148</v>
          </cell>
          <cell r="N369" t="str">
            <v>CONTRATO DE PRESTACION DE SERVICIOS DE APOYO A LA GESTION</v>
          </cell>
          <cell r="O369">
            <v>518</v>
          </cell>
          <cell r="P369">
            <v>43335</v>
          </cell>
          <cell r="Q369" t="str">
            <v>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v>
          </cell>
          <cell r="R369">
            <v>6746500</v>
          </cell>
          <cell r="S369">
            <v>0</v>
          </cell>
          <cell r="T369">
            <v>0</v>
          </cell>
          <cell r="U369">
            <v>6746500</v>
          </cell>
          <cell r="V369">
            <v>0</v>
          </cell>
        </row>
        <row r="370">
          <cell r="J370">
            <v>38</v>
          </cell>
          <cell r="K370">
            <v>43116</v>
          </cell>
          <cell r="L370" t="str">
            <v>JOSE ALEJANDRO RAMIREZ CANO</v>
          </cell>
          <cell r="M370">
            <v>145</v>
          </cell>
          <cell r="N370" t="str">
            <v>CONTRATO DE PRESTACION DE SERVICIOS PROFESIONALES</v>
          </cell>
          <cell r="O370">
            <v>35</v>
          </cell>
          <cell r="P370">
            <v>43116</v>
          </cell>
          <cell r="Q370" t="str">
            <v>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v>
          </cell>
          <cell r="R370">
            <v>148350000</v>
          </cell>
          <cell r="S370">
            <v>0</v>
          </cell>
          <cell r="T370">
            <v>0</v>
          </cell>
          <cell r="U370">
            <v>148350000</v>
          </cell>
          <cell r="V370">
            <v>83420000</v>
          </cell>
        </row>
        <row r="371">
          <cell r="J371">
            <v>44</v>
          </cell>
          <cell r="K371">
            <v>43116</v>
          </cell>
          <cell r="L371" t="str">
            <v>LINA MARIA AZUERO GUTIERREZ</v>
          </cell>
          <cell r="M371">
            <v>145</v>
          </cell>
          <cell r="N371" t="str">
            <v>CONTRATO DE PRESTACION DE SERVICIOS PROFESIONALES</v>
          </cell>
          <cell r="O371">
            <v>36</v>
          </cell>
          <cell r="P371">
            <v>43116</v>
          </cell>
          <cell r="Q371" t="str">
            <v>Prestación de servicios profesionales en los procesos misionales y proyectos especiales, para apoyar la gestión, planeación, concertación y seguimiento a los planes y cronogramas del componente social.</v>
          </cell>
          <cell r="R371">
            <v>23690000</v>
          </cell>
          <cell r="S371">
            <v>0</v>
          </cell>
          <cell r="T371">
            <v>0</v>
          </cell>
          <cell r="U371">
            <v>23690000</v>
          </cell>
          <cell r="V371">
            <v>12360000</v>
          </cell>
        </row>
        <row r="372">
          <cell r="J372">
            <v>84</v>
          </cell>
          <cell r="K372">
            <v>43116</v>
          </cell>
          <cell r="L372" t="str">
            <v>LUIS GUILLERMO BARBOSA SANCHEZ</v>
          </cell>
          <cell r="M372">
            <v>148</v>
          </cell>
          <cell r="N372" t="str">
            <v>CONTRATO DE PRESTACION DE SERVICIOS DE APOYO A LA GESTION</v>
          </cell>
          <cell r="O372">
            <v>82</v>
          </cell>
          <cell r="P372">
            <v>43116</v>
          </cell>
          <cell r="Q372" t="str">
            <v>Prestación de servicios de apoyo técnico a la Dirección de Urbanizaciones y Titulación en el proceso de saneamiento de los bienes inmuebles de la Caja de la Vivienda Popular, así como en la identificación, depuración y consolidación del inventario de los mismos.</v>
          </cell>
          <cell r="R372">
            <v>38259350</v>
          </cell>
          <cell r="S372">
            <v>0</v>
          </cell>
          <cell r="T372">
            <v>0</v>
          </cell>
          <cell r="U372">
            <v>38259350</v>
          </cell>
          <cell r="V372">
            <v>21513954</v>
          </cell>
        </row>
        <row r="373">
          <cell r="J373">
            <v>85</v>
          </cell>
          <cell r="K373">
            <v>43116</v>
          </cell>
          <cell r="L373" t="str">
            <v>KAREN ALEJANDRA TORRES MORENO</v>
          </cell>
          <cell r="M373">
            <v>145</v>
          </cell>
          <cell r="N373" t="str">
            <v>CONTRATO DE PRESTACION DE SERVICIOS PROFESIONALES</v>
          </cell>
          <cell r="O373">
            <v>81</v>
          </cell>
          <cell r="P373">
            <v>43116</v>
          </cell>
          <cell r="Q373" t="str">
            <v>Prestar servicios profesionales a la Dirección de Urbanizaciones y Titulación en la programación, organización y realización de planes de trabajo dirigidos a brindar acompañamiento social a las comunidades beneficiarias de los programas a cargo de la Dirección.</v>
          </cell>
          <cell r="R373">
            <v>47380000</v>
          </cell>
          <cell r="S373">
            <v>0</v>
          </cell>
          <cell r="T373">
            <v>0</v>
          </cell>
          <cell r="U373">
            <v>47380000</v>
          </cell>
          <cell r="V373">
            <v>26642667</v>
          </cell>
        </row>
        <row r="374">
          <cell r="J374">
            <v>86</v>
          </cell>
          <cell r="K374">
            <v>43116</v>
          </cell>
          <cell r="L374" t="str">
            <v>JOSE MAURICIO HUEPE PEREZ</v>
          </cell>
          <cell r="M374">
            <v>148</v>
          </cell>
          <cell r="N374" t="str">
            <v>CONTRATO DE PRESTACION DE SERVICIOS DE APOYO A LA GESTION</v>
          </cell>
          <cell r="O374">
            <v>74</v>
          </cell>
          <cell r="P374">
            <v>43116</v>
          </cell>
          <cell r="Q374" t="str">
            <v>Prestar servicios técnicos a la Dirección de Urbanizaciones y Titulación para adelantar actividades de clasificación, registro y archivo de la información, así como en las actividades tendientes a logar la escrituración de los proyectos constructivos desarrollados por la CVP.</v>
          </cell>
          <cell r="R374">
            <v>38259350</v>
          </cell>
          <cell r="S374">
            <v>0</v>
          </cell>
          <cell r="T374">
            <v>0</v>
          </cell>
          <cell r="U374">
            <v>38259350</v>
          </cell>
          <cell r="V374">
            <v>16523603</v>
          </cell>
        </row>
        <row r="375">
          <cell r="J375">
            <v>88</v>
          </cell>
          <cell r="K375">
            <v>43116</v>
          </cell>
          <cell r="L375" t="str">
            <v>ANGELA MARIA VELEZ CORREA</v>
          </cell>
          <cell r="M375">
            <v>145</v>
          </cell>
          <cell r="N375" t="str">
            <v>CONTRATO DE PRESTACION DE SERVICIOS PROFESIONALES</v>
          </cell>
          <cell r="O375">
            <v>73</v>
          </cell>
          <cell r="P375">
            <v>43116</v>
          </cell>
          <cell r="Q375" t="str">
            <v>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v>
          </cell>
          <cell r="R375">
            <v>65147500</v>
          </cell>
          <cell r="S375">
            <v>0</v>
          </cell>
          <cell r="T375">
            <v>0</v>
          </cell>
          <cell r="U375">
            <v>65147500</v>
          </cell>
          <cell r="V375">
            <v>36633667</v>
          </cell>
        </row>
        <row r="376">
          <cell r="J376">
            <v>95</v>
          </cell>
          <cell r="K376">
            <v>43116</v>
          </cell>
          <cell r="L376" t="str">
            <v>RUTH MERY CANIZALES OVALLE</v>
          </cell>
          <cell r="M376">
            <v>145</v>
          </cell>
          <cell r="N376" t="str">
            <v>CONTRATO DE PRESTACION DE SERVICIOS PROFESIONALES</v>
          </cell>
          <cell r="O376">
            <v>72</v>
          </cell>
          <cell r="P376">
            <v>43116</v>
          </cell>
          <cell r="Q376" t="str">
            <v>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v>
          </cell>
          <cell r="R376">
            <v>60409500</v>
          </cell>
          <cell r="S376">
            <v>0</v>
          </cell>
          <cell r="T376">
            <v>0</v>
          </cell>
          <cell r="U376">
            <v>60409500</v>
          </cell>
          <cell r="V376">
            <v>33969400</v>
          </cell>
        </row>
        <row r="377">
          <cell r="J377">
            <v>117</v>
          </cell>
          <cell r="K377">
            <v>43117</v>
          </cell>
          <cell r="L377" t="str">
            <v>CARLOS ANDRES PELAEZ PRADA</v>
          </cell>
          <cell r="M377">
            <v>145</v>
          </cell>
          <cell r="N377" t="str">
            <v>CONTRATO DE PRESTACION DE SERVICIOS PROFESIONALES</v>
          </cell>
          <cell r="O377">
            <v>96</v>
          </cell>
          <cell r="P377">
            <v>43117</v>
          </cell>
          <cell r="Q377" t="str">
            <v>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v>
          </cell>
          <cell r="R377">
            <v>136850000</v>
          </cell>
          <cell r="S377">
            <v>0</v>
          </cell>
          <cell r="T377">
            <v>0</v>
          </cell>
          <cell r="U377">
            <v>136850000</v>
          </cell>
          <cell r="V377">
            <v>69813333</v>
          </cell>
        </row>
        <row r="378">
          <cell r="J378">
            <v>133</v>
          </cell>
          <cell r="K378">
            <v>43117</v>
          </cell>
          <cell r="L378" t="str">
            <v>JUAN JOSE RODRIGUEZ PALACIOS</v>
          </cell>
          <cell r="M378">
            <v>145</v>
          </cell>
          <cell r="N378" t="str">
            <v>CONTRATO DE PRESTACION DE SERVICIOS PROFESIONALES</v>
          </cell>
          <cell r="O378">
            <v>142</v>
          </cell>
          <cell r="P378">
            <v>43117</v>
          </cell>
          <cell r="Q378" t="str">
            <v>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v>
          </cell>
          <cell r="R378">
            <v>52118000</v>
          </cell>
          <cell r="S378">
            <v>0</v>
          </cell>
          <cell r="T378">
            <v>0</v>
          </cell>
          <cell r="U378">
            <v>52118000</v>
          </cell>
          <cell r="V378">
            <v>29155867</v>
          </cell>
        </row>
        <row r="379">
          <cell r="J379">
            <v>136</v>
          </cell>
          <cell r="K379">
            <v>43117</v>
          </cell>
          <cell r="L379" t="str">
            <v>ANDRES  CASTILLO ARELLANO</v>
          </cell>
          <cell r="M379">
            <v>145</v>
          </cell>
          <cell r="N379" t="str">
            <v>CONTRATO DE PRESTACION DE SERVICIOS PROFESIONALES</v>
          </cell>
          <cell r="O379">
            <v>114</v>
          </cell>
          <cell r="P379">
            <v>43117</v>
          </cell>
          <cell r="Q379" t="str">
            <v>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v>
          </cell>
          <cell r="R379">
            <v>94760000</v>
          </cell>
          <cell r="S379">
            <v>0</v>
          </cell>
          <cell r="T379">
            <v>0</v>
          </cell>
          <cell r="U379">
            <v>94760000</v>
          </cell>
          <cell r="V379">
            <v>53010666</v>
          </cell>
        </row>
        <row r="380">
          <cell r="J380">
            <v>138</v>
          </cell>
          <cell r="K380">
            <v>43117</v>
          </cell>
          <cell r="L380" t="str">
            <v>CAROL JULIANA BOLAÑOS SALAMANCA</v>
          </cell>
          <cell r="M380">
            <v>145</v>
          </cell>
          <cell r="N380" t="str">
            <v>CONTRATO DE PRESTACION DE SERVICIOS PROFESIONALES</v>
          </cell>
          <cell r="O380">
            <v>115</v>
          </cell>
          <cell r="P380">
            <v>43117</v>
          </cell>
          <cell r="Q380" t="str">
            <v>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v>
          </cell>
          <cell r="R380">
            <v>82915000</v>
          </cell>
          <cell r="S380">
            <v>0</v>
          </cell>
          <cell r="T380">
            <v>0</v>
          </cell>
          <cell r="U380">
            <v>82915000</v>
          </cell>
          <cell r="V380">
            <v>46384333</v>
          </cell>
        </row>
        <row r="381">
          <cell r="J381">
            <v>140</v>
          </cell>
          <cell r="K381">
            <v>43117</v>
          </cell>
          <cell r="L381" t="str">
            <v>MARIBEL  QUEVEDO GONZALEZ</v>
          </cell>
          <cell r="M381">
            <v>148</v>
          </cell>
          <cell r="N381" t="str">
            <v>CONTRATO DE PRESTACION DE SERVICIOS DE APOYO A LA GESTION</v>
          </cell>
          <cell r="O381">
            <v>150</v>
          </cell>
          <cell r="P381">
            <v>43117</v>
          </cell>
          <cell r="Q381" t="str">
            <v>Prestar servicios de apoyo a la gestión a la Subdirección Financiera de la CVP, como enlace de la Dirección de Urbanizaciones y Titulación para colaborar en las actividades de gestión archivística.</v>
          </cell>
          <cell r="R381">
            <v>38259350</v>
          </cell>
          <cell r="S381">
            <v>0</v>
          </cell>
          <cell r="T381">
            <v>0</v>
          </cell>
          <cell r="U381">
            <v>38259350</v>
          </cell>
          <cell r="V381">
            <v>21403057</v>
          </cell>
        </row>
        <row r="382">
          <cell r="J382">
            <v>149</v>
          </cell>
          <cell r="K382">
            <v>43117</v>
          </cell>
          <cell r="L382" t="str">
            <v>JULY PAOLA TORRES RISCANEVO</v>
          </cell>
          <cell r="M382">
            <v>145</v>
          </cell>
          <cell r="N382" t="str">
            <v>CONTRATO DE PRESTACION DE SERVICIOS PROFESIONALES</v>
          </cell>
          <cell r="O382">
            <v>155</v>
          </cell>
          <cell r="P382">
            <v>43117</v>
          </cell>
          <cell r="Q382" t="str">
            <v>PRESTAR SERVICIOS PROFESIONALES PARA EL DESARROLLO DE LA POLITICA DE RESPONSABILIDAD SOCIAL, BAJO LOS TRES PILARES DE SOSTENIBILIDAD A LOS PROCESOS DE GESTION MISIONAL DE LA CAJA DE LA VIVIENDA POPULAR.</v>
          </cell>
          <cell r="R382">
            <v>23690000</v>
          </cell>
          <cell r="S382">
            <v>0</v>
          </cell>
          <cell r="T382">
            <v>0</v>
          </cell>
          <cell r="U382">
            <v>23690000</v>
          </cell>
          <cell r="V382">
            <v>13252666</v>
          </cell>
        </row>
        <row r="383">
          <cell r="J383">
            <v>151</v>
          </cell>
          <cell r="K383">
            <v>43117</v>
          </cell>
          <cell r="L383" t="str">
            <v>CLAUDIA LILIANA CORTINA FIERRO</v>
          </cell>
          <cell r="M383">
            <v>145</v>
          </cell>
          <cell r="N383" t="str">
            <v>CONTRATO DE PRESTACION DE SERVICIOS PROFESIONALES</v>
          </cell>
          <cell r="O383">
            <v>158</v>
          </cell>
          <cell r="P383">
            <v>43117</v>
          </cell>
          <cell r="Q383" t="str">
            <v>Prestación de servicios profesionales a la Dirección de Urbanizaciones y Titulación  en el seguimiento técnico y administrativo a la ejecución de los proyectos de vivienda adelantados por la entidad.</v>
          </cell>
          <cell r="R383">
            <v>82915000</v>
          </cell>
          <cell r="S383">
            <v>0</v>
          </cell>
          <cell r="T383">
            <v>0</v>
          </cell>
          <cell r="U383">
            <v>82915000</v>
          </cell>
          <cell r="V383">
            <v>46384334</v>
          </cell>
        </row>
        <row r="384">
          <cell r="J384">
            <v>155</v>
          </cell>
          <cell r="K384">
            <v>43118</v>
          </cell>
          <cell r="L384" t="str">
            <v>MARISOL  CUADRADO AYALA</v>
          </cell>
          <cell r="M384">
            <v>145</v>
          </cell>
          <cell r="N384" t="str">
            <v>CONTRATO DE PRESTACION DE SERVICIOS PROFESIONALES</v>
          </cell>
          <cell r="O384">
            <v>159</v>
          </cell>
          <cell r="P384">
            <v>43118</v>
          </cell>
          <cell r="Q384" t="str">
            <v>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v>
          </cell>
          <cell r="R384">
            <v>71070000</v>
          </cell>
          <cell r="S384">
            <v>0</v>
          </cell>
          <cell r="T384">
            <v>0</v>
          </cell>
          <cell r="U384">
            <v>71070000</v>
          </cell>
          <cell r="V384">
            <v>39758000</v>
          </cell>
        </row>
        <row r="385">
          <cell r="J385">
            <v>157</v>
          </cell>
          <cell r="K385">
            <v>43118</v>
          </cell>
          <cell r="L385" t="str">
            <v>RAUL  TOVAR MARTINEZ</v>
          </cell>
          <cell r="M385">
            <v>145</v>
          </cell>
          <cell r="N385" t="str">
            <v>CONTRATO DE PRESTACION DE SERVICIOS PROFESIONALES</v>
          </cell>
          <cell r="O385">
            <v>126</v>
          </cell>
          <cell r="P385">
            <v>43118</v>
          </cell>
          <cell r="Q385" t="str">
            <v>Prestación de servicios de profesionales para apoyar a la Dirección de Mejoramiento de Barrios  y a la Dirección de Titulaciones y Urbanizaciones de la Caja de la Vivienda Popular en las actividades precontractuales y contractuales que en materia Técnica se requieran.</v>
          </cell>
          <cell r="R385">
            <v>35535000</v>
          </cell>
          <cell r="S385">
            <v>0</v>
          </cell>
          <cell r="T385">
            <v>0</v>
          </cell>
          <cell r="U385">
            <v>35535000</v>
          </cell>
          <cell r="V385">
            <v>16789000</v>
          </cell>
        </row>
        <row r="386">
          <cell r="J386">
            <v>161</v>
          </cell>
          <cell r="K386">
            <v>43118</v>
          </cell>
          <cell r="L386" t="str">
            <v>ANGELICA MARIA ROZO BAQUERO</v>
          </cell>
          <cell r="M386">
            <v>148</v>
          </cell>
          <cell r="N386" t="str">
            <v>CONTRATO DE PRESTACION DE SERVICIOS DE APOYO A LA GESTION</v>
          </cell>
          <cell r="O386">
            <v>125</v>
          </cell>
          <cell r="P386">
            <v>43118</v>
          </cell>
          <cell r="Q386" t="str">
            <v>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v>
          </cell>
          <cell r="R386">
            <v>28428000</v>
          </cell>
          <cell r="S386">
            <v>0</v>
          </cell>
          <cell r="T386">
            <v>0</v>
          </cell>
          <cell r="U386">
            <v>28428000</v>
          </cell>
          <cell r="V386">
            <v>15903200</v>
          </cell>
        </row>
        <row r="387">
          <cell r="J387">
            <v>178</v>
          </cell>
          <cell r="K387">
            <v>43118</v>
          </cell>
          <cell r="L387" t="str">
            <v>MONICA VIVIANA CEBALLOS CRIOLLO</v>
          </cell>
          <cell r="M387">
            <v>145</v>
          </cell>
          <cell r="N387" t="str">
            <v>CONTRATO DE PRESTACION DE SERVICIOS PROFESIONALES</v>
          </cell>
          <cell r="O387">
            <v>160</v>
          </cell>
          <cell r="P387">
            <v>43118</v>
          </cell>
          <cell r="Q387" t="str">
            <v>CONTRATAR LOS SERVICIOS PROFESIONALES DE UN COMUNICADOR SOCIAL QUE DESARROLLE LA INFORMACION PERIODISTICA DE LAS AREAS MISIONALES, PARA FORTALECER LOS CANALES DE COMUNICACIÓN INTERNOS Y EXTERNOS DE LA ENTIDAD, CONFORME A LA ESTRATEGIA DE COMUNICACIONES DE LA CAJA DE LA VIVIENDA POPULAR.</v>
          </cell>
          <cell r="R387">
            <v>13850925</v>
          </cell>
          <cell r="S387">
            <v>0</v>
          </cell>
          <cell r="T387">
            <v>0</v>
          </cell>
          <cell r="U387">
            <v>13850925</v>
          </cell>
          <cell r="V387">
            <v>8100692</v>
          </cell>
        </row>
        <row r="388">
          <cell r="J388">
            <v>188</v>
          </cell>
          <cell r="K388">
            <v>43118</v>
          </cell>
          <cell r="L388" t="str">
            <v>SARA MARIA ROJAS GONZALEZ</v>
          </cell>
          <cell r="M388">
            <v>145</v>
          </cell>
          <cell r="N388" t="str">
            <v>CONTRATO DE PRESTACION DE SERVICIOS PROFESIONALES</v>
          </cell>
          <cell r="O388">
            <v>141</v>
          </cell>
          <cell r="P388">
            <v>43118</v>
          </cell>
          <cell r="Q388" t="str">
            <v>Prestación de servicios profesionales a la Dirección de Urbanizaciones y Titulación en el apoyo a la coordinación del componente social de los procesos de titulación a cargo de la Dirección .</v>
          </cell>
          <cell r="R388">
            <v>52118000</v>
          </cell>
          <cell r="S388">
            <v>0</v>
          </cell>
          <cell r="T388">
            <v>0</v>
          </cell>
          <cell r="U388">
            <v>52118000</v>
          </cell>
          <cell r="V388">
            <v>29155867</v>
          </cell>
        </row>
        <row r="389">
          <cell r="J389">
            <v>195</v>
          </cell>
          <cell r="K389">
            <v>43118</v>
          </cell>
          <cell r="L389" t="str">
            <v>WILLIAN ALFONSO PINZON FIGUEROA</v>
          </cell>
          <cell r="M389">
            <v>148</v>
          </cell>
          <cell r="N389" t="str">
            <v>CONTRATO DE PRESTACION DE SERVICIOS DE APOYO A LA GESTION</v>
          </cell>
          <cell r="O389">
            <v>183</v>
          </cell>
          <cell r="P389">
            <v>43118</v>
          </cell>
          <cell r="Q389" t="str">
            <v>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v>
          </cell>
          <cell r="R389">
            <v>28428000</v>
          </cell>
          <cell r="S389">
            <v>0</v>
          </cell>
          <cell r="T389">
            <v>0</v>
          </cell>
          <cell r="U389">
            <v>28428000</v>
          </cell>
          <cell r="V389">
            <v>15820800</v>
          </cell>
        </row>
        <row r="390">
          <cell r="J390">
            <v>204</v>
          </cell>
          <cell r="K390">
            <v>43118</v>
          </cell>
          <cell r="L390" t="str">
            <v>ELISA AYDEE RAMOS ALDANA</v>
          </cell>
          <cell r="M390">
            <v>148</v>
          </cell>
          <cell r="N390" t="str">
            <v>CONTRATO DE PRESTACION DE SERVICIOS DE APOYO A LA GESTION</v>
          </cell>
          <cell r="O390">
            <v>178</v>
          </cell>
          <cell r="P390">
            <v>43118</v>
          </cell>
          <cell r="Q390" t="str">
            <v>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v>
          </cell>
          <cell r="R390">
            <v>28428000</v>
          </cell>
          <cell r="S390">
            <v>0</v>
          </cell>
          <cell r="T390">
            <v>0</v>
          </cell>
          <cell r="U390">
            <v>28428000</v>
          </cell>
          <cell r="V390">
            <v>15820800</v>
          </cell>
        </row>
        <row r="391">
          <cell r="J391">
            <v>206</v>
          </cell>
          <cell r="K391">
            <v>43118</v>
          </cell>
          <cell r="L391" t="str">
            <v>ADRIANA PAOLA GARCIA MONTAÑO</v>
          </cell>
          <cell r="M391">
            <v>145</v>
          </cell>
          <cell r="N391" t="str">
            <v>CONTRATO DE PRESTACION DE SERVICIOS PROFESIONALES</v>
          </cell>
          <cell r="O391">
            <v>173</v>
          </cell>
          <cell r="P391">
            <v>43118</v>
          </cell>
          <cell r="Q391" t="str">
            <v>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v>
          </cell>
          <cell r="R391">
            <v>52118000</v>
          </cell>
          <cell r="S391">
            <v>0</v>
          </cell>
          <cell r="T391">
            <v>0</v>
          </cell>
          <cell r="U391">
            <v>52118000</v>
          </cell>
          <cell r="V391">
            <v>29004800</v>
          </cell>
        </row>
        <row r="392">
          <cell r="J392">
            <v>207</v>
          </cell>
          <cell r="K392">
            <v>43118</v>
          </cell>
          <cell r="L392" t="str">
            <v>LISETTE  PINEDA GONZALEZ</v>
          </cell>
          <cell r="M392">
            <v>145</v>
          </cell>
          <cell r="N392" t="str">
            <v>CONTRATO DE PRESTACION DE SERVICIOS PROFESIONALES</v>
          </cell>
          <cell r="O392">
            <v>172</v>
          </cell>
          <cell r="P392">
            <v>43118</v>
          </cell>
          <cell r="Q392" t="str">
            <v>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v>
          </cell>
          <cell r="R392">
            <v>94760000</v>
          </cell>
          <cell r="S392">
            <v>0</v>
          </cell>
          <cell r="T392">
            <v>0</v>
          </cell>
          <cell r="U392">
            <v>94760000</v>
          </cell>
          <cell r="V392">
            <v>52736000</v>
          </cell>
        </row>
        <row r="393">
          <cell r="J393">
            <v>213</v>
          </cell>
          <cell r="K393">
            <v>43118</v>
          </cell>
          <cell r="L393" t="str">
            <v>MARTHA ELIZABETH CUMPLIDO VILLADIEGO</v>
          </cell>
          <cell r="M393">
            <v>145</v>
          </cell>
          <cell r="N393" t="str">
            <v>CONTRATO DE PRESTACION DE SERVICIOS PROFESIONALES</v>
          </cell>
          <cell r="O393">
            <v>177</v>
          </cell>
          <cell r="P393">
            <v>43118</v>
          </cell>
          <cell r="Q393" t="str">
            <v>Prestar servicios profesionales a la Dirección de Urbanizaciones y Titulación en la programación, organización y realización de planes de trabajo dirigidos a brindar acompañamiento social a las comunidades beneficiarias de los programas a cargo de la Dirección.</v>
          </cell>
          <cell r="R393">
            <v>47380000</v>
          </cell>
          <cell r="S393">
            <v>0</v>
          </cell>
          <cell r="T393">
            <v>0</v>
          </cell>
          <cell r="U393">
            <v>47380000</v>
          </cell>
          <cell r="V393">
            <v>26368000</v>
          </cell>
        </row>
        <row r="394">
          <cell r="J394">
            <v>215</v>
          </cell>
          <cell r="K394">
            <v>43118</v>
          </cell>
          <cell r="L394" t="str">
            <v>DIEGO ANDRES BAREÑO CAMPOS</v>
          </cell>
          <cell r="M394">
            <v>145</v>
          </cell>
          <cell r="N394" t="str">
            <v>CONTRATO DE PRESTACION DE SERVICIOS PROFESIONALES</v>
          </cell>
          <cell r="O394">
            <v>176</v>
          </cell>
          <cell r="P394">
            <v>43118</v>
          </cell>
          <cell r="Q394" t="str">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v>
          </cell>
          <cell r="R394">
            <v>65147500</v>
          </cell>
          <cell r="S394">
            <v>0</v>
          </cell>
          <cell r="T394">
            <v>0</v>
          </cell>
          <cell r="U394">
            <v>65147500</v>
          </cell>
          <cell r="V394">
            <v>36256000</v>
          </cell>
        </row>
        <row r="395">
          <cell r="J395">
            <v>216</v>
          </cell>
          <cell r="K395">
            <v>43118</v>
          </cell>
          <cell r="L395" t="str">
            <v>DIEGO MAURICIO GALLEGO AMAYA</v>
          </cell>
          <cell r="M395">
            <v>145</v>
          </cell>
          <cell r="N395" t="str">
            <v>CONTRATO DE PRESTACION DE SERVICIOS PROFESIONALES</v>
          </cell>
          <cell r="O395">
            <v>175</v>
          </cell>
          <cell r="P395">
            <v>43118</v>
          </cell>
          <cell r="Q395" t="str">
            <v>Prestación de servicios profesionales a la Dirección de Urbanizaciones y Titulacion de apoyo juridico para adelantar los procesos de saneamiento predial de conformidad con la normatividad vigente en los diferentes mecanismos de titulación.</v>
          </cell>
          <cell r="R395">
            <v>47380000</v>
          </cell>
          <cell r="S395">
            <v>0</v>
          </cell>
          <cell r="T395">
            <v>0</v>
          </cell>
          <cell r="U395">
            <v>47380000</v>
          </cell>
          <cell r="V395">
            <v>26368000</v>
          </cell>
        </row>
        <row r="396">
          <cell r="J396">
            <v>217</v>
          </cell>
          <cell r="K396">
            <v>43118</v>
          </cell>
          <cell r="L396" t="str">
            <v>YEIMI  CASTAÑEDA BERMUDEZ</v>
          </cell>
          <cell r="M396">
            <v>148</v>
          </cell>
          <cell r="N396" t="str">
            <v>CONTRATO DE PRESTACION DE SERVICIOS DE APOYO A LA GESTION</v>
          </cell>
          <cell r="O396">
            <v>174</v>
          </cell>
          <cell r="P396">
            <v>43118</v>
          </cell>
          <cell r="Q396" t="str">
            <v>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v>
          </cell>
          <cell r="R396">
            <v>28428000</v>
          </cell>
          <cell r="S396">
            <v>0</v>
          </cell>
          <cell r="T396">
            <v>0</v>
          </cell>
          <cell r="U396">
            <v>28428000</v>
          </cell>
          <cell r="V396">
            <v>15820800</v>
          </cell>
        </row>
        <row r="397">
          <cell r="J397">
            <v>218</v>
          </cell>
          <cell r="K397">
            <v>43118</v>
          </cell>
          <cell r="L397" t="str">
            <v>FABIO ANDRES FORERO MARTIN</v>
          </cell>
          <cell r="M397">
            <v>148</v>
          </cell>
          <cell r="N397" t="str">
            <v>CONTRATO DE PRESTACION DE SERVICIOS DE APOYO A LA GESTION</v>
          </cell>
          <cell r="O397">
            <v>186</v>
          </cell>
          <cell r="P397">
            <v>43118</v>
          </cell>
          <cell r="Q397" t="str">
            <v>Prestar servicios de apoyo a la gestión  a la Dirección de Urbanizaciones y Titulación,  para la ejecución de las actividades necesarias para lograr el saneamiento predial de los inmuebles  identificados por la Caja de la Vivienda Popular.</v>
          </cell>
          <cell r="R397">
            <v>17767500</v>
          </cell>
          <cell r="S397">
            <v>0</v>
          </cell>
          <cell r="T397">
            <v>0</v>
          </cell>
          <cell r="U397">
            <v>17767500</v>
          </cell>
          <cell r="V397">
            <v>9888000</v>
          </cell>
        </row>
        <row r="398">
          <cell r="J398">
            <v>229</v>
          </cell>
          <cell r="K398">
            <v>43118</v>
          </cell>
          <cell r="L398" t="str">
            <v>LINDA MONICA PEDRAZA CAMACHO</v>
          </cell>
          <cell r="M398">
            <v>145</v>
          </cell>
          <cell r="N398" t="str">
            <v>CONTRATO DE PRESTACION DE SERVICIOS PROFESIONALES</v>
          </cell>
          <cell r="O398">
            <v>201</v>
          </cell>
          <cell r="P398">
            <v>43118</v>
          </cell>
          <cell r="Q398" t="str">
            <v>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v>
          </cell>
          <cell r="R398">
            <v>60409500</v>
          </cell>
          <cell r="S398">
            <v>0</v>
          </cell>
          <cell r="T398">
            <v>0</v>
          </cell>
          <cell r="U398">
            <v>60409500</v>
          </cell>
          <cell r="V398">
            <v>33619200</v>
          </cell>
        </row>
        <row r="399">
          <cell r="J399">
            <v>231</v>
          </cell>
          <cell r="K399">
            <v>43118</v>
          </cell>
          <cell r="L399" t="str">
            <v>OSCAR JAIRO FLETCHER PRIETO</v>
          </cell>
          <cell r="M399">
            <v>145</v>
          </cell>
          <cell r="N399" t="str">
            <v>CONTRATO DE PRESTACION DE SERVICIOS PROFESIONALES</v>
          </cell>
          <cell r="O399">
            <v>199</v>
          </cell>
          <cell r="P399">
            <v>43118</v>
          </cell>
          <cell r="Q399" t="str">
            <v>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v>
          </cell>
          <cell r="R399">
            <v>60409500</v>
          </cell>
          <cell r="S399">
            <v>0</v>
          </cell>
          <cell r="T399">
            <v>0</v>
          </cell>
          <cell r="U399">
            <v>60409500</v>
          </cell>
          <cell r="V399">
            <v>33619200</v>
          </cell>
        </row>
        <row r="400">
          <cell r="J400">
            <v>232</v>
          </cell>
          <cell r="K400">
            <v>43119</v>
          </cell>
          <cell r="L400" t="str">
            <v>ANGIE STEFANIA CASTRO SANTIESTEBAN</v>
          </cell>
          <cell r="M400">
            <v>145</v>
          </cell>
          <cell r="N400" t="str">
            <v>CONTRATO DE PRESTACION DE SERVICIOS PROFESIONALES</v>
          </cell>
          <cell r="O400">
            <v>212</v>
          </cell>
          <cell r="P400">
            <v>43119</v>
          </cell>
          <cell r="Q400" t="str">
            <v>Prestar servicios profesionales a la Dirección de Urbanizaciones y Titulación para el acompañamiento social a las  familias objeto de atención en los procesos de la Dirección</v>
          </cell>
          <cell r="R400">
            <v>39088500</v>
          </cell>
          <cell r="S400">
            <v>0</v>
          </cell>
          <cell r="T400">
            <v>0</v>
          </cell>
          <cell r="U400">
            <v>39088500</v>
          </cell>
          <cell r="V400">
            <v>21753600</v>
          </cell>
        </row>
        <row r="401">
          <cell r="J401">
            <v>234</v>
          </cell>
          <cell r="K401">
            <v>43119</v>
          </cell>
          <cell r="L401" t="str">
            <v>JOSE DUVAN NUÑEZ MUÑOZ</v>
          </cell>
          <cell r="M401">
            <v>145</v>
          </cell>
          <cell r="N401" t="str">
            <v>CONTRATO DE PRESTACION DE SERVICIOS PROFESIONALES</v>
          </cell>
          <cell r="O401">
            <v>210</v>
          </cell>
          <cell r="P401">
            <v>43119</v>
          </cell>
          <cell r="Q401" t="str">
            <v>Prestación de servicios profesionales a la Dirección de Urbanizaciones y Titulación de apoyo jurídico en los procesos de titulación predial  conforme a los diferentes mecanismos previstos por la ley.</v>
          </cell>
          <cell r="R401">
            <v>40865250</v>
          </cell>
          <cell r="S401">
            <v>0</v>
          </cell>
          <cell r="T401">
            <v>0</v>
          </cell>
          <cell r="U401">
            <v>40865250</v>
          </cell>
          <cell r="V401">
            <v>22742400</v>
          </cell>
        </row>
        <row r="402">
          <cell r="J402">
            <v>235</v>
          </cell>
          <cell r="K402">
            <v>43119</v>
          </cell>
          <cell r="L402" t="str">
            <v>MARIA EDELMIRA RINCON LEON</v>
          </cell>
          <cell r="M402">
            <v>145</v>
          </cell>
          <cell r="N402" t="str">
            <v>CONTRATO DE PRESTACION DE SERVICIOS PROFESIONALES</v>
          </cell>
          <cell r="O402">
            <v>209</v>
          </cell>
          <cell r="P402">
            <v>43119</v>
          </cell>
          <cell r="Q402" t="str">
            <v>Prestación de servicios profesionales a la Dirección de Urbanizaciones y Titulación en el desarrollo de actividades administrativas y financieras relacionadas con los proyectos vivienda VIP.</v>
          </cell>
          <cell r="R402">
            <v>65147500</v>
          </cell>
          <cell r="S402">
            <v>0</v>
          </cell>
          <cell r="T402">
            <v>0</v>
          </cell>
          <cell r="U402">
            <v>65147500</v>
          </cell>
          <cell r="V402">
            <v>36256000</v>
          </cell>
        </row>
        <row r="403">
          <cell r="J403">
            <v>236</v>
          </cell>
          <cell r="K403">
            <v>43119</v>
          </cell>
          <cell r="L403" t="str">
            <v>FREDY OMAR ALVAREZ ARRIETA</v>
          </cell>
          <cell r="M403">
            <v>145</v>
          </cell>
          <cell r="N403" t="str">
            <v>CONTRATO DE PRESTACION DE SERVICIOS PROFESIONALES</v>
          </cell>
          <cell r="O403">
            <v>208</v>
          </cell>
          <cell r="P403">
            <v>43119</v>
          </cell>
          <cell r="Q403" t="str">
            <v>Prestación de servicios profesionales a la Dirección de Urbanizaciones y Titulación en la elaboración de avalúos y verificación de linderos de predios  que requiera la Dirección,  así como en el apoyo en los procesos de cartografía que se adelanten.</v>
          </cell>
          <cell r="R403">
            <v>65147500</v>
          </cell>
          <cell r="S403">
            <v>0</v>
          </cell>
          <cell r="T403">
            <v>0</v>
          </cell>
          <cell r="U403">
            <v>65147500</v>
          </cell>
          <cell r="V403">
            <v>36256000</v>
          </cell>
        </row>
        <row r="404">
          <cell r="J404">
            <v>241</v>
          </cell>
          <cell r="K404">
            <v>43119</v>
          </cell>
          <cell r="L404" t="str">
            <v>HECTOR ALEXANDER AGUILERA</v>
          </cell>
          <cell r="M404">
            <v>148</v>
          </cell>
          <cell r="N404" t="str">
            <v>CONTRATO DE PRESTACION DE SERVICIOS DE APOYO A LA GESTION</v>
          </cell>
          <cell r="O404">
            <v>220</v>
          </cell>
          <cell r="P404">
            <v>43119</v>
          </cell>
          <cell r="Q404" t="str">
            <v>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v>
          </cell>
          <cell r="R404">
            <v>17767500</v>
          </cell>
          <cell r="S404">
            <v>0</v>
          </cell>
          <cell r="T404">
            <v>0</v>
          </cell>
          <cell r="U404">
            <v>17767500</v>
          </cell>
          <cell r="V404">
            <v>9888000</v>
          </cell>
        </row>
        <row r="405">
          <cell r="J405">
            <v>244</v>
          </cell>
          <cell r="K405">
            <v>43119</v>
          </cell>
          <cell r="L405" t="str">
            <v>ANA MONICA MARIA VARGAS SUAREZ</v>
          </cell>
          <cell r="M405">
            <v>145</v>
          </cell>
          <cell r="N405" t="str">
            <v>CONTRATO DE PRESTACION DE SERVICIOS PROFESIONALES</v>
          </cell>
          <cell r="O405">
            <v>217</v>
          </cell>
          <cell r="P405">
            <v>43119</v>
          </cell>
          <cell r="Q405" t="str">
            <v>Prestación de servicios profesionales a la Dirección de Urbanizaciones y Titulación para apoyar la articulación y coordinación de las estrategias que se  adelanten en materia de  saneamiento predial por parte de la Caja de la Vivienda Popular.</v>
          </cell>
          <cell r="R405">
            <v>177330000</v>
          </cell>
          <cell r="S405">
            <v>0</v>
          </cell>
          <cell r="T405">
            <v>0</v>
          </cell>
          <cell r="U405">
            <v>177330000</v>
          </cell>
          <cell r="V405">
            <v>98688000</v>
          </cell>
        </row>
        <row r="406">
          <cell r="J406">
            <v>246</v>
          </cell>
          <cell r="K406">
            <v>43119</v>
          </cell>
          <cell r="L406" t="str">
            <v>BLANCA LILIA TIBOCHA OCHOA</v>
          </cell>
          <cell r="M406">
            <v>145</v>
          </cell>
          <cell r="N406" t="str">
            <v>CONTRATO DE PRESTACION DE SERVICIOS PROFESIONALES</v>
          </cell>
          <cell r="O406">
            <v>215</v>
          </cell>
          <cell r="P406">
            <v>43119</v>
          </cell>
          <cell r="Q406" t="str">
            <v>Prestar servicios profesionales a la Dirección de Urbanizaciones y Titulación en la seguimiento, formulacion e implementacion de planeas de mejoramiento que se surtan en virtud de las auditorias de los organismos de control.</v>
          </cell>
          <cell r="R406">
            <v>82915000</v>
          </cell>
          <cell r="S406">
            <v>0</v>
          </cell>
          <cell r="T406">
            <v>0</v>
          </cell>
          <cell r="U406">
            <v>82915000</v>
          </cell>
          <cell r="V406">
            <v>46144000</v>
          </cell>
        </row>
        <row r="407">
          <cell r="J407">
            <v>250</v>
          </cell>
          <cell r="K407">
            <v>43119</v>
          </cell>
          <cell r="L407" t="str">
            <v>FREDDY HUMBERTO PARADA CUBILLOS</v>
          </cell>
          <cell r="M407">
            <v>145</v>
          </cell>
          <cell r="N407" t="str">
            <v>CONTRATO DE PRESTACION DE SERVICIOS PROFESIONALES</v>
          </cell>
          <cell r="O407">
            <v>205</v>
          </cell>
          <cell r="P407">
            <v>43119</v>
          </cell>
          <cell r="Q407" t="str">
            <v>PRESTACIÓN DE SERVICIOS PROFESIONALES A LA DIRECCIÓN DE URBANIZACIONES Y TITULACIÓN EN LA ELABORACIÓN DE AVALÚOS Y VERIFICACIÓN DE LINDEROS DE PREDIOS  QUE REQUIERA LA DIRECCIÓN,  ASÍ COMO EN EL APOYO EN LOS PROCESOS DE CARTOGRAFÍA QUE SE ADELANTEN.</v>
          </cell>
          <cell r="R407">
            <v>65147500</v>
          </cell>
          <cell r="S407">
            <v>0</v>
          </cell>
          <cell r="T407">
            <v>0</v>
          </cell>
          <cell r="U407">
            <v>65147500</v>
          </cell>
          <cell r="V407">
            <v>36256000</v>
          </cell>
        </row>
        <row r="408">
          <cell r="J408">
            <v>252</v>
          </cell>
          <cell r="K408">
            <v>43119</v>
          </cell>
          <cell r="L408" t="str">
            <v>ANGELA MARIA PINZON SANTOS</v>
          </cell>
          <cell r="M408">
            <v>145</v>
          </cell>
          <cell r="N408" t="str">
            <v>CONTRATO DE PRESTACION DE SERVICIOS PROFESIONALES</v>
          </cell>
          <cell r="O408">
            <v>203</v>
          </cell>
          <cell r="P408">
            <v>43119</v>
          </cell>
          <cell r="Q408" t="str">
            <v>PRESTAR SERVICIOS PROFESIONALES A LA SUBDIRECCIÓN FINANCIERA DE LA CAJA DE VIVIENDA POPULAR, COMO ENLACE DE LA DIRECCIÓN DE URBANIZACIONES Y TITULACIÓN, EN LO RELACIONADO CON EL APOYO JURÍDICO REQUERIDO PARA LOS PROCESOS DE DEPURACIÓN DE CARTERA Y CONTABLE DE LA ENTIDAD.</v>
          </cell>
          <cell r="R408">
            <v>71070000</v>
          </cell>
          <cell r="S408">
            <v>0</v>
          </cell>
          <cell r="T408">
            <v>0</v>
          </cell>
          <cell r="U408">
            <v>71070000</v>
          </cell>
          <cell r="V408">
            <v>39552000</v>
          </cell>
        </row>
        <row r="409">
          <cell r="J409">
            <v>253</v>
          </cell>
          <cell r="K409">
            <v>43119</v>
          </cell>
          <cell r="L409" t="str">
            <v>JEINNY IVONNE GALEANO NIÑO</v>
          </cell>
          <cell r="M409">
            <v>145</v>
          </cell>
          <cell r="N409" t="str">
            <v>CONTRATO DE PRESTACION DE SERVICIOS PROFESIONALES</v>
          </cell>
          <cell r="O409">
            <v>202</v>
          </cell>
          <cell r="P409">
            <v>43119</v>
          </cell>
          <cell r="Q409" t="str">
            <v>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v>
          </cell>
          <cell r="R409">
            <v>60409500</v>
          </cell>
          <cell r="S409">
            <v>0</v>
          </cell>
          <cell r="T409">
            <v>0</v>
          </cell>
          <cell r="U409">
            <v>60409500</v>
          </cell>
          <cell r="V409">
            <v>33619200</v>
          </cell>
        </row>
        <row r="410">
          <cell r="J410">
            <v>255</v>
          </cell>
          <cell r="K410">
            <v>43119</v>
          </cell>
          <cell r="L410" t="str">
            <v>PAOLA ANDREA MAYORGA GOMEZ</v>
          </cell>
          <cell r="M410">
            <v>145</v>
          </cell>
          <cell r="N410" t="str">
            <v>CONTRATO DE PRESTACION DE SERVICIOS PROFESIONALES</v>
          </cell>
          <cell r="O410">
            <v>231</v>
          </cell>
          <cell r="P410">
            <v>43119</v>
          </cell>
          <cell r="Q410" t="str">
            <v>Prestación de servicios profesionales a la Dirección de Urbanizaciones y Titulación de apoyo jurídico en los procesos de titulación predial  conforme a los diferentes mecanismos previstos por la ley.</v>
          </cell>
          <cell r="R410">
            <v>40865250</v>
          </cell>
          <cell r="S410">
            <v>0</v>
          </cell>
          <cell r="T410">
            <v>0</v>
          </cell>
          <cell r="U410">
            <v>40865250</v>
          </cell>
          <cell r="V410">
            <v>22387050</v>
          </cell>
        </row>
        <row r="411">
          <cell r="J411">
            <v>258</v>
          </cell>
          <cell r="K411">
            <v>43119</v>
          </cell>
          <cell r="L411" t="str">
            <v>IVONNE MARITZA GOMEZ CARDONA</v>
          </cell>
          <cell r="M411">
            <v>145</v>
          </cell>
          <cell r="N411" t="str">
            <v>CONTRATO DE PRESTACION DE SERVICIOS PROFESIONALES</v>
          </cell>
          <cell r="O411">
            <v>232</v>
          </cell>
          <cell r="P411">
            <v>43119</v>
          </cell>
          <cell r="Q411" t="str">
            <v>Prestación de servicios profesionales a la Dirección de Urbanizaciones y Titulación en la articulación, formulación, ejecución y seguimiento de las estrategias y actividades necesarias para el cumplimiento de las metas establecidas en la titulación de predios.</v>
          </cell>
          <cell r="R411">
            <v>94760000</v>
          </cell>
          <cell r="S411">
            <v>0</v>
          </cell>
          <cell r="T411">
            <v>0</v>
          </cell>
          <cell r="U411">
            <v>94760000</v>
          </cell>
          <cell r="V411">
            <v>51912000</v>
          </cell>
        </row>
        <row r="412">
          <cell r="J412">
            <v>264</v>
          </cell>
          <cell r="K412">
            <v>43119</v>
          </cell>
          <cell r="L412" t="str">
            <v>JORGE ENRIQUE GUARIN CASTILLO</v>
          </cell>
          <cell r="M412">
            <v>145</v>
          </cell>
          <cell r="N412" t="str">
            <v>CONTRATO DE PRESTACION DE SERVICIOS PROFESIONALES</v>
          </cell>
          <cell r="O412">
            <v>230</v>
          </cell>
          <cell r="P412">
            <v>43119</v>
          </cell>
          <cell r="Q412" t="str">
            <v>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v>
          </cell>
          <cell r="R412">
            <v>82915000</v>
          </cell>
          <cell r="S412">
            <v>0</v>
          </cell>
          <cell r="T412">
            <v>0</v>
          </cell>
          <cell r="U412">
            <v>82915000</v>
          </cell>
          <cell r="V412">
            <v>45423000</v>
          </cell>
        </row>
        <row r="413">
          <cell r="J413">
            <v>272</v>
          </cell>
          <cell r="K413">
            <v>43122</v>
          </cell>
          <cell r="L413" t="str">
            <v>MARIANA  OVIEDO HERRERA</v>
          </cell>
          <cell r="M413">
            <v>145</v>
          </cell>
          <cell r="N413" t="str">
            <v>CONTRATO DE PRESTACION DE SERVICIOS PROFESIONALES</v>
          </cell>
          <cell r="O413">
            <v>242</v>
          </cell>
          <cell r="P413">
            <v>43122</v>
          </cell>
          <cell r="Q413" t="str">
            <v>Prestar servicios profesionales a la Dirección de Urbanizaciones y Titulación en la programación, organización y realización de planes de trabajo dirigidos a brindar acompañamiento social a las comunidades beneficiarias de los programas a cargo de la Dirección.</v>
          </cell>
          <cell r="R413">
            <v>47380000</v>
          </cell>
          <cell r="S413">
            <v>0</v>
          </cell>
          <cell r="T413">
            <v>0</v>
          </cell>
          <cell r="U413">
            <v>47380000</v>
          </cell>
          <cell r="V413">
            <v>25956000</v>
          </cell>
        </row>
        <row r="414">
          <cell r="J414">
            <v>273</v>
          </cell>
          <cell r="K414">
            <v>43122</v>
          </cell>
          <cell r="L414" t="str">
            <v>JORGE ENRIQUE VERGARA RAMIREZ</v>
          </cell>
          <cell r="M414">
            <v>145</v>
          </cell>
          <cell r="N414" t="str">
            <v>CONTRATO DE PRESTACION DE SERVICIOS PROFESIONALES</v>
          </cell>
          <cell r="O414">
            <v>243</v>
          </cell>
          <cell r="P414">
            <v>43122</v>
          </cell>
          <cell r="Q414" t="str">
            <v>Prestación de servicios profesionales a la Dirección de Urbanizaciones y Titulación para el sostenimiento y mejora continua del proceso a cargo de la Dirección, así como en la implementación de los Planes de Mejora a cargo del área.</v>
          </cell>
          <cell r="R414">
            <v>57922050</v>
          </cell>
          <cell r="S414">
            <v>0</v>
          </cell>
          <cell r="T414">
            <v>0</v>
          </cell>
          <cell r="U414">
            <v>57922050</v>
          </cell>
          <cell r="V414">
            <v>31731210</v>
          </cell>
        </row>
        <row r="415">
          <cell r="J415">
            <v>275</v>
          </cell>
          <cell r="K415">
            <v>43122</v>
          </cell>
          <cell r="L415" t="str">
            <v>NELLY YAMILE GOMEZ REYES</v>
          </cell>
          <cell r="M415">
            <v>148</v>
          </cell>
          <cell r="N415" t="str">
            <v>CONTRATO DE PRESTACION DE SERVICIOS DE APOYO A LA GESTION</v>
          </cell>
          <cell r="O415">
            <v>245</v>
          </cell>
          <cell r="P415">
            <v>43122</v>
          </cell>
          <cell r="Q415" t="str">
            <v>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v>
          </cell>
          <cell r="R415">
            <v>38259350</v>
          </cell>
          <cell r="S415">
            <v>0</v>
          </cell>
          <cell r="T415">
            <v>0</v>
          </cell>
          <cell r="U415">
            <v>38259350</v>
          </cell>
          <cell r="V415">
            <v>20959470</v>
          </cell>
        </row>
        <row r="416">
          <cell r="J416">
            <v>276</v>
          </cell>
          <cell r="K416">
            <v>43122</v>
          </cell>
          <cell r="L416" t="str">
            <v>ELSA MARIELA MEDINA HIGUERA</v>
          </cell>
          <cell r="M416">
            <v>145</v>
          </cell>
          <cell r="N416" t="str">
            <v>CONTRATO DE PRESTACION DE SERVICIOS PROFESIONALES</v>
          </cell>
          <cell r="O416">
            <v>246</v>
          </cell>
          <cell r="P416">
            <v>43122</v>
          </cell>
          <cell r="Q416" t="str">
            <v>Prestar servicios profesionales a la Dirección de Urbanizaciones y Titulación en la programación, organización y realización de planes de trabajo dirigidos a brindar acompañamiento social a las comunidades beneficiarias de los programas a cargo de la Dirección.</v>
          </cell>
          <cell r="R416">
            <v>47380000</v>
          </cell>
          <cell r="S416">
            <v>0</v>
          </cell>
          <cell r="T416">
            <v>0</v>
          </cell>
          <cell r="U416">
            <v>47380000</v>
          </cell>
          <cell r="V416">
            <v>25956000</v>
          </cell>
        </row>
        <row r="417">
          <cell r="J417">
            <v>280</v>
          </cell>
          <cell r="K417">
            <v>43122</v>
          </cell>
          <cell r="L417" t="str">
            <v>NESTOR ROBERTO CUERVO GARCIA</v>
          </cell>
          <cell r="M417">
            <v>148</v>
          </cell>
          <cell r="N417" t="str">
            <v>CONTRATO DE PRESTACION DE SERVICIOS DE APOYO A LA GESTION</v>
          </cell>
          <cell r="O417">
            <v>250</v>
          </cell>
          <cell r="P417">
            <v>43122</v>
          </cell>
          <cell r="Q417" t="str">
            <v>Prestación de  servicios técnicos a la Dirección de Urbanizaciones y Titulación en la implementación de una herramienta que  consolide   la información de los predios de la Caja de la Vivienda Popular en el marco de los procesos misionales de la Dirección.</v>
          </cell>
          <cell r="R417">
            <v>38259350</v>
          </cell>
          <cell r="S417">
            <v>0</v>
          </cell>
          <cell r="T417">
            <v>0</v>
          </cell>
          <cell r="U417">
            <v>38259350</v>
          </cell>
          <cell r="V417">
            <v>20959470</v>
          </cell>
        </row>
        <row r="418">
          <cell r="J418">
            <v>291</v>
          </cell>
          <cell r="K418">
            <v>43122</v>
          </cell>
          <cell r="L418" t="str">
            <v>JHON CARLOS RINCON AGREDO</v>
          </cell>
          <cell r="M418">
            <v>145</v>
          </cell>
          <cell r="N418" t="str">
            <v>CONTRATO DE PRESTACION DE SERVICIOS PROFESIONALES</v>
          </cell>
          <cell r="O418">
            <v>261</v>
          </cell>
          <cell r="P418">
            <v>43122</v>
          </cell>
          <cell r="Q418" t="str">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v>
          </cell>
          <cell r="R418">
            <v>9772125</v>
          </cell>
          <cell r="S418">
            <v>0</v>
          </cell>
          <cell r="T418">
            <v>0</v>
          </cell>
          <cell r="U418">
            <v>9772125</v>
          </cell>
          <cell r="V418">
            <v>5596787</v>
          </cell>
        </row>
        <row r="419">
          <cell r="J419">
            <v>296</v>
          </cell>
          <cell r="K419">
            <v>43122</v>
          </cell>
          <cell r="L419" t="str">
            <v>EDGAR RICARDO BOLAÑOS GIL</v>
          </cell>
          <cell r="M419">
            <v>148</v>
          </cell>
          <cell r="N419" t="str">
            <v>CONTRATO DE PRESTACION DE SERVICIOS DE APOYO A LA GESTION</v>
          </cell>
          <cell r="O419">
            <v>264</v>
          </cell>
          <cell r="P419">
            <v>43122</v>
          </cell>
          <cell r="Q419" t="str">
            <v>Prestar servicios de apoyo a la gestión a la Dirección de Urbanizaciones y Titulación para ejecutar las actividades necesarias en el manejo archivístico de los documentos generados por la Dirección.</v>
          </cell>
          <cell r="R419">
            <v>17767500</v>
          </cell>
          <cell r="S419">
            <v>0</v>
          </cell>
          <cell r="T419">
            <v>0</v>
          </cell>
          <cell r="U419">
            <v>17767500</v>
          </cell>
          <cell r="V419">
            <v>9733500</v>
          </cell>
        </row>
        <row r="420">
          <cell r="J420">
            <v>297</v>
          </cell>
          <cell r="K420">
            <v>43122</v>
          </cell>
          <cell r="L420" t="str">
            <v>JAIME OMAR CAMELO ARDILA</v>
          </cell>
          <cell r="M420">
            <v>145</v>
          </cell>
          <cell r="N420" t="str">
            <v>CONTRATO DE PRESTACION DE SERVICIOS PROFESIONALES</v>
          </cell>
          <cell r="O420">
            <v>270</v>
          </cell>
          <cell r="P420">
            <v>43122</v>
          </cell>
          <cell r="Q420" t="str">
            <v>Prestación de servicios profesionales a la Dirección de Urbanizaciones y Titulación  en el seguimiento técnico y administrativo a la ejecución de los proyectos de vivienda adelantados por la entidad.</v>
          </cell>
          <cell r="R420">
            <v>82915000</v>
          </cell>
          <cell r="S420">
            <v>0</v>
          </cell>
          <cell r="T420">
            <v>0</v>
          </cell>
          <cell r="U420">
            <v>82915000</v>
          </cell>
          <cell r="V420">
            <v>45182667</v>
          </cell>
        </row>
        <row r="421">
          <cell r="J421">
            <v>301</v>
          </cell>
          <cell r="K421">
            <v>43122</v>
          </cell>
          <cell r="L421" t="str">
            <v>LUZ STELLA CARDENAS LAVERDE</v>
          </cell>
          <cell r="M421">
            <v>145</v>
          </cell>
          <cell r="N421" t="str">
            <v>CONTRATO DE PRESTACION DE SERVICIOS PROFESIONALES</v>
          </cell>
          <cell r="O421">
            <v>266</v>
          </cell>
          <cell r="P421">
            <v>43122</v>
          </cell>
          <cell r="Q421" t="str">
            <v>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v>
          </cell>
          <cell r="R421">
            <v>31981500</v>
          </cell>
          <cell r="S421">
            <v>0</v>
          </cell>
          <cell r="T421">
            <v>0</v>
          </cell>
          <cell r="U421">
            <v>31981500</v>
          </cell>
          <cell r="V421">
            <v>22268600</v>
          </cell>
        </row>
        <row r="422">
          <cell r="J422">
            <v>304</v>
          </cell>
          <cell r="K422">
            <v>43122</v>
          </cell>
          <cell r="L422" t="str">
            <v>JORGE ALBERTO PARAMO HERNANDEZ</v>
          </cell>
          <cell r="M422">
            <v>145</v>
          </cell>
          <cell r="N422" t="str">
            <v>CONTRATO DE PRESTACION DE SERVICIOS PROFESIONALES</v>
          </cell>
          <cell r="O422">
            <v>278</v>
          </cell>
          <cell r="P422">
            <v>43122</v>
          </cell>
          <cell r="Q422" t="str">
            <v>Prestación de servicios profesionales a la Dirección de Urbanizaciones y Titulación de apoyo jurídico para adelantar los procesos de saneamiento predial de conformidad con la normatividad vigente en los diferentes mecanismos de titulación.</v>
          </cell>
          <cell r="R422">
            <v>47380000</v>
          </cell>
          <cell r="S422">
            <v>0</v>
          </cell>
          <cell r="T422">
            <v>0</v>
          </cell>
          <cell r="U422">
            <v>47380000</v>
          </cell>
          <cell r="V422">
            <v>25818667</v>
          </cell>
        </row>
        <row r="423">
          <cell r="J423">
            <v>314</v>
          </cell>
          <cell r="K423">
            <v>43122</v>
          </cell>
          <cell r="L423" t="str">
            <v>JOHANA MARCELA RIAÑO DAZA</v>
          </cell>
          <cell r="M423">
            <v>148</v>
          </cell>
          <cell r="N423" t="str">
            <v>CONTRATO DE PRESTACION DE SERVICIOS DE APOYO A LA GESTION</v>
          </cell>
          <cell r="O423">
            <v>274</v>
          </cell>
          <cell r="P423">
            <v>43122</v>
          </cell>
          <cell r="Q423" t="str">
            <v>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v>
          </cell>
          <cell r="R423">
            <v>38259350</v>
          </cell>
          <cell r="S423">
            <v>0</v>
          </cell>
          <cell r="T423">
            <v>0</v>
          </cell>
          <cell r="U423">
            <v>38259350</v>
          </cell>
          <cell r="V423">
            <v>20848574</v>
          </cell>
        </row>
        <row r="424">
          <cell r="J424">
            <v>315</v>
          </cell>
          <cell r="K424">
            <v>43122</v>
          </cell>
          <cell r="L424" t="str">
            <v>JUAN ARMANDO MOLINA PARRA</v>
          </cell>
          <cell r="M424">
            <v>145</v>
          </cell>
          <cell r="N424" t="str">
            <v>CONTRATO DE PRESTACION DE SERVICIOS PROFESIONALES</v>
          </cell>
          <cell r="O424">
            <v>275</v>
          </cell>
          <cell r="P424">
            <v>43122</v>
          </cell>
          <cell r="Q424" t="str">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v>
          </cell>
          <cell r="R424">
            <v>65147500</v>
          </cell>
          <cell r="S424">
            <v>0</v>
          </cell>
          <cell r="T424">
            <v>0</v>
          </cell>
          <cell r="U424">
            <v>65147500</v>
          </cell>
          <cell r="V424">
            <v>35500667</v>
          </cell>
        </row>
        <row r="425">
          <cell r="J425">
            <v>317</v>
          </cell>
          <cell r="K425">
            <v>43122</v>
          </cell>
          <cell r="L425" t="str">
            <v>DIANA  GUEPENDO MOSCOSO</v>
          </cell>
          <cell r="M425">
            <v>148</v>
          </cell>
          <cell r="N425" t="str">
            <v>CONTRATO DE PRESTACION DE SERVICIOS DE APOYO A LA GESTION</v>
          </cell>
          <cell r="O425">
            <v>276</v>
          </cell>
          <cell r="P425">
            <v>43122</v>
          </cell>
          <cell r="Q425" t="str">
            <v>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v>
          </cell>
          <cell r="R425">
            <v>38259350</v>
          </cell>
          <cell r="S425">
            <v>0</v>
          </cell>
          <cell r="T425">
            <v>0</v>
          </cell>
          <cell r="U425">
            <v>38259350</v>
          </cell>
          <cell r="V425">
            <v>20848573</v>
          </cell>
        </row>
        <row r="426">
          <cell r="J426">
            <v>318</v>
          </cell>
          <cell r="K426">
            <v>43122</v>
          </cell>
          <cell r="L426" t="str">
            <v>ANA MARIA NORIEGA LORA</v>
          </cell>
          <cell r="M426">
            <v>145</v>
          </cell>
          <cell r="N426" t="str">
            <v>CONTRATO DE PRESTACION DE SERVICIOS PROFESIONALES</v>
          </cell>
          <cell r="O426">
            <v>277</v>
          </cell>
          <cell r="P426">
            <v>43122</v>
          </cell>
          <cell r="Q426" t="str">
            <v>Prestación de servicios profesionales a la Dirección de Urbanizaciones y Titulación en el apoyo jurídico para el desarrollo de procesos de identificación y saneamiento predial, así como en la gestión de predios fiscales y de cesiones al Distrito.</v>
          </cell>
          <cell r="R426">
            <v>76992500</v>
          </cell>
          <cell r="S426">
            <v>0</v>
          </cell>
          <cell r="T426">
            <v>0</v>
          </cell>
          <cell r="U426">
            <v>76992500</v>
          </cell>
          <cell r="V426">
            <v>41955333</v>
          </cell>
        </row>
        <row r="427">
          <cell r="J427">
            <v>324</v>
          </cell>
          <cell r="K427">
            <v>43123</v>
          </cell>
          <cell r="L427" t="str">
            <v>LESDY MARIA GIRALDO CASTAÑEDA</v>
          </cell>
          <cell r="M427">
            <v>148</v>
          </cell>
          <cell r="N427" t="str">
            <v>CONTRATO DE PRESTACION DE SERVICIOS DE APOYO A LA GESTION</v>
          </cell>
          <cell r="O427">
            <v>285</v>
          </cell>
          <cell r="P427">
            <v>43123</v>
          </cell>
          <cell r="Q427" t="str">
            <v xml:space="preserve">Prestación de servicios técnicos de apoyo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v>
          </cell>
          <cell r="R427">
            <v>38259350</v>
          </cell>
          <cell r="S427">
            <v>0</v>
          </cell>
          <cell r="T427">
            <v>0</v>
          </cell>
          <cell r="U427">
            <v>38259350</v>
          </cell>
          <cell r="V427">
            <v>20848573</v>
          </cell>
        </row>
        <row r="428">
          <cell r="J428">
            <v>326</v>
          </cell>
          <cell r="K428">
            <v>43123</v>
          </cell>
          <cell r="L428" t="str">
            <v>CAMILO ADOLFO PINILLOS BOHORQUEZ</v>
          </cell>
          <cell r="M428">
            <v>148</v>
          </cell>
          <cell r="N428" t="str">
            <v>CONTRATO DE PRESTACION DE SERVICIOS DE APOYO A LA GESTION</v>
          </cell>
          <cell r="O428">
            <v>287</v>
          </cell>
          <cell r="P428">
            <v>43123</v>
          </cell>
          <cell r="Q428" t="str">
            <v>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v>
          </cell>
          <cell r="R428">
            <v>20136500</v>
          </cell>
          <cell r="S428">
            <v>0</v>
          </cell>
          <cell r="T428">
            <v>0</v>
          </cell>
          <cell r="U428">
            <v>20136500</v>
          </cell>
          <cell r="V428">
            <v>10972934</v>
          </cell>
        </row>
        <row r="429">
          <cell r="J429">
            <v>343</v>
          </cell>
          <cell r="K429">
            <v>43123</v>
          </cell>
          <cell r="L429" t="str">
            <v>IVAN OSWALDO LEON LEON</v>
          </cell>
          <cell r="M429">
            <v>145</v>
          </cell>
          <cell r="N429" t="str">
            <v>CONTRATO DE PRESTACION DE SERVICIOS PROFESIONALES</v>
          </cell>
          <cell r="O429">
            <v>347</v>
          </cell>
          <cell r="P429">
            <v>43123</v>
          </cell>
          <cell r="Q429" t="str">
            <v>Prestación de servicios profesionales a la Dirección de Urbanizaciones y Titulación  en el seguimiento a la ejecución del componente eléctrico de los proyectos de vivienda adelantados por la entidad.</v>
          </cell>
          <cell r="R429">
            <v>13596000</v>
          </cell>
          <cell r="S429">
            <v>0</v>
          </cell>
          <cell r="T429">
            <v>0</v>
          </cell>
          <cell r="U429">
            <v>13596000</v>
          </cell>
          <cell r="V429">
            <v>13596000</v>
          </cell>
        </row>
        <row r="430">
          <cell r="J430">
            <v>352</v>
          </cell>
          <cell r="K430">
            <v>43123</v>
          </cell>
          <cell r="L430" t="str">
            <v>EDWIN ALBERTO ACEVEDO MORENO</v>
          </cell>
          <cell r="M430">
            <v>145</v>
          </cell>
          <cell r="N430" t="str">
            <v>CONTRATO DE PRESTACION DE SERVICIOS PROFESIONALES</v>
          </cell>
          <cell r="O430">
            <v>298</v>
          </cell>
          <cell r="P430">
            <v>43123</v>
          </cell>
          <cell r="Q430" t="str">
            <v>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v>
          </cell>
          <cell r="R430">
            <v>60409500</v>
          </cell>
          <cell r="S430">
            <v>0</v>
          </cell>
          <cell r="T430">
            <v>0</v>
          </cell>
          <cell r="U430">
            <v>60409500</v>
          </cell>
          <cell r="V430">
            <v>32568600</v>
          </cell>
        </row>
        <row r="431">
          <cell r="J431">
            <v>354</v>
          </cell>
          <cell r="K431">
            <v>43123</v>
          </cell>
          <cell r="L431" t="str">
            <v>DIEGO FERNANDO RIVERA PARRA</v>
          </cell>
          <cell r="M431">
            <v>145</v>
          </cell>
          <cell r="N431" t="str">
            <v>CONTRATO DE PRESTACION DE SERVICIOS PROFESIONALES</v>
          </cell>
          <cell r="O431">
            <v>299</v>
          </cell>
          <cell r="P431">
            <v>43123</v>
          </cell>
          <cell r="Q431" t="str">
            <v>Prestación de servicios profesionales a la Dirección de Urbanizaciones y Titulación  en el seguimiento técnico a la ejecución de los proyectos de vivienda adelantados por la entidad.</v>
          </cell>
          <cell r="R431">
            <v>52118000</v>
          </cell>
          <cell r="S431">
            <v>0</v>
          </cell>
          <cell r="T431">
            <v>0</v>
          </cell>
          <cell r="U431">
            <v>52118000</v>
          </cell>
          <cell r="V431">
            <v>28098400</v>
          </cell>
        </row>
        <row r="432">
          <cell r="J432">
            <v>357</v>
          </cell>
          <cell r="K432">
            <v>43123</v>
          </cell>
          <cell r="L432" t="str">
            <v>CATHERINE  JAIMES PINTO</v>
          </cell>
          <cell r="M432">
            <v>145</v>
          </cell>
          <cell r="N432" t="str">
            <v>CONTRATO DE PRESTACION DE SERVICIOS PROFESIONALES</v>
          </cell>
          <cell r="O432">
            <v>355</v>
          </cell>
          <cell r="P432">
            <v>43123</v>
          </cell>
          <cell r="Q432" t="str">
            <v>PRESTAR SERVICIOS PROFESIONALES A LA DIRECCIÓN DE URBANIZACIONES Y TITULACIÓN PARA EL ACOMPAÑAMIENTO SOCIAL A LAS  FAMILIAS OBJETO DE ATENCIÓN EN LOS PROCESOS DE LA DIRECCIÓN.</v>
          </cell>
          <cell r="R432">
            <v>39088500</v>
          </cell>
          <cell r="S432">
            <v>0</v>
          </cell>
          <cell r="T432">
            <v>0</v>
          </cell>
          <cell r="U432">
            <v>39088500</v>
          </cell>
          <cell r="V432">
            <v>21073800</v>
          </cell>
        </row>
        <row r="433">
          <cell r="J433">
            <v>361</v>
          </cell>
          <cell r="K433">
            <v>43123</v>
          </cell>
          <cell r="L433" t="str">
            <v>JOSE FABIO CORTES PAEZ</v>
          </cell>
          <cell r="M433">
            <v>145</v>
          </cell>
          <cell r="N433" t="str">
            <v>CONTRATO DE PRESTACION DE SERVICIOS PROFESIONALES</v>
          </cell>
          <cell r="O433">
            <v>302</v>
          </cell>
          <cell r="P433">
            <v>43123</v>
          </cell>
          <cell r="Q433" t="str">
            <v>Prestación de servicios profesionales a la Dirección de Urbanizaciones y Titulación en la elaboración de avalúos y verificación de linderos de predios  que requiera la Dirección,  así como en el apoyo en los procesos de cartografía que se adelanten.</v>
          </cell>
          <cell r="R433">
            <v>65147500</v>
          </cell>
          <cell r="S433">
            <v>0</v>
          </cell>
          <cell r="T433">
            <v>0</v>
          </cell>
          <cell r="U433">
            <v>65147500</v>
          </cell>
          <cell r="V433">
            <v>29458000</v>
          </cell>
        </row>
        <row r="434">
          <cell r="J434">
            <v>362</v>
          </cell>
          <cell r="K434">
            <v>43123</v>
          </cell>
          <cell r="L434" t="str">
            <v>ALDEITH ARVEY QUEVEDO APERADOR</v>
          </cell>
          <cell r="M434">
            <v>145</v>
          </cell>
          <cell r="N434" t="str">
            <v>CONTRATO DE PRESTACION DE SERVICIOS PROFESIONALES</v>
          </cell>
          <cell r="O434">
            <v>303</v>
          </cell>
          <cell r="P434">
            <v>43123</v>
          </cell>
          <cell r="Q434" t="str">
            <v>Prestación de servicios profesionales a la Dirección de Urbanizaciones y Titulación para realizar todas aquellas actividades relacionadas con el control financiero de los contratos de fiducia mercantil mediante los cuales se ejecuten proyectos de vivienda VIP.</v>
          </cell>
          <cell r="R434">
            <v>17767500</v>
          </cell>
          <cell r="S434">
            <v>0</v>
          </cell>
          <cell r="T434">
            <v>0</v>
          </cell>
          <cell r="U434">
            <v>17767500</v>
          </cell>
          <cell r="V434">
            <v>17767500</v>
          </cell>
        </row>
        <row r="435">
          <cell r="J435">
            <v>363</v>
          </cell>
          <cell r="K435">
            <v>43123</v>
          </cell>
          <cell r="L435" t="str">
            <v>ALDEITH ARVEY QUEVEDO APERADOR</v>
          </cell>
          <cell r="M435">
            <v>145</v>
          </cell>
          <cell r="N435" t="str">
            <v>CONTRATO DE PRESTACION DE SERVICIOS PROFESIONALES</v>
          </cell>
          <cell r="O435">
            <v>303</v>
          </cell>
          <cell r="P435">
            <v>43123</v>
          </cell>
          <cell r="Q435" t="str">
            <v>Prestación de servicios profesionales a la Dirección de Urbanizaciones y Titulación para realizar todas aquellas actividades relacionadas con el control financiero de los contratos de fiducia mercantil mediante los cuales se ejecuten proyectos de vivienda VIP.</v>
          </cell>
          <cell r="R435">
            <v>47380000</v>
          </cell>
          <cell r="S435">
            <v>0</v>
          </cell>
          <cell r="T435">
            <v>0</v>
          </cell>
          <cell r="U435">
            <v>47380000</v>
          </cell>
          <cell r="V435">
            <v>17355500</v>
          </cell>
        </row>
        <row r="436">
          <cell r="J436">
            <v>370</v>
          </cell>
          <cell r="K436">
            <v>43124</v>
          </cell>
          <cell r="L436" t="str">
            <v>FRANCISCO JOSE ARGUELLO ROJAS</v>
          </cell>
          <cell r="M436">
            <v>145</v>
          </cell>
          <cell r="N436" t="str">
            <v>CONTRATO DE PRESTACION DE SERVICIOS PROFESIONALES</v>
          </cell>
          <cell r="O436">
            <v>304</v>
          </cell>
          <cell r="P436">
            <v>43124</v>
          </cell>
          <cell r="Q436" t="str">
            <v>Prestar los servicios profesionales para la planeación, realización y desarrollo de contenidos periodísticos que permitan la difusión y divulgación de la gestión social que adelanta la CVP con las comunidades, a través de sus programas misionales.</v>
          </cell>
          <cell r="R436">
            <v>11330000</v>
          </cell>
          <cell r="S436">
            <v>0</v>
          </cell>
          <cell r="T436">
            <v>0</v>
          </cell>
          <cell r="U436">
            <v>11330000</v>
          </cell>
          <cell r="V436">
            <v>6420333</v>
          </cell>
        </row>
        <row r="437">
          <cell r="J437">
            <v>372</v>
          </cell>
          <cell r="K437">
            <v>43124</v>
          </cell>
          <cell r="L437" t="str">
            <v>YULY ALEJANDRA MORALES TREJOS</v>
          </cell>
          <cell r="M437">
            <v>145</v>
          </cell>
          <cell r="N437" t="str">
            <v>CONTRATO DE PRESTACION DE SERVICIOS PROFESIONALES</v>
          </cell>
          <cell r="O437">
            <v>326</v>
          </cell>
          <cell r="P437">
            <v>43124</v>
          </cell>
          <cell r="Q437" t="str">
            <v>Prestación de servicios profesionales a la Dirección de Urbanizaciones y Titulación de apoyo jurídico en los procesos de titulación predial  conforme a los diferentes mecanismos previstos por la ley.</v>
          </cell>
          <cell r="R437">
            <v>40865250</v>
          </cell>
          <cell r="S437">
            <v>0</v>
          </cell>
          <cell r="T437">
            <v>0</v>
          </cell>
          <cell r="U437">
            <v>40865250</v>
          </cell>
          <cell r="V437">
            <v>22031700</v>
          </cell>
        </row>
        <row r="438">
          <cell r="J438">
            <v>379</v>
          </cell>
          <cell r="K438">
            <v>43124</v>
          </cell>
          <cell r="L438" t="str">
            <v>GRETTA SORAYA BOLAÑO VALENCIA</v>
          </cell>
          <cell r="M438">
            <v>145</v>
          </cell>
          <cell r="N438" t="str">
            <v>CONTRATO DE PRESTACION DE SERVICIOS PROFESIONALES</v>
          </cell>
          <cell r="O438">
            <v>305</v>
          </cell>
          <cell r="P438">
            <v>43124</v>
          </cell>
          <cell r="Q438" t="str">
            <v xml:space="preserve">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v>
          </cell>
          <cell r="R438">
            <v>37080000</v>
          </cell>
          <cell r="S438">
            <v>0</v>
          </cell>
          <cell r="T438">
            <v>0</v>
          </cell>
          <cell r="U438">
            <v>37080000</v>
          </cell>
          <cell r="V438">
            <v>37080000</v>
          </cell>
        </row>
        <row r="439">
          <cell r="J439">
            <v>384</v>
          </cell>
          <cell r="K439">
            <v>43124</v>
          </cell>
          <cell r="L439" t="str">
            <v>ANDREA VIVIANA SUAREZ CORREA</v>
          </cell>
          <cell r="M439">
            <v>148</v>
          </cell>
          <cell r="N439" t="str">
            <v>CONTRATO DE PRESTACION DE SERVICIOS DE APOYO A LA GESTION</v>
          </cell>
          <cell r="O439">
            <v>307</v>
          </cell>
          <cell r="P439">
            <v>43124</v>
          </cell>
          <cell r="Q439" t="str">
            <v>Prestar servicios de apoyo a la gestión a la Dirección de Urbanizaciones y Titulación para ejecutar las actividades necesarias en el manejo archivístico de los documentos generados por la Dirección.</v>
          </cell>
          <cell r="R439">
            <v>20136500</v>
          </cell>
          <cell r="S439">
            <v>0</v>
          </cell>
          <cell r="T439">
            <v>0</v>
          </cell>
          <cell r="U439">
            <v>20136500</v>
          </cell>
          <cell r="V439">
            <v>10856200</v>
          </cell>
        </row>
        <row r="440">
          <cell r="J440">
            <v>386</v>
          </cell>
          <cell r="K440">
            <v>43124</v>
          </cell>
          <cell r="L440" t="str">
            <v>WILLIAM ANTONIO ZAPATA PAEZ</v>
          </cell>
          <cell r="M440">
            <v>145</v>
          </cell>
          <cell r="N440" t="str">
            <v>CONTRATO DE PRESTACION DE SERVICIOS PROFESIONALES</v>
          </cell>
          <cell r="O440">
            <v>308</v>
          </cell>
          <cell r="P440">
            <v>43124</v>
          </cell>
          <cell r="Q440" t="str">
            <v>Prestación de servicios profesionales a la Dirección de Urbanizaciones y Titulación  en el seguimiento técnico y administrativo a la ejecución de los proyectos de vivienda adelantados por la entidad.</v>
          </cell>
          <cell r="R440">
            <v>82915000</v>
          </cell>
          <cell r="S440">
            <v>0</v>
          </cell>
          <cell r="T440">
            <v>0</v>
          </cell>
          <cell r="U440">
            <v>82915000</v>
          </cell>
          <cell r="V440">
            <v>44702000</v>
          </cell>
        </row>
        <row r="441">
          <cell r="J441">
            <v>387</v>
          </cell>
          <cell r="K441">
            <v>43124</v>
          </cell>
          <cell r="L441" t="str">
            <v>RIGOBERTO  MEDINA TORRES</v>
          </cell>
          <cell r="M441">
            <v>145</v>
          </cell>
          <cell r="N441" t="str">
            <v>CONTRATO DE PRESTACION DE SERVICIOS PROFESIONALES</v>
          </cell>
          <cell r="O441">
            <v>309</v>
          </cell>
          <cell r="P441">
            <v>43124</v>
          </cell>
          <cell r="Q441" t="str">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v>
          </cell>
          <cell r="R441">
            <v>82915000</v>
          </cell>
          <cell r="S441">
            <v>0</v>
          </cell>
          <cell r="T441">
            <v>0</v>
          </cell>
          <cell r="U441">
            <v>82915000</v>
          </cell>
          <cell r="V441">
            <v>44702000</v>
          </cell>
        </row>
        <row r="442">
          <cell r="J442">
            <v>388</v>
          </cell>
          <cell r="K442">
            <v>43124</v>
          </cell>
          <cell r="L442" t="str">
            <v>CARMEN ASTRID VASCO PIEDRAHITA</v>
          </cell>
          <cell r="M442">
            <v>148</v>
          </cell>
          <cell r="N442" t="str">
            <v>CONTRATO DE PRESTACION DE SERVICIOS DE APOYO A LA GESTION</v>
          </cell>
          <cell r="O442">
            <v>311</v>
          </cell>
          <cell r="P442">
            <v>43124</v>
          </cell>
          <cell r="Q442" t="str">
            <v>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v>
          </cell>
          <cell r="R442">
            <v>20136500</v>
          </cell>
          <cell r="S442">
            <v>0</v>
          </cell>
          <cell r="T442">
            <v>0</v>
          </cell>
          <cell r="U442">
            <v>20136500</v>
          </cell>
          <cell r="V442">
            <v>10856200</v>
          </cell>
        </row>
        <row r="443">
          <cell r="J443">
            <v>392</v>
          </cell>
          <cell r="K443">
            <v>43124</v>
          </cell>
          <cell r="L443" t="str">
            <v>YENNY ASTRID PARDO CUBIDES</v>
          </cell>
          <cell r="M443">
            <v>145</v>
          </cell>
          <cell r="N443" t="str">
            <v>CONTRATO DE PRESTACION DE SERVICIOS PROFESIONALES</v>
          </cell>
          <cell r="O443">
            <v>330</v>
          </cell>
          <cell r="P443">
            <v>43124</v>
          </cell>
          <cell r="Q443" t="str">
            <v>Prestar servicios profesionales a la Dirección de Urbanizaciones y Titulación para el acompañamiento social a las  familias objeto de atención en los procesos de la Dirección.</v>
          </cell>
          <cell r="R443">
            <v>40865250</v>
          </cell>
          <cell r="S443">
            <v>0</v>
          </cell>
          <cell r="T443">
            <v>0</v>
          </cell>
          <cell r="U443">
            <v>40865250</v>
          </cell>
          <cell r="V443">
            <v>22031700</v>
          </cell>
        </row>
        <row r="444">
          <cell r="J444">
            <v>393</v>
          </cell>
          <cell r="K444">
            <v>43124</v>
          </cell>
          <cell r="L444" t="str">
            <v>CARLOS EMILIANO ROMERO PUENTES</v>
          </cell>
          <cell r="M444">
            <v>145</v>
          </cell>
          <cell r="N444" t="str">
            <v>CONTRATO DE PRESTACION DE SERVICIOS PROFESIONALES</v>
          </cell>
          <cell r="O444">
            <v>315</v>
          </cell>
          <cell r="P444">
            <v>43124</v>
          </cell>
          <cell r="Q444" t="str">
            <v>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v>
          </cell>
          <cell r="R444">
            <v>65147500</v>
          </cell>
          <cell r="S444">
            <v>0</v>
          </cell>
          <cell r="T444">
            <v>0</v>
          </cell>
          <cell r="U444">
            <v>65147500</v>
          </cell>
          <cell r="V444">
            <v>35123000</v>
          </cell>
        </row>
        <row r="445">
          <cell r="J445">
            <v>394</v>
          </cell>
          <cell r="K445">
            <v>43124</v>
          </cell>
          <cell r="L445" t="str">
            <v>SOFIA  MIRANDA BALLESTEROS</v>
          </cell>
          <cell r="M445">
            <v>145</v>
          </cell>
          <cell r="N445" t="str">
            <v>CONTRATO DE PRESTACION DE SERVICIOS PROFESIONALES</v>
          </cell>
          <cell r="O445">
            <v>316</v>
          </cell>
          <cell r="P445">
            <v>43124</v>
          </cell>
          <cell r="Q445" t="str">
            <v>Prestar servicios profesionales a la Dirección de Urbanizaciones y Titulación en la estructuración y revisión jurídica de los documentos, informes y actos administrativos propios de la dependencia.</v>
          </cell>
          <cell r="R445">
            <v>94760000</v>
          </cell>
          <cell r="S445">
            <v>0</v>
          </cell>
          <cell r="T445">
            <v>0</v>
          </cell>
          <cell r="U445">
            <v>94760000</v>
          </cell>
          <cell r="V445">
            <v>51088000</v>
          </cell>
        </row>
        <row r="446">
          <cell r="J446">
            <v>395</v>
          </cell>
          <cell r="K446">
            <v>43124</v>
          </cell>
          <cell r="L446" t="str">
            <v>ADRIANA  MORENO BALLEN</v>
          </cell>
          <cell r="M446">
            <v>145</v>
          </cell>
          <cell r="N446" t="str">
            <v>CONTRATO DE PRESTACION DE SERVICIOS PROFESIONALES</v>
          </cell>
          <cell r="O446">
            <v>331</v>
          </cell>
          <cell r="P446">
            <v>43124</v>
          </cell>
          <cell r="Q446" t="str">
            <v>Prestar servicios profesionales a la Dirección de Urbanizaciones y Titulación para el acompañamiento social a las  familias objeto de atención en los procesos de la Dirección.</v>
          </cell>
          <cell r="R446">
            <v>40865250</v>
          </cell>
          <cell r="S446">
            <v>0</v>
          </cell>
          <cell r="T446">
            <v>0</v>
          </cell>
          <cell r="U446">
            <v>40865250</v>
          </cell>
          <cell r="V446">
            <v>22031700</v>
          </cell>
        </row>
        <row r="447">
          <cell r="J447">
            <v>410</v>
          </cell>
          <cell r="K447">
            <v>43124</v>
          </cell>
          <cell r="L447" t="str">
            <v>LUKAS FERNANDO URIBE FRANCO</v>
          </cell>
          <cell r="M447">
            <v>145</v>
          </cell>
          <cell r="N447" t="str">
            <v>CONTRATO DE PRESTACION DE SERVICIOS PROFESIONALES</v>
          </cell>
          <cell r="O447">
            <v>314</v>
          </cell>
          <cell r="P447">
            <v>43124</v>
          </cell>
          <cell r="Q447" t="str">
            <v>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v>
          </cell>
          <cell r="R447">
            <v>91902250</v>
          </cell>
          <cell r="S447">
            <v>0</v>
          </cell>
          <cell r="T447">
            <v>0</v>
          </cell>
          <cell r="U447">
            <v>91902250</v>
          </cell>
          <cell r="V447">
            <v>39270000</v>
          </cell>
        </row>
        <row r="448">
          <cell r="J448">
            <v>429</v>
          </cell>
          <cell r="K448">
            <v>43124</v>
          </cell>
          <cell r="L448" t="str">
            <v>WILLIAM  CADENA ACOSTA</v>
          </cell>
          <cell r="M448">
            <v>145</v>
          </cell>
          <cell r="N448" t="str">
            <v>CONTRATO DE PRESTACION DE SERVICIOS PROFESIONALES</v>
          </cell>
          <cell r="O448">
            <v>364</v>
          </cell>
          <cell r="P448">
            <v>43124</v>
          </cell>
          <cell r="Q448" t="str">
            <v>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v>
          </cell>
          <cell r="R448">
            <v>57922050</v>
          </cell>
          <cell r="S448">
            <v>0</v>
          </cell>
          <cell r="T448">
            <v>0</v>
          </cell>
          <cell r="U448">
            <v>57922050</v>
          </cell>
          <cell r="V448">
            <v>31227540</v>
          </cell>
        </row>
        <row r="449">
          <cell r="J449">
            <v>437</v>
          </cell>
          <cell r="K449">
            <v>43125</v>
          </cell>
          <cell r="L449" t="str">
            <v>OSCAR HUMBERTO PAVA</v>
          </cell>
          <cell r="M449">
            <v>148</v>
          </cell>
          <cell r="N449" t="str">
            <v>CONTRATO DE PRESTACION DE SERVICIOS DE APOYO A LA GESTION</v>
          </cell>
          <cell r="O449">
            <v>310</v>
          </cell>
          <cell r="P449">
            <v>43125</v>
          </cell>
          <cell r="Q449" t="str">
            <v>Prestación de servicios técnicos de apoyo a la  Dirección de Urbanizaciones y Titulación en el estudio de la informacion cartografica y elaboracion de avaluos, asi como en el apoyo a los procesos de cierre de urbanizaciones que adelante la Direccion.</v>
          </cell>
          <cell r="R449">
            <v>38259350</v>
          </cell>
          <cell r="S449">
            <v>0</v>
          </cell>
          <cell r="T449">
            <v>0</v>
          </cell>
          <cell r="U449">
            <v>38259350</v>
          </cell>
          <cell r="V449">
            <v>20515883</v>
          </cell>
        </row>
        <row r="450">
          <cell r="J450">
            <v>453</v>
          </cell>
          <cell r="K450">
            <v>43125</v>
          </cell>
          <cell r="L450" t="str">
            <v>RENE JAVIER BUITRAGO PEDRAZA</v>
          </cell>
          <cell r="M450">
            <v>145</v>
          </cell>
          <cell r="N450" t="str">
            <v>CONTRATO DE PRESTACION DE SERVICIOS PROFESIONALES</v>
          </cell>
          <cell r="O450">
            <v>383</v>
          </cell>
          <cell r="P450">
            <v>43125</v>
          </cell>
          <cell r="Q450" t="str">
            <v>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v>
          </cell>
          <cell r="R450">
            <v>65147500</v>
          </cell>
          <cell r="S450">
            <v>0</v>
          </cell>
          <cell r="T450">
            <v>0</v>
          </cell>
          <cell r="U450">
            <v>65147500</v>
          </cell>
          <cell r="V450">
            <v>34934167</v>
          </cell>
        </row>
        <row r="451">
          <cell r="J451">
            <v>463</v>
          </cell>
          <cell r="K451">
            <v>43126</v>
          </cell>
          <cell r="L451" t="str">
            <v>MARIA JOSE LARA ANAYA</v>
          </cell>
          <cell r="M451">
            <v>145</v>
          </cell>
          <cell r="N451" t="str">
            <v>CONTRATO DE PRESTACION DE SERVICIOS PROFESIONALES</v>
          </cell>
          <cell r="O451">
            <v>390</v>
          </cell>
          <cell r="P451">
            <v>43126</v>
          </cell>
          <cell r="Q451" t="str">
            <v>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v>
          </cell>
          <cell r="R451">
            <v>94760000</v>
          </cell>
          <cell r="S451">
            <v>0</v>
          </cell>
          <cell r="T451">
            <v>0</v>
          </cell>
          <cell r="U451">
            <v>94760000</v>
          </cell>
          <cell r="V451">
            <v>41749334</v>
          </cell>
        </row>
        <row r="452">
          <cell r="J452">
            <v>464</v>
          </cell>
          <cell r="K452">
            <v>43126</v>
          </cell>
          <cell r="L452" t="str">
            <v>CRISTIAN DAVID OLACHICA SERRANO</v>
          </cell>
          <cell r="M452">
            <v>148</v>
          </cell>
          <cell r="N452" t="str">
            <v>CONTRATO DE PRESTACION DE SERVICIOS DE APOYO A LA GESTION</v>
          </cell>
          <cell r="O452">
            <v>391</v>
          </cell>
          <cell r="P452">
            <v>43126</v>
          </cell>
          <cell r="Q452" t="str">
            <v>Prestar servicios de apoyo a la gestión a la Dirección de Urbanizaciones y Titulación en la ejecución de las actividades necesarias en el manejo archivístico de los documentos generados por la Dirección, aplicando el control, custodia y depuración  del archivo correspondiente, de conformidad con las normas vigentes y Sistema Integrado de Gestión.</v>
          </cell>
          <cell r="R452">
            <v>19261000</v>
          </cell>
          <cell r="S452">
            <v>0</v>
          </cell>
          <cell r="T452">
            <v>0</v>
          </cell>
          <cell r="U452">
            <v>19261000</v>
          </cell>
          <cell r="V452">
            <v>10622734</v>
          </cell>
        </row>
        <row r="453">
          <cell r="J453">
            <v>469</v>
          </cell>
          <cell r="K453">
            <v>43126</v>
          </cell>
          <cell r="L453" t="str">
            <v>LADY TATIANA PAEZ FONSECA</v>
          </cell>
          <cell r="M453">
            <v>145</v>
          </cell>
          <cell r="N453" t="str">
            <v>CONTRATO DE PRESTACION DE SERVICIOS PROFESIONALES</v>
          </cell>
          <cell r="O453">
            <v>396</v>
          </cell>
          <cell r="P453">
            <v>43126</v>
          </cell>
          <cell r="Q453" t="str">
            <v>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v>
          </cell>
          <cell r="R453">
            <v>71070000</v>
          </cell>
          <cell r="S453">
            <v>0</v>
          </cell>
          <cell r="T453">
            <v>0</v>
          </cell>
          <cell r="U453">
            <v>71070000</v>
          </cell>
          <cell r="V453">
            <v>37492000</v>
          </cell>
        </row>
        <row r="454">
          <cell r="J454">
            <v>475</v>
          </cell>
          <cell r="K454">
            <v>43126</v>
          </cell>
          <cell r="L454" t="str">
            <v>JOSE NAPOLEON STRUSBERG OROZCO</v>
          </cell>
          <cell r="M454">
            <v>145</v>
          </cell>
          <cell r="N454" t="str">
            <v>CONTRATO DE PRESTACION DE SERVICIOS PROFESIONALES</v>
          </cell>
          <cell r="O454">
            <v>401</v>
          </cell>
          <cell r="P454">
            <v>43126</v>
          </cell>
          <cell r="Q454" t="str">
            <v>Prestación de servicios profesionales a la Dirección de Urbanizaciones y Titulación de apoyo jurídico en los procesos de titulación predial  conforme a los diferentes mecanismos previstos por la ley.</v>
          </cell>
          <cell r="R454">
            <v>37389000</v>
          </cell>
          <cell r="S454">
            <v>0</v>
          </cell>
          <cell r="T454">
            <v>0</v>
          </cell>
          <cell r="U454">
            <v>37389000</v>
          </cell>
          <cell r="V454">
            <v>20620600</v>
          </cell>
        </row>
        <row r="455">
          <cell r="J455">
            <v>480</v>
          </cell>
          <cell r="K455">
            <v>43126</v>
          </cell>
          <cell r="L455" t="str">
            <v>DEYANIRA  OCHOA MANCHOLA</v>
          </cell>
          <cell r="M455">
            <v>145</v>
          </cell>
          <cell r="N455" t="str">
            <v>CONTRATO DE PRESTACION DE SERVICIOS PROFESIONALES</v>
          </cell>
          <cell r="O455">
            <v>402</v>
          </cell>
          <cell r="P455">
            <v>43126</v>
          </cell>
          <cell r="Q455" t="str">
            <v>Prestar servicios profesionales a la Dirección de Urbanizaciones y Titulación en la programación, organización y realización de planes de trabajo dirigidos a brindar acompañamiento social a las comunidades beneficiarias de los programas a cargo de la Dirección.</v>
          </cell>
          <cell r="R455">
            <v>47380000</v>
          </cell>
          <cell r="S455">
            <v>0</v>
          </cell>
          <cell r="T455">
            <v>0</v>
          </cell>
          <cell r="U455">
            <v>47380000</v>
          </cell>
          <cell r="V455">
            <v>24994667</v>
          </cell>
        </row>
        <row r="456">
          <cell r="J456">
            <v>491</v>
          </cell>
          <cell r="K456">
            <v>43126</v>
          </cell>
          <cell r="L456" t="str">
            <v>TARCISIO  MOSQUERA RIVAS</v>
          </cell>
          <cell r="M456">
            <v>148</v>
          </cell>
          <cell r="N456" t="str">
            <v>CONTRATO DE PRESTACION DE SERVICIOS DE APOYO A LA GESTION</v>
          </cell>
          <cell r="O456">
            <v>422</v>
          </cell>
          <cell r="P456">
            <v>43126</v>
          </cell>
          <cell r="Q456" t="str">
            <v>PRESTACIÓN DE SERVICIOS TÉCNICOS A LA DIRECCIÓN DE URBANIZACIÓN Y TITULACIÓN, EN EL PROCESO DE SANEAMIENTO PREDIAL DE LOS BIENES INMUEBLES DE LA CAJA DE LA VIVIENDA POPULAR.</v>
          </cell>
          <cell r="R456">
            <v>28428000</v>
          </cell>
          <cell r="S456">
            <v>0</v>
          </cell>
          <cell r="T456">
            <v>0</v>
          </cell>
          <cell r="U456">
            <v>28428000</v>
          </cell>
          <cell r="V456">
            <v>14832000</v>
          </cell>
        </row>
        <row r="457">
          <cell r="J457">
            <v>492</v>
          </cell>
          <cell r="K457">
            <v>43126</v>
          </cell>
          <cell r="L457" t="str">
            <v>MARTHA ALICIA ROMERO VARGAS</v>
          </cell>
          <cell r="M457">
            <v>145</v>
          </cell>
          <cell r="N457" t="str">
            <v>CONTRATO DE PRESTACION DE SERVICIOS PROFESIONALES</v>
          </cell>
          <cell r="O457">
            <v>417</v>
          </cell>
          <cell r="P457">
            <v>43126</v>
          </cell>
          <cell r="Q457" t="str">
            <v>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v>
          </cell>
          <cell r="R457">
            <v>76992500</v>
          </cell>
          <cell r="S457">
            <v>0</v>
          </cell>
          <cell r="T457">
            <v>0</v>
          </cell>
          <cell r="U457">
            <v>76992500</v>
          </cell>
          <cell r="V457">
            <v>40616333</v>
          </cell>
        </row>
        <row r="458">
          <cell r="J458">
            <v>493</v>
          </cell>
          <cell r="K458">
            <v>43126</v>
          </cell>
          <cell r="L458" t="str">
            <v>MONICA FERNANDA ALVARADO GARCIA</v>
          </cell>
          <cell r="M458">
            <v>145</v>
          </cell>
          <cell r="N458" t="str">
            <v>CONTRATO DE PRESTACION DE SERVICIOS PROFESIONALES</v>
          </cell>
          <cell r="O458">
            <v>423</v>
          </cell>
          <cell r="P458">
            <v>43126</v>
          </cell>
          <cell r="Q458" t="str">
            <v>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v>
          </cell>
          <cell r="R458">
            <v>57922050</v>
          </cell>
          <cell r="S458">
            <v>0</v>
          </cell>
          <cell r="T458">
            <v>0</v>
          </cell>
          <cell r="U458">
            <v>57922050</v>
          </cell>
          <cell r="V458">
            <v>30555980</v>
          </cell>
        </row>
        <row r="459">
          <cell r="J459">
            <v>494</v>
          </cell>
          <cell r="K459">
            <v>43126</v>
          </cell>
          <cell r="L459" t="str">
            <v>JUAN CAMILO AGUIRRE ORTIZ</v>
          </cell>
          <cell r="M459">
            <v>145</v>
          </cell>
          <cell r="N459" t="str">
            <v>CONTRATO DE PRESTACION DE SERVICIOS PROFESIONALES</v>
          </cell>
          <cell r="O459">
            <v>420</v>
          </cell>
          <cell r="P459">
            <v>43126</v>
          </cell>
          <cell r="Q459" t="str">
            <v>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v>
          </cell>
          <cell r="R459">
            <v>28428000</v>
          </cell>
          <cell r="S459">
            <v>0</v>
          </cell>
          <cell r="T459">
            <v>0</v>
          </cell>
          <cell r="U459">
            <v>28428000</v>
          </cell>
          <cell r="V459">
            <v>14832000</v>
          </cell>
        </row>
        <row r="460">
          <cell r="J460">
            <v>497</v>
          </cell>
          <cell r="K460">
            <v>43126</v>
          </cell>
          <cell r="L460" t="str">
            <v>DIOGENES AUGUSTO LLANOS PINZON</v>
          </cell>
          <cell r="M460">
            <v>145</v>
          </cell>
          <cell r="N460" t="str">
            <v>CONTRATO DE PRESTACION DE SERVICIOS PROFESIONALES</v>
          </cell>
          <cell r="O460">
            <v>426</v>
          </cell>
          <cell r="P460">
            <v>43126</v>
          </cell>
          <cell r="Q460" t="str">
            <v>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v>
          </cell>
          <cell r="R460">
            <v>31981500</v>
          </cell>
          <cell r="S460">
            <v>0</v>
          </cell>
          <cell r="T460">
            <v>0</v>
          </cell>
          <cell r="U460">
            <v>31981500</v>
          </cell>
          <cell r="V460">
            <v>21557900</v>
          </cell>
        </row>
        <row r="461">
          <cell r="J461">
            <v>498</v>
          </cell>
          <cell r="K461">
            <v>43126</v>
          </cell>
          <cell r="L461" t="str">
            <v>ORLANDO  ROA HERNANDEZ</v>
          </cell>
          <cell r="M461">
            <v>148</v>
          </cell>
          <cell r="N461" t="str">
            <v>CONTRATO DE PRESTACION DE SERVICIOS DE APOYO A LA GESTION</v>
          </cell>
          <cell r="O461">
            <v>421</v>
          </cell>
          <cell r="P461">
            <v>43126</v>
          </cell>
          <cell r="Q461" t="str">
            <v>Prestar servicios de apoyo  a la Dirección de Urbanizaciones y Titulación para ejecutar las actividades necesarias en el manejo archivístico de los documentos generados por la Dirección,  de conformidad con las normas vigentes y Sistema Integrado de Gestión.</v>
          </cell>
          <cell r="R461">
            <v>20136500</v>
          </cell>
          <cell r="S461">
            <v>0</v>
          </cell>
          <cell r="T461">
            <v>0</v>
          </cell>
          <cell r="U461">
            <v>20136500</v>
          </cell>
          <cell r="V461">
            <v>10622733</v>
          </cell>
        </row>
        <row r="462">
          <cell r="J462">
            <v>507</v>
          </cell>
          <cell r="K462">
            <v>43126</v>
          </cell>
          <cell r="L462" t="str">
            <v>ANDRES FERNANDO PINTO PATIÑO</v>
          </cell>
          <cell r="M462">
            <v>145</v>
          </cell>
          <cell r="N462" t="str">
            <v>CONTRATO DE PRESTACION DE SERVICIOS PROFESIONALES</v>
          </cell>
          <cell r="O462">
            <v>428</v>
          </cell>
          <cell r="P462">
            <v>43126</v>
          </cell>
          <cell r="Q462" t="str">
            <v>Prestar los servicios profesionales para apoyar a la Dirección de Urbanizaciones y Titulación en la identificación, consolidación, depuración y saneamiento del inventario de bienes inmuebles de la Caja de la Vivienda Popular.</v>
          </cell>
          <cell r="R462">
            <v>39088500</v>
          </cell>
          <cell r="S462">
            <v>0</v>
          </cell>
          <cell r="T462">
            <v>0</v>
          </cell>
          <cell r="U462">
            <v>39088500</v>
          </cell>
          <cell r="V462">
            <v>21321000</v>
          </cell>
        </row>
        <row r="463">
          <cell r="J463">
            <v>508</v>
          </cell>
          <cell r="K463">
            <v>43129</v>
          </cell>
          <cell r="L463" t="str">
            <v>ANA CECILIA BALLESTEROS URBINA</v>
          </cell>
          <cell r="M463">
            <v>145</v>
          </cell>
          <cell r="N463" t="str">
            <v>CONTRATO DE PRESTACION DE SERVICIOS PROFESIONALES</v>
          </cell>
          <cell r="O463">
            <v>427</v>
          </cell>
          <cell r="P463">
            <v>43129</v>
          </cell>
          <cell r="Q463" t="str">
            <v>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la titulación de predios.</v>
          </cell>
          <cell r="R463">
            <v>60000000</v>
          </cell>
          <cell r="S463">
            <v>0</v>
          </cell>
          <cell r="T463">
            <v>0</v>
          </cell>
          <cell r="U463">
            <v>60000000</v>
          </cell>
          <cell r="V463">
            <v>60000000</v>
          </cell>
        </row>
        <row r="464">
          <cell r="J464">
            <v>1537</v>
          </cell>
          <cell r="K464">
            <v>43165</v>
          </cell>
          <cell r="L464" t="str">
            <v>POSITIVA COMPAÑIA DE SEGUROS SA</v>
          </cell>
          <cell r="M464">
            <v>30</v>
          </cell>
          <cell r="N464" t="str">
            <v>ORDEN DE PRESTACION DE SERVICIOS</v>
          </cell>
          <cell r="O464">
            <v>3</v>
          </cell>
          <cell r="P464">
            <v>43165</v>
          </cell>
          <cell r="Q464"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v>
          </cell>
          <cell r="R464">
            <v>882500</v>
          </cell>
          <cell r="S464">
            <v>0</v>
          </cell>
          <cell r="T464">
            <v>0</v>
          </cell>
          <cell r="U464">
            <v>882500</v>
          </cell>
          <cell r="V464">
            <v>882500</v>
          </cell>
        </row>
        <row r="465">
          <cell r="J465">
            <v>1723</v>
          </cell>
          <cell r="K465">
            <v>43195</v>
          </cell>
          <cell r="L465" t="str">
            <v>POSITIVA COMPAÑIA DE SEGUROS SA</v>
          </cell>
          <cell r="M465">
            <v>30</v>
          </cell>
          <cell r="N465" t="str">
            <v>ORDEN DE PRESTACION DE SERVICIOS</v>
          </cell>
          <cell r="O465">
            <v>4</v>
          </cell>
          <cell r="P465">
            <v>43195</v>
          </cell>
          <cell r="Q465"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ABRIL</v>
          </cell>
          <cell r="R465">
            <v>1161100</v>
          </cell>
          <cell r="S465">
            <v>0</v>
          </cell>
          <cell r="T465">
            <v>0</v>
          </cell>
          <cell r="U465">
            <v>1161100</v>
          </cell>
          <cell r="V465">
            <v>1161100</v>
          </cell>
        </row>
        <row r="466">
          <cell r="J466">
            <v>1842</v>
          </cell>
          <cell r="K466">
            <v>43214</v>
          </cell>
          <cell r="L466" t="str">
            <v>IVAN OSWALDO LEON LEON</v>
          </cell>
          <cell r="M466">
            <v>145</v>
          </cell>
          <cell r="N466" t="str">
            <v>CONTRATO DE PRESTACION DE SERVICIOS PROFESIONALES</v>
          </cell>
          <cell r="O466">
            <v>347</v>
          </cell>
          <cell r="P466">
            <v>43214</v>
          </cell>
          <cell r="Q466" t="str">
            <v>Adición y prorroga al contrato 347 de 2018 cuyo objeto es "Prestación de servicios profesionales a la Dirección de Urbanizaciones y Titulación  en el seguimiento a la ejecución del componente eléctrico de los proyectos de vivienda adelantados por la entidad.</v>
          </cell>
          <cell r="R466">
            <v>6798000</v>
          </cell>
          <cell r="S466">
            <v>0</v>
          </cell>
          <cell r="T466">
            <v>0</v>
          </cell>
          <cell r="U466">
            <v>6798000</v>
          </cell>
          <cell r="V466">
            <v>5438400</v>
          </cell>
        </row>
        <row r="467">
          <cell r="J467">
            <v>1889</v>
          </cell>
          <cell r="K467">
            <v>43229</v>
          </cell>
          <cell r="L467" t="str">
            <v>POSITIVA COMPAÑIA DE SEGUROS SA</v>
          </cell>
          <cell r="M467">
            <v>30</v>
          </cell>
          <cell r="N467" t="str">
            <v>ORDEN DE PRESTACION DE SERVICIOS</v>
          </cell>
          <cell r="O467">
            <v>5</v>
          </cell>
          <cell r="P467">
            <v>43229</v>
          </cell>
          <cell r="Q467" t="str">
            <v>Pago de cotización al sistema general de riesgos laborales de las personas vinculadas a través de un contrato de prestación de servicios con la Caja de la Vivienda Popular que laboran en actividades de alto riesgo, según en el artículo 13 del decreto 723 de 2013.</v>
          </cell>
          <cell r="R467">
            <v>1161100</v>
          </cell>
          <cell r="S467">
            <v>0</v>
          </cell>
          <cell r="T467">
            <v>0</v>
          </cell>
          <cell r="U467">
            <v>1161100</v>
          </cell>
          <cell r="V467">
            <v>1161100</v>
          </cell>
        </row>
        <row r="468">
          <cell r="J468">
            <v>2008</v>
          </cell>
          <cell r="K468">
            <v>43258</v>
          </cell>
          <cell r="L468" t="str">
            <v>POSITIVA COMPAÑIA DE SEGUROS SA</v>
          </cell>
          <cell r="M468">
            <v>30</v>
          </cell>
          <cell r="N468" t="str">
            <v>ORDEN DE PRESTACION DE SERVICIOS</v>
          </cell>
          <cell r="O468">
            <v>6</v>
          </cell>
          <cell r="P468">
            <v>43258</v>
          </cell>
          <cell r="Q468" t="str">
            <v>PAGO DE COTIZACIÓN AL SISTEMA GENERAL DE RIESGOS LABORALES DE LAS PERSONAS VINCULADAS A TRAVÉS DE UN CONTRATO DE PRESTACIÓN DE SERVICIOS CON LA CAJA DE LA VIVIENDA POPULAR QUE LABORAN EN ACTIVIDADES DE ALTO RIESGO, SEGÚN EN EL ARTÍCULO 13 DEL DECRETO 723 DE 2013. MES JUNIO DE 2018</v>
          </cell>
          <cell r="R468">
            <v>1161100</v>
          </cell>
          <cell r="S468">
            <v>0</v>
          </cell>
          <cell r="T468">
            <v>0</v>
          </cell>
          <cell r="U468">
            <v>1161100</v>
          </cell>
          <cell r="V468">
            <v>1161100</v>
          </cell>
        </row>
        <row r="469">
          <cell r="J469">
            <v>2144</v>
          </cell>
          <cell r="K469">
            <v>43276</v>
          </cell>
          <cell r="L469" t="str">
            <v>ANA CECILIA BALLESTEROS URBINA</v>
          </cell>
          <cell r="M469">
            <v>145</v>
          </cell>
          <cell r="N469" t="str">
            <v>CONTRATO DE PRESTACION DE SERVICIOS PROFESIONALES</v>
          </cell>
          <cell r="O469">
            <v>427</v>
          </cell>
          <cell r="P469">
            <v>43276</v>
          </cell>
          <cell r="Q469" t="str">
            <v>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la titulación de predios.</v>
          </cell>
          <cell r="R469">
            <v>30000000</v>
          </cell>
          <cell r="S469">
            <v>0</v>
          </cell>
          <cell r="T469">
            <v>0</v>
          </cell>
          <cell r="U469">
            <v>30000000</v>
          </cell>
          <cell r="V469">
            <v>0</v>
          </cell>
        </row>
        <row r="470">
          <cell r="J470">
            <v>2461</v>
          </cell>
          <cell r="K470">
            <v>43291</v>
          </cell>
          <cell r="L470" t="str">
            <v>MARIBEL  QUEVEDO GONZALEZ</v>
          </cell>
          <cell r="M470">
            <v>148</v>
          </cell>
          <cell r="N470" t="str">
            <v>CONTRATO DE PRESTACION DE SERVICIOS DE APOYO A LA GESTION</v>
          </cell>
          <cell r="O470">
            <v>442</v>
          </cell>
          <cell r="P470">
            <v>43291</v>
          </cell>
          <cell r="Q470" t="str">
            <v>Prestar servicios técnicos a nivel operativo apoyando transversalmente en la atención a las comunidades a cargo de la Dirección de Urbanizaciones y Titulación para el cumplimiento de sus metas, así como adelantar actividades de clasificación, registro y archivo de la información general en la Dirección.</v>
          </cell>
          <cell r="R470">
            <v>18852433</v>
          </cell>
          <cell r="S470">
            <v>0</v>
          </cell>
          <cell r="T470">
            <v>0</v>
          </cell>
          <cell r="U470">
            <v>18852433</v>
          </cell>
          <cell r="V470">
            <v>2217933</v>
          </cell>
        </row>
        <row r="471">
          <cell r="J471">
            <v>2479</v>
          </cell>
          <cell r="K471">
            <v>43292</v>
          </cell>
          <cell r="L471" t="str">
            <v>POSITIVA COMPAÑIA DE SEGUROS SA</v>
          </cell>
          <cell r="M471">
            <v>30</v>
          </cell>
          <cell r="N471" t="str">
            <v>ORDEN DE PRESTACION DE SERVICIOS</v>
          </cell>
          <cell r="O471">
            <v>7</v>
          </cell>
          <cell r="P471">
            <v>43292</v>
          </cell>
          <cell r="Q471"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JULIO DE 2018</v>
          </cell>
          <cell r="R471">
            <v>1034900</v>
          </cell>
          <cell r="S471">
            <v>0</v>
          </cell>
          <cell r="T471">
            <v>0</v>
          </cell>
          <cell r="U471">
            <v>1034900</v>
          </cell>
          <cell r="V471">
            <v>1034900</v>
          </cell>
        </row>
        <row r="472">
          <cell r="J472">
            <v>2487</v>
          </cell>
          <cell r="K472">
            <v>43292</v>
          </cell>
          <cell r="L472" t="str">
            <v>ENRIQUE JOSE NATES GUERRA</v>
          </cell>
          <cell r="M472">
            <v>145</v>
          </cell>
          <cell r="N472" t="str">
            <v>CONTRATO DE PRESTACION DE SERVICIOS PROFESIONALES</v>
          </cell>
          <cell r="O472">
            <v>443</v>
          </cell>
          <cell r="P472">
            <v>43292</v>
          </cell>
          <cell r="Q472" t="str">
            <v>Prestación de servicios profesionales para realizar el acompañamiento y seguimiento jurídico a las actividades de titulación predial, urbanizaciones y saneamiento predial que adelanta la Dirección de Urbanizaciones y Titulación.</v>
          </cell>
          <cell r="R472">
            <v>60000000</v>
          </cell>
          <cell r="S472">
            <v>0</v>
          </cell>
          <cell r="T472">
            <v>0</v>
          </cell>
          <cell r="U472">
            <v>60000000</v>
          </cell>
          <cell r="V472">
            <v>6666667</v>
          </cell>
        </row>
        <row r="473">
          <cell r="J473">
            <v>2589</v>
          </cell>
          <cell r="K473">
            <v>43315</v>
          </cell>
          <cell r="L473" t="str">
            <v>CESAR AUGUSTO HENAO TRUJILLO</v>
          </cell>
          <cell r="M473">
            <v>145</v>
          </cell>
          <cell r="N473" t="str">
            <v>CONTRATO DE PRESTACION DE SERVICIOS PROFESIONALES</v>
          </cell>
          <cell r="O473">
            <v>483</v>
          </cell>
          <cell r="P473">
            <v>43315</v>
          </cell>
          <cell r="Q473" t="str">
            <v>Prestación de servicios profesionales a la Dirección de Urbanizaciones y Titulación en la orientación y ejecución de estrategias técnicas encaminadas a realizar el cierre y entrega de los proyectos de vivienda VIP, obras de urbanismo y equipamientos en los proyectos constructivos desarrollados por la Caja de la Vivienda Popular.</v>
          </cell>
          <cell r="R473">
            <v>54266667</v>
          </cell>
          <cell r="S473">
            <v>0</v>
          </cell>
          <cell r="T473">
            <v>0</v>
          </cell>
          <cell r="U473">
            <v>54266667</v>
          </cell>
          <cell r="V473">
            <v>0</v>
          </cell>
        </row>
        <row r="474">
          <cell r="J474">
            <v>2600</v>
          </cell>
          <cell r="K474">
            <v>43315</v>
          </cell>
          <cell r="L474" t="str">
            <v>IRENE  BERROCAL GARCIA</v>
          </cell>
          <cell r="M474">
            <v>145</v>
          </cell>
          <cell r="N474" t="str">
            <v>CONTRATO DE PRESTACION DE SERVICIOS PROFESIONALES</v>
          </cell>
          <cell r="O474">
            <v>485</v>
          </cell>
          <cell r="P474">
            <v>43315</v>
          </cell>
          <cell r="Q474" t="str">
            <v>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v>
          </cell>
          <cell r="R474">
            <v>26265000</v>
          </cell>
          <cell r="S474">
            <v>0</v>
          </cell>
          <cell r="T474">
            <v>0</v>
          </cell>
          <cell r="U474">
            <v>26265000</v>
          </cell>
          <cell r="V474">
            <v>0</v>
          </cell>
        </row>
        <row r="475">
          <cell r="J475">
            <v>2619</v>
          </cell>
          <cell r="K475">
            <v>43322</v>
          </cell>
          <cell r="L475" t="str">
            <v>POSITIVA COMPAÑIA DE SEGUROS SA</v>
          </cell>
          <cell r="M475">
            <v>30</v>
          </cell>
          <cell r="N475" t="str">
            <v>ORDEN DE PRESTACION DE SERVICIOS</v>
          </cell>
          <cell r="O475">
            <v>8</v>
          </cell>
          <cell r="P475">
            <v>43322</v>
          </cell>
          <cell r="Q475" t="str">
            <v>Pago de cotización al sistema general de riesgos laborales de las personas vinculadas a través de un contrato de prestación de servicios con la Caja de la Vivienda Popular que laboran en actividades de alto riesgo, según en el artículo 13 del decreto 723 de 2013.</v>
          </cell>
          <cell r="R475">
            <v>1275100</v>
          </cell>
          <cell r="S475">
            <v>0</v>
          </cell>
          <cell r="T475">
            <v>0</v>
          </cell>
          <cell r="U475">
            <v>1275100</v>
          </cell>
          <cell r="V475">
            <v>1275100</v>
          </cell>
        </row>
        <row r="476">
          <cell r="J476">
            <v>5</v>
          </cell>
          <cell r="K476">
            <v>43112</v>
          </cell>
          <cell r="L476" t="str">
            <v>IVAN DARIO SUESCUN QUIÑONES</v>
          </cell>
          <cell r="M476">
            <v>145</v>
          </cell>
          <cell r="N476" t="str">
            <v>CONTRATO DE PRESTACION DE SERVICIOS PROFESIONALES</v>
          </cell>
          <cell r="O476">
            <v>5</v>
          </cell>
          <cell r="P476">
            <v>43112</v>
          </cell>
          <cell r="Q476" t="str">
            <v>Prestación de servicios profesionales para apoyar la estructuración, seguimiento y supervisión de los proyectos asignados por la Dirección de Mejoramiento de Vivienda de la CVP.</v>
          </cell>
          <cell r="R476">
            <v>73645000</v>
          </cell>
          <cell r="S476">
            <v>0</v>
          </cell>
          <cell r="T476">
            <v>0</v>
          </cell>
          <cell r="U476">
            <v>73645000</v>
          </cell>
          <cell r="V476">
            <v>44410167</v>
          </cell>
        </row>
        <row r="477">
          <cell r="J477">
            <v>7</v>
          </cell>
          <cell r="K477">
            <v>43112</v>
          </cell>
          <cell r="L477" t="str">
            <v>JAQUELINE  MORALES RAMIREZ</v>
          </cell>
          <cell r="M477">
            <v>148</v>
          </cell>
          <cell r="N477" t="str">
            <v>CONTRATO DE PRESTACION DE SERVICIOS DE APOYO A LA GESTION</v>
          </cell>
          <cell r="O477">
            <v>3</v>
          </cell>
          <cell r="P477">
            <v>43112</v>
          </cell>
          <cell r="Q477" t="str">
            <v>Prestación de servicios técnicos de apoyo a la gestión documental, inventario y manejo del archivo físico, en cumplimiento de los procedimientos de la Dirección de Mejoramiento de Vivienda de la CVP.</v>
          </cell>
          <cell r="R477">
            <v>33423500</v>
          </cell>
          <cell r="S477">
            <v>0</v>
          </cell>
          <cell r="T477">
            <v>0</v>
          </cell>
          <cell r="U477">
            <v>33423500</v>
          </cell>
          <cell r="V477">
            <v>20155383</v>
          </cell>
        </row>
        <row r="478">
          <cell r="J478">
            <v>8</v>
          </cell>
          <cell r="K478">
            <v>43112</v>
          </cell>
          <cell r="L478" t="str">
            <v>JHOAN EDUARDO JAIMES CARDENAS</v>
          </cell>
          <cell r="M478">
            <v>145</v>
          </cell>
          <cell r="N478" t="str">
            <v>CONTRATO DE PRESTACION DE SERVICIOS PROFESIONALES</v>
          </cell>
          <cell r="O478">
            <v>4</v>
          </cell>
          <cell r="P478">
            <v>43112</v>
          </cell>
          <cell r="Q478" t="str">
            <v>Prestación de servicios profesionales para adelantar la consulta, revisión, consolidación, organización, actualización y disposición de la información cartográfica, gráfica y alfanumérica en la Dirección de Mejoramiento de Vivienda de la CVP.</v>
          </cell>
          <cell r="R478">
            <v>49852000</v>
          </cell>
          <cell r="S478">
            <v>0</v>
          </cell>
          <cell r="T478">
            <v>0</v>
          </cell>
          <cell r="U478">
            <v>49852000</v>
          </cell>
          <cell r="V478">
            <v>30062267</v>
          </cell>
        </row>
        <row r="479">
          <cell r="J479">
            <v>16</v>
          </cell>
          <cell r="K479">
            <v>43115</v>
          </cell>
          <cell r="L479" t="str">
            <v>MONICA  AVILA CANTOR</v>
          </cell>
          <cell r="M479">
            <v>145</v>
          </cell>
          <cell r="N479" t="str">
            <v>CONTRATO DE PRESTACION DE SERVICIOS PROFESIONALES</v>
          </cell>
          <cell r="O479">
            <v>21</v>
          </cell>
          <cell r="P479">
            <v>43115</v>
          </cell>
          <cell r="Q479" t="str">
            <v>Prestar los servicios profesionales para apoyar la supervisión Social de las obras de los proyectos territoriales, además de efectuar la gestión social a los hogares de los territoriales dirigidos que se presenten para optar al Subsidio Distrital de Vivienda en especie.</v>
          </cell>
          <cell r="R479">
            <v>28840000</v>
          </cell>
          <cell r="S479">
            <v>28840000</v>
          </cell>
          <cell r="T479">
            <v>0</v>
          </cell>
          <cell r="U479">
            <v>0</v>
          </cell>
          <cell r="V479">
            <v>0</v>
          </cell>
        </row>
        <row r="480">
          <cell r="J480">
            <v>18</v>
          </cell>
          <cell r="K480">
            <v>43115</v>
          </cell>
          <cell r="L480" t="str">
            <v>JULIANA ALEJANDRA MARTHEYN NUÑEZ</v>
          </cell>
          <cell r="M480">
            <v>145</v>
          </cell>
          <cell r="N480" t="str">
            <v>CONTRATO DE PRESTACION DE SERVICIOS PROFESIONALES</v>
          </cell>
          <cell r="O480">
            <v>15</v>
          </cell>
          <cell r="P480">
            <v>43115</v>
          </cell>
          <cell r="Q480" t="str">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v>
          </cell>
          <cell r="R480">
            <v>37389000</v>
          </cell>
          <cell r="S480">
            <v>37389000</v>
          </cell>
          <cell r="T480">
            <v>0</v>
          </cell>
          <cell r="U480">
            <v>0</v>
          </cell>
          <cell r="V480">
            <v>0</v>
          </cell>
        </row>
        <row r="481">
          <cell r="J481">
            <v>19</v>
          </cell>
          <cell r="K481">
            <v>43115</v>
          </cell>
          <cell r="L481" t="str">
            <v>LEIDY VANESSA MARTINEZ MONROY</v>
          </cell>
          <cell r="M481">
            <v>148</v>
          </cell>
          <cell r="N481" t="str">
            <v>CONTRATO DE PRESTACION DE SERVICIOS DE APOYO A LA GESTION</v>
          </cell>
          <cell r="O481">
            <v>16</v>
          </cell>
          <cell r="P481">
            <v>43115</v>
          </cell>
          <cell r="Q481"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81">
            <v>33423500</v>
          </cell>
          <cell r="S481">
            <v>33423500</v>
          </cell>
          <cell r="T481">
            <v>0</v>
          </cell>
          <cell r="U481">
            <v>0</v>
          </cell>
          <cell r="V481">
            <v>0</v>
          </cell>
        </row>
        <row r="482">
          <cell r="J482">
            <v>20</v>
          </cell>
          <cell r="K482">
            <v>43115</v>
          </cell>
          <cell r="L482" t="str">
            <v>ELIZABETH  MARCIALES DAZA</v>
          </cell>
          <cell r="M482">
            <v>145</v>
          </cell>
          <cell r="N482" t="str">
            <v>CONTRATO DE PRESTACION DE SERVICIOS PROFESIONALES</v>
          </cell>
          <cell r="O482">
            <v>17</v>
          </cell>
          <cell r="P482">
            <v>43115</v>
          </cell>
          <cell r="Q482" t="str">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82">
            <v>55403700</v>
          </cell>
          <cell r="S482">
            <v>55403700</v>
          </cell>
          <cell r="T482">
            <v>0</v>
          </cell>
          <cell r="U482">
            <v>0</v>
          </cell>
          <cell r="V482">
            <v>0</v>
          </cell>
        </row>
        <row r="483">
          <cell r="J483">
            <v>21</v>
          </cell>
          <cell r="K483">
            <v>43115</v>
          </cell>
          <cell r="L483" t="str">
            <v>EDGAR ANDRES PASTRAN CHAUX</v>
          </cell>
          <cell r="M483">
            <v>145</v>
          </cell>
          <cell r="N483" t="str">
            <v>CONTRATO DE PRESTACION DE SERVICIOS PROFESIONALES</v>
          </cell>
          <cell r="O483">
            <v>23</v>
          </cell>
          <cell r="P483">
            <v>43115</v>
          </cell>
          <cell r="Q483" t="str">
            <v>Prestación de servicios profesionales para apoyar la estructuración, seguimiento y supervisión de los proyectos asignados por la Dirección de Mejoramiento de Vivienda de la CVP</v>
          </cell>
          <cell r="R483">
            <v>35256900</v>
          </cell>
          <cell r="S483">
            <v>35256900</v>
          </cell>
          <cell r="T483">
            <v>0</v>
          </cell>
          <cell r="U483">
            <v>0</v>
          </cell>
          <cell r="V483">
            <v>0</v>
          </cell>
        </row>
        <row r="484">
          <cell r="J484">
            <v>22</v>
          </cell>
          <cell r="K484">
            <v>43115</v>
          </cell>
          <cell r="L484" t="str">
            <v>CRISTHIAN DAVID TORRES MARTINEZ</v>
          </cell>
          <cell r="M484">
            <v>145</v>
          </cell>
          <cell r="N484" t="str">
            <v>CONTRATO DE PRESTACION DE SERVICIOS PROFESIONALES</v>
          </cell>
          <cell r="O484">
            <v>18</v>
          </cell>
          <cell r="P484">
            <v>43115</v>
          </cell>
          <cell r="Q484" t="str">
            <v>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v>
          </cell>
          <cell r="R484">
            <v>37389000</v>
          </cell>
          <cell r="S484">
            <v>37389000</v>
          </cell>
          <cell r="T484">
            <v>0</v>
          </cell>
          <cell r="U484">
            <v>0</v>
          </cell>
          <cell r="V484">
            <v>0</v>
          </cell>
        </row>
        <row r="485">
          <cell r="J485">
            <v>23</v>
          </cell>
          <cell r="K485">
            <v>43115</v>
          </cell>
          <cell r="L485" t="str">
            <v>MANUEL ALEJANDRO PINILLA FORERO</v>
          </cell>
          <cell r="M485">
            <v>145</v>
          </cell>
          <cell r="N485" t="str">
            <v>CONTRATO DE PRESTACION DE SERVICIOS PROFESIONALES</v>
          </cell>
          <cell r="O485">
            <v>19</v>
          </cell>
          <cell r="P485">
            <v>43115</v>
          </cell>
          <cell r="Q485" t="str">
            <v>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v>
          </cell>
          <cell r="R485">
            <v>62315000</v>
          </cell>
          <cell r="S485">
            <v>62315000</v>
          </cell>
          <cell r="T485">
            <v>0</v>
          </cell>
          <cell r="U485">
            <v>0</v>
          </cell>
          <cell r="V485">
            <v>0</v>
          </cell>
        </row>
        <row r="486">
          <cell r="J486">
            <v>24</v>
          </cell>
          <cell r="K486">
            <v>43115</v>
          </cell>
          <cell r="L486" t="str">
            <v>ISOLIER ANDRES EGUIS BENITEZ</v>
          </cell>
          <cell r="M486">
            <v>145</v>
          </cell>
          <cell r="N486" t="str">
            <v>CONTRATO DE PRESTACION DE SERVICIOS PROFESIONALES</v>
          </cell>
          <cell r="O486">
            <v>20</v>
          </cell>
          <cell r="P486">
            <v>43115</v>
          </cell>
          <cell r="Q486" t="str">
            <v>Prestación de servicios profesionales para apoyar la estructuración, seguimiento y supervisión de los proyectos asignados por la Dirección de Mejoramiento de Vivienda de la CVP.</v>
          </cell>
          <cell r="R486">
            <v>46865000</v>
          </cell>
          <cell r="S486">
            <v>46865000</v>
          </cell>
          <cell r="T486">
            <v>0</v>
          </cell>
          <cell r="U486">
            <v>0</v>
          </cell>
          <cell r="V486">
            <v>0</v>
          </cell>
        </row>
        <row r="487">
          <cell r="J487">
            <v>27</v>
          </cell>
          <cell r="K487">
            <v>43115</v>
          </cell>
          <cell r="L487" t="str">
            <v>MANUEL ALEJANDRO PINILLA FORERO</v>
          </cell>
          <cell r="M487">
            <v>145</v>
          </cell>
          <cell r="N487" t="str">
            <v>CONTRATO DE PRESTACION DE SERVICIOS PROFESIONALES</v>
          </cell>
          <cell r="O487">
            <v>19</v>
          </cell>
          <cell r="P487">
            <v>43115</v>
          </cell>
          <cell r="Q487" t="str">
            <v>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v>
          </cell>
          <cell r="R487">
            <v>62315000</v>
          </cell>
          <cell r="S487">
            <v>0</v>
          </cell>
          <cell r="T487">
            <v>0</v>
          </cell>
          <cell r="U487">
            <v>62315000</v>
          </cell>
          <cell r="V487">
            <v>37011333</v>
          </cell>
        </row>
        <row r="488">
          <cell r="J488">
            <v>28</v>
          </cell>
          <cell r="K488">
            <v>43116</v>
          </cell>
          <cell r="L488" t="str">
            <v>JULIANA ALEJANDRA MARTHEYN NUÑEZ</v>
          </cell>
          <cell r="M488">
            <v>145</v>
          </cell>
          <cell r="N488" t="str">
            <v>CONTRATO DE PRESTACION DE SERVICIOS PROFESIONALES</v>
          </cell>
          <cell r="O488">
            <v>15</v>
          </cell>
          <cell r="P488">
            <v>43116</v>
          </cell>
          <cell r="Q488" t="str">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v>
          </cell>
          <cell r="R488">
            <v>37389000</v>
          </cell>
          <cell r="S488">
            <v>0</v>
          </cell>
          <cell r="T488">
            <v>0</v>
          </cell>
          <cell r="U488">
            <v>37389000</v>
          </cell>
          <cell r="V488">
            <v>22093500</v>
          </cell>
        </row>
        <row r="489">
          <cell r="J489">
            <v>29</v>
          </cell>
          <cell r="K489">
            <v>43116</v>
          </cell>
          <cell r="L489" t="str">
            <v>ELIZABETH  MARCIALES DAZA</v>
          </cell>
          <cell r="M489">
            <v>145</v>
          </cell>
          <cell r="N489" t="str">
            <v>CONTRATO DE PRESTACION DE SERVICIOS PROFESIONALES</v>
          </cell>
          <cell r="O489">
            <v>17</v>
          </cell>
          <cell r="P489">
            <v>43116</v>
          </cell>
          <cell r="Q489" t="str">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89">
            <v>55403700</v>
          </cell>
          <cell r="S489">
            <v>0</v>
          </cell>
          <cell r="T489">
            <v>0</v>
          </cell>
          <cell r="U489">
            <v>55403700</v>
          </cell>
          <cell r="V489">
            <v>32738550</v>
          </cell>
        </row>
        <row r="490">
          <cell r="J490">
            <v>30</v>
          </cell>
          <cell r="K490">
            <v>43116</v>
          </cell>
          <cell r="L490" t="str">
            <v>CRISTHIAN DAVID TORRES MARTINEZ</v>
          </cell>
          <cell r="M490">
            <v>145</v>
          </cell>
          <cell r="N490" t="str">
            <v>CONTRATO DE PRESTACION DE SERVICIOS PROFESIONALES</v>
          </cell>
          <cell r="O490">
            <v>18</v>
          </cell>
          <cell r="P490">
            <v>43116</v>
          </cell>
          <cell r="Q490" t="str">
            <v>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v>
          </cell>
          <cell r="R490">
            <v>37389000</v>
          </cell>
          <cell r="S490">
            <v>0</v>
          </cell>
          <cell r="T490">
            <v>0</v>
          </cell>
          <cell r="U490">
            <v>37389000</v>
          </cell>
          <cell r="V490">
            <v>22093500</v>
          </cell>
        </row>
        <row r="491">
          <cell r="J491">
            <v>31</v>
          </cell>
          <cell r="K491">
            <v>43116</v>
          </cell>
          <cell r="L491" t="str">
            <v>LEIDY VANESSA MARTINEZ MONROY</v>
          </cell>
          <cell r="M491">
            <v>148</v>
          </cell>
          <cell r="N491" t="str">
            <v>CONTRATO DE PRESTACION DE SERVICIOS DE APOYO A LA GESTION</v>
          </cell>
          <cell r="O491">
            <v>16</v>
          </cell>
          <cell r="P491">
            <v>43116</v>
          </cell>
          <cell r="Q491"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91">
            <v>33423500</v>
          </cell>
          <cell r="S491">
            <v>0</v>
          </cell>
          <cell r="T491">
            <v>0</v>
          </cell>
          <cell r="U491">
            <v>33423500</v>
          </cell>
          <cell r="V491">
            <v>19750250</v>
          </cell>
        </row>
        <row r="492">
          <cell r="J492">
            <v>32</v>
          </cell>
          <cell r="K492">
            <v>43116</v>
          </cell>
          <cell r="L492" t="str">
            <v>ISOLIER ANDRES EGUIS BENITEZ</v>
          </cell>
          <cell r="M492">
            <v>145</v>
          </cell>
          <cell r="N492" t="str">
            <v>CONTRATO DE PRESTACION DE SERVICIOS PROFESIONALES</v>
          </cell>
          <cell r="O492">
            <v>20</v>
          </cell>
          <cell r="P492">
            <v>43116</v>
          </cell>
          <cell r="Q492" t="str">
            <v>Prestación de servicios profesionales para apoyar la estructuración, seguimiento y supervisión de los proyectos asignados por la Dirección de Mejoramiento de Vivienda de la CVP.</v>
          </cell>
          <cell r="R492">
            <v>46865000</v>
          </cell>
          <cell r="S492">
            <v>0</v>
          </cell>
          <cell r="T492">
            <v>0</v>
          </cell>
          <cell r="U492">
            <v>46865000</v>
          </cell>
          <cell r="V492">
            <v>43517500</v>
          </cell>
        </row>
        <row r="493">
          <cell r="J493">
            <v>33</v>
          </cell>
          <cell r="K493">
            <v>43116</v>
          </cell>
          <cell r="L493" t="str">
            <v>EDGAR ANDRES PASTRAN CHAUX</v>
          </cell>
          <cell r="M493">
            <v>145</v>
          </cell>
          <cell r="N493" t="str">
            <v>CONTRATO DE PRESTACION DE SERVICIOS PROFESIONALES</v>
          </cell>
          <cell r="O493">
            <v>23</v>
          </cell>
          <cell r="P493">
            <v>43116</v>
          </cell>
          <cell r="Q493" t="str">
            <v>Prestación de servicios profesionales para apoyar la estructuración, seguimiento y supervisión de los proyectos asignados por la Dirección de Mejoramiento de Vivienda de la CVP</v>
          </cell>
          <cell r="R493">
            <v>35256900</v>
          </cell>
          <cell r="S493">
            <v>0</v>
          </cell>
          <cell r="T493">
            <v>0</v>
          </cell>
          <cell r="U493">
            <v>35256900</v>
          </cell>
          <cell r="V493">
            <v>32738550</v>
          </cell>
        </row>
        <row r="494">
          <cell r="J494">
            <v>34</v>
          </cell>
          <cell r="K494">
            <v>43116</v>
          </cell>
          <cell r="L494" t="str">
            <v>MONICA  AVILA CANTOR</v>
          </cell>
          <cell r="M494">
            <v>145</v>
          </cell>
          <cell r="N494" t="str">
            <v>CONTRATO DE PRESTACION DE SERVICIOS PROFESIONALES</v>
          </cell>
          <cell r="O494">
            <v>21</v>
          </cell>
          <cell r="P494">
            <v>43116</v>
          </cell>
          <cell r="Q494" t="str">
            <v>Prestar los servicios profesionales para apoyar la supervisión Social de las obras de los proyectos territoriales, además de efectuar la gestión social a los hogares de los territoriales dirigidos que se presenten para optar al Subsidio Distrital de Vivienda en especie.</v>
          </cell>
          <cell r="R494">
            <v>28840000</v>
          </cell>
          <cell r="S494">
            <v>0</v>
          </cell>
          <cell r="T494">
            <v>0</v>
          </cell>
          <cell r="U494">
            <v>28840000</v>
          </cell>
          <cell r="V494">
            <v>26780000</v>
          </cell>
        </row>
        <row r="495">
          <cell r="J495">
            <v>45</v>
          </cell>
          <cell r="K495">
            <v>43116</v>
          </cell>
          <cell r="L495" t="str">
            <v>LINA MARIA AZUERO GUTIERREZ</v>
          </cell>
          <cell r="M495">
            <v>145</v>
          </cell>
          <cell r="N495" t="str">
            <v>CONTRATO DE PRESTACION DE SERVICIOS PROFESIONALES</v>
          </cell>
          <cell r="O495">
            <v>36</v>
          </cell>
          <cell r="P495">
            <v>43116</v>
          </cell>
          <cell r="Q495" t="str">
            <v>Prestación de servicios profesionales en los procesos misionales y proyectos especiales, para apoyar la gestión, planeación, concertación y seguimiento a los planes y cronogramas del componente social.</v>
          </cell>
          <cell r="R495">
            <v>22660000</v>
          </cell>
          <cell r="S495">
            <v>0</v>
          </cell>
          <cell r="T495">
            <v>0</v>
          </cell>
          <cell r="U495">
            <v>22660000</v>
          </cell>
          <cell r="V495">
            <v>12360000</v>
          </cell>
        </row>
        <row r="496">
          <cell r="J496">
            <v>61</v>
          </cell>
          <cell r="K496">
            <v>43116</v>
          </cell>
          <cell r="L496" t="str">
            <v>ROBERTO MANUEL CARRILLO RODRIGUEZ</v>
          </cell>
          <cell r="M496">
            <v>145</v>
          </cell>
          <cell r="N496" t="str">
            <v>CONTRATO DE PRESTACION DE SERVICIOS PROFESIONALES</v>
          </cell>
          <cell r="O496">
            <v>26</v>
          </cell>
          <cell r="P496">
            <v>43116</v>
          </cell>
          <cell r="Q496"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496">
            <v>37389000</v>
          </cell>
          <cell r="S496">
            <v>0</v>
          </cell>
          <cell r="T496">
            <v>0</v>
          </cell>
          <cell r="U496">
            <v>37389000</v>
          </cell>
          <cell r="V496">
            <v>22093500</v>
          </cell>
        </row>
        <row r="497">
          <cell r="J497">
            <v>62</v>
          </cell>
          <cell r="K497">
            <v>43116</v>
          </cell>
          <cell r="L497" t="str">
            <v>CAMILO  GUAJE NIETO</v>
          </cell>
          <cell r="M497">
            <v>145</v>
          </cell>
          <cell r="N497" t="str">
            <v>CONTRATO DE PRESTACION DE SERVICIOS PROFESIONALES</v>
          </cell>
          <cell r="O497">
            <v>27</v>
          </cell>
          <cell r="P497">
            <v>43116</v>
          </cell>
          <cell r="Q497" t="str">
            <v>PRESTACIÓN DE SERVICIOS PROFESIONALES PARA APOYAR LA ESTRUCTURACIÓN, SEGUIMIENTO Y SUPERVISIÓN DE LOS PROYECTOS ASIGNADOS POR LA DIRECCIÓN DE MEJORAMIENTO DE VIVIENDA DE LA CVP.</v>
          </cell>
          <cell r="R497">
            <v>42024000</v>
          </cell>
          <cell r="S497">
            <v>0</v>
          </cell>
          <cell r="T497">
            <v>0</v>
          </cell>
          <cell r="U497">
            <v>42024000</v>
          </cell>
          <cell r="V497">
            <v>34144500</v>
          </cell>
        </row>
        <row r="498">
          <cell r="J498">
            <v>63</v>
          </cell>
          <cell r="K498">
            <v>43116</v>
          </cell>
          <cell r="L498" t="str">
            <v>ADRIANA PAOLA MORALES LOZANO</v>
          </cell>
          <cell r="M498">
            <v>148</v>
          </cell>
          <cell r="N498" t="str">
            <v>CONTRATO DE PRESTACION DE SERVICIOS DE APOYO A LA GESTION</v>
          </cell>
          <cell r="O498">
            <v>28</v>
          </cell>
          <cell r="P498">
            <v>43116</v>
          </cell>
          <cell r="Q498" t="str">
            <v>Prestación de servicios técnicos de apoyo a la gestión documental, inventario y manejo del archivo físico, en cumplimiento de los procedimientos de la Dirección de Mejoramiento de Vivienda de la CVP</v>
          </cell>
          <cell r="R498">
            <v>27192000</v>
          </cell>
          <cell r="S498">
            <v>0</v>
          </cell>
          <cell r="T498">
            <v>0</v>
          </cell>
          <cell r="U498">
            <v>27192000</v>
          </cell>
          <cell r="V498">
            <v>16068000</v>
          </cell>
        </row>
        <row r="499">
          <cell r="J499">
            <v>64</v>
          </cell>
          <cell r="K499">
            <v>43116</v>
          </cell>
          <cell r="L499" t="str">
            <v>FELKYN EDUARDO SANDOVAL NUÑEZ</v>
          </cell>
          <cell r="M499">
            <v>145</v>
          </cell>
          <cell r="N499" t="str">
            <v>CONTRATO DE PRESTACION DE SERVICIOS PROFESIONALES</v>
          </cell>
          <cell r="O499">
            <v>29</v>
          </cell>
          <cell r="P499">
            <v>43116</v>
          </cell>
          <cell r="Q499" t="str">
            <v>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v>
          </cell>
          <cell r="R499">
            <v>79310000</v>
          </cell>
          <cell r="S499">
            <v>0</v>
          </cell>
          <cell r="T499">
            <v>0</v>
          </cell>
          <cell r="U499">
            <v>79310000</v>
          </cell>
          <cell r="V499">
            <v>43019667</v>
          </cell>
        </row>
        <row r="500">
          <cell r="J500">
            <v>65</v>
          </cell>
          <cell r="K500">
            <v>43116</v>
          </cell>
          <cell r="L500" t="str">
            <v>ADALIA  SERRANO RODRIGUEZ</v>
          </cell>
          <cell r="M500">
            <v>145</v>
          </cell>
          <cell r="N500" t="str">
            <v>CONTRATO DE PRESTACION DE SERVICIOS PROFESIONALES</v>
          </cell>
          <cell r="O500">
            <v>30</v>
          </cell>
          <cell r="P500">
            <v>43116</v>
          </cell>
          <cell r="Q500" t="str">
            <v>Prestación de servicios profesionales para apoyar la estructuración, seguimiento y supervisión de los proyectos asignados por la Dirección de Mejoramiento de Vivienda de la CVP.</v>
          </cell>
          <cell r="R500">
            <v>57783000</v>
          </cell>
          <cell r="S500">
            <v>0</v>
          </cell>
          <cell r="T500">
            <v>0</v>
          </cell>
          <cell r="U500">
            <v>57783000</v>
          </cell>
          <cell r="V500">
            <v>34144500</v>
          </cell>
        </row>
        <row r="501">
          <cell r="J501">
            <v>66</v>
          </cell>
          <cell r="K501">
            <v>43116</v>
          </cell>
          <cell r="L501" t="str">
            <v>BELKIS MARIA PEREZ LEMUS</v>
          </cell>
          <cell r="M501">
            <v>148</v>
          </cell>
          <cell r="N501" t="str">
            <v>CONTRATO DE PRESTACION DE SERVICIOS DE APOYO A LA GESTION</v>
          </cell>
          <cell r="O501">
            <v>31</v>
          </cell>
          <cell r="P501">
            <v>43116</v>
          </cell>
          <cell r="Q501" t="str">
            <v>Prestar servicios asistenciales en la Gestión Documental, captura de datos, inventario y manejo de archivo físico, en cumplimiento de los procedimientos de la Dirección de Mejoramiento de Vivienda de la CVP</v>
          </cell>
          <cell r="R501">
            <v>16995000</v>
          </cell>
          <cell r="S501">
            <v>0</v>
          </cell>
          <cell r="T501">
            <v>0</v>
          </cell>
          <cell r="U501">
            <v>16995000</v>
          </cell>
          <cell r="V501">
            <v>10042500</v>
          </cell>
        </row>
        <row r="502">
          <cell r="J502">
            <v>67</v>
          </cell>
          <cell r="K502">
            <v>43116</v>
          </cell>
          <cell r="L502" t="str">
            <v>MARTHA CONSUELO CASAS GARZON</v>
          </cell>
          <cell r="M502">
            <v>145</v>
          </cell>
          <cell r="N502" t="str">
            <v>CONTRATO DE PRESTACION DE SERVICIOS PROFESIONALES</v>
          </cell>
          <cell r="O502">
            <v>32</v>
          </cell>
          <cell r="P502">
            <v>43116</v>
          </cell>
          <cell r="Q502" t="str">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v>
          </cell>
          <cell r="R502">
            <v>45320000</v>
          </cell>
          <cell r="S502">
            <v>0</v>
          </cell>
          <cell r="T502">
            <v>0</v>
          </cell>
          <cell r="U502">
            <v>45320000</v>
          </cell>
          <cell r="V502">
            <v>26780000</v>
          </cell>
        </row>
        <row r="503">
          <cell r="J503">
            <v>77</v>
          </cell>
          <cell r="K503">
            <v>43116</v>
          </cell>
          <cell r="L503" t="str">
            <v>CARMEN SOFIA TINOCO MENDOZA</v>
          </cell>
          <cell r="M503">
            <v>145</v>
          </cell>
          <cell r="N503" t="str">
            <v>CONTRATO DE PRESTACION DE SERVICIOS PROFESIONALES</v>
          </cell>
          <cell r="O503">
            <v>69</v>
          </cell>
          <cell r="P503">
            <v>43116</v>
          </cell>
          <cell r="Q503" t="str">
            <v>PRESTACIÓN DE SERVICIOS PROFESIONALES PARA APOYAR LA ESTRUCTURACIÓN, SEGUIMIENTO Y SUPERVISIÓN DE LOS PROYECTOS ASIGNADOS POR LA DIRECCIÓN DE MEJORAMIENTO DE VIVIENDA DE LA CVP.</v>
          </cell>
          <cell r="R503">
            <v>62315000</v>
          </cell>
          <cell r="S503">
            <v>0</v>
          </cell>
          <cell r="T503">
            <v>0</v>
          </cell>
          <cell r="U503">
            <v>62315000</v>
          </cell>
          <cell r="V503">
            <v>36633667</v>
          </cell>
        </row>
        <row r="504">
          <cell r="J504">
            <v>78</v>
          </cell>
          <cell r="K504">
            <v>43116</v>
          </cell>
          <cell r="L504" t="str">
            <v>ASTRID ROCIO MUÑOZ QUIROGA</v>
          </cell>
          <cell r="M504">
            <v>148</v>
          </cell>
          <cell r="N504" t="str">
            <v>CONTRATO DE PRESTACION DE SERVICIOS DE APOYO A LA GESTION</v>
          </cell>
          <cell r="O504">
            <v>67</v>
          </cell>
          <cell r="P504">
            <v>43116</v>
          </cell>
          <cell r="Q504" t="str">
            <v>Prestar servicios asistenciales en la Gestión Documental, captura de datos, inventario y manejo de archivo físico, en cumplimiento de los procedimientos de la Dirección de Mejoramiento de Vivienda de la CVP.</v>
          </cell>
          <cell r="R504">
            <v>16995000</v>
          </cell>
          <cell r="S504">
            <v>0</v>
          </cell>
          <cell r="T504">
            <v>0</v>
          </cell>
          <cell r="U504">
            <v>16995000</v>
          </cell>
          <cell r="V504">
            <v>6901000</v>
          </cell>
        </row>
        <row r="505">
          <cell r="J505">
            <v>104</v>
          </cell>
          <cell r="K505">
            <v>43116</v>
          </cell>
          <cell r="L505" t="str">
            <v>JOSE GIOVANNI VARON CAMELO</v>
          </cell>
          <cell r="M505">
            <v>148</v>
          </cell>
          <cell r="N505" t="str">
            <v>CONTRATO DE PRESTACION DE SERVICIOS DE APOYO A LA GESTION</v>
          </cell>
          <cell r="O505">
            <v>71</v>
          </cell>
          <cell r="P505">
            <v>43116</v>
          </cell>
          <cell r="Q505" t="str">
            <v>PRESTAR SERVICIOS DE APOYO A LA GESTIÓN DOCUMENTAL, INVENTARIO Y MANEJO DEL ARCHIVO FÍSICO, EN CUMPLIMIENTO DE LOS PROCEDIMIENTOS DE LA DIRECCIÓN DE MEJORAMIENTO DE VIVIENDA DE LA CVP.</v>
          </cell>
          <cell r="R505">
            <v>16995000</v>
          </cell>
          <cell r="S505">
            <v>16995000</v>
          </cell>
          <cell r="T505">
            <v>0</v>
          </cell>
          <cell r="U505">
            <v>0</v>
          </cell>
          <cell r="V505">
            <v>0</v>
          </cell>
        </row>
        <row r="506">
          <cell r="J506">
            <v>108</v>
          </cell>
          <cell r="K506">
            <v>43116</v>
          </cell>
          <cell r="L506" t="str">
            <v>JOSE GIOVANNI VARON CAMELO</v>
          </cell>
          <cell r="M506">
            <v>148</v>
          </cell>
          <cell r="N506" t="str">
            <v>CONTRATO DE PRESTACION DE SERVICIOS DE APOYO A LA GESTION</v>
          </cell>
          <cell r="O506">
            <v>71</v>
          </cell>
          <cell r="P506">
            <v>43116</v>
          </cell>
          <cell r="Q506" t="str">
            <v>PRESTACION DE SERVICIOS DE APOYO A LA GESTIÓN DOCUMENTAL, INVENTARIO Y MANEJO DEL ARCHIVO FÍSICO, EN CUMPLIMIENTO DE LOS PROCEDIMIENTOS DE LA DIRECCIÓN DE MEJORAMIENTO DE VIVIENDA DE LA CVP.</v>
          </cell>
          <cell r="R506">
            <v>16995000</v>
          </cell>
          <cell r="S506">
            <v>0</v>
          </cell>
          <cell r="T506">
            <v>0</v>
          </cell>
          <cell r="U506">
            <v>16995000</v>
          </cell>
          <cell r="V506">
            <v>8446000</v>
          </cell>
        </row>
        <row r="507">
          <cell r="J507">
            <v>135</v>
          </cell>
          <cell r="K507">
            <v>43117</v>
          </cell>
          <cell r="L507" t="str">
            <v>JUAN PABLO SANTIAGO CASTELLANO MACIAS</v>
          </cell>
          <cell r="M507">
            <v>145</v>
          </cell>
          <cell r="N507" t="str">
            <v>CONTRATO DE PRESTACION DE SERVICIOS PROFESIONALES</v>
          </cell>
          <cell r="O507">
            <v>144</v>
          </cell>
          <cell r="P507">
            <v>43117</v>
          </cell>
          <cell r="Q507"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507">
            <v>37389000</v>
          </cell>
          <cell r="S507">
            <v>0</v>
          </cell>
          <cell r="T507">
            <v>0</v>
          </cell>
          <cell r="U507">
            <v>37389000</v>
          </cell>
          <cell r="V507">
            <v>21866900</v>
          </cell>
        </row>
        <row r="508">
          <cell r="J508">
            <v>137</v>
          </cell>
          <cell r="K508">
            <v>43117</v>
          </cell>
          <cell r="L508" t="str">
            <v>DORIS MARSELLA GARCIA PRIETO</v>
          </cell>
          <cell r="M508">
            <v>145</v>
          </cell>
          <cell r="N508" t="str">
            <v>CONTRATO DE PRESTACION DE SERVICIOS PROFESIONALES</v>
          </cell>
          <cell r="O508">
            <v>145</v>
          </cell>
          <cell r="P508">
            <v>43117</v>
          </cell>
          <cell r="Q508" t="str">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508">
            <v>45320000</v>
          </cell>
          <cell r="S508">
            <v>0</v>
          </cell>
          <cell r="T508">
            <v>0</v>
          </cell>
          <cell r="U508">
            <v>45320000</v>
          </cell>
          <cell r="V508">
            <v>26505333</v>
          </cell>
        </row>
        <row r="509">
          <cell r="J509">
            <v>141</v>
          </cell>
          <cell r="K509">
            <v>43117</v>
          </cell>
          <cell r="L509" t="str">
            <v>GLORIA IRAIDA THALJI RAVELO</v>
          </cell>
          <cell r="M509">
            <v>145</v>
          </cell>
          <cell r="N509" t="str">
            <v>CONTRATO DE PRESTACION DE SERVICIOS PROFESIONALES</v>
          </cell>
          <cell r="O509">
            <v>151</v>
          </cell>
          <cell r="P509">
            <v>43117</v>
          </cell>
          <cell r="Q509" t="str">
            <v>Prestar los servicios profesionales para apoyar la supervisión Social de las obras de los proyectos territoriales, además de efectuar la gestión social a los hogares de los territoriales dirigidos que se presenten para optar al Subsidio Distrital de Vivienda en Especie.</v>
          </cell>
          <cell r="R509">
            <v>28840000</v>
          </cell>
          <cell r="S509">
            <v>0</v>
          </cell>
          <cell r="T509">
            <v>0</v>
          </cell>
          <cell r="U509">
            <v>28840000</v>
          </cell>
          <cell r="V509">
            <v>26505333</v>
          </cell>
        </row>
        <row r="510">
          <cell r="J510">
            <v>143</v>
          </cell>
          <cell r="K510">
            <v>43117</v>
          </cell>
          <cell r="L510" t="str">
            <v>JOHN ALEXANDER CORREDOR FONSECA</v>
          </cell>
          <cell r="M510">
            <v>145</v>
          </cell>
          <cell r="N510" t="str">
            <v>CONTRATO DE PRESTACION DE SERVICIOS PROFESIONALES</v>
          </cell>
          <cell r="O510">
            <v>152</v>
          </cell>
          <cell r="P510">
            <v>43117</v>
          </cell>
          <cell r="Q510" t="str">
            <v>Prestación de servicios profesionales para apoyar la estructuración, seguimiento y supervisión de los proyectos asignados por la Dirección de Mejoramiento de Vivienda de la CVP.</v>
          </cell>
          <cell r="R510">
            <v>46865000</v>
          </cell>
          <cell r="S510">
            <v>0</v>
          </cell>
          <cell r="T510">
            <v>0</v>
          </cell>
          <cell r="U510">
            <v>46865000</v>
          </cell>
          <cell r="V510">
            <v>43071167</v>
          </cell>
        </row>
        <row r="511">
          <cell r="J511">
            <v>147</v>
          </cell>
          <cell r="K511">
            <v>43117</v>
          </cell>
          <cell r="L511" t="str">
            <v>JULY PAOLA TORRES RISCANEVO</v>
          </cell>
          <cell r="M511">
            <v>145</v>
          </cell>
          <cell r="N511" t="str">
            <v>CONTRATO DE PRESTACION DE SERVICIOS PROFESIONALES</v>
          </cell>
          <cell r="O511">
            <v>155</v>
          </cell>
          <cell r="P511">
            <v>43117</v>
          </cell>
          <cell r="Q511" t="str">
            <v>PRESTAR LOS SERVICIOS PROFESIONALES EN LA IMPLEMENTACIÓN Y SEGUIMIENTO DE LA POLÍTICA DE RESPONSABILIDAD SOCIAL, BAJO LOS TRES PILARES DE SOSTENIBILIDAD A LOS PROCESOS DE GESTIÓN MISIONAL DE LA ENTIDAD.</v>
          </cell>
          <cell r="R511">
            <v>22591333</v>
          </cell>
          <cell r="S511">
            <v>22591333</v>
          </cell>
          <cell r="T511">
            <v>0</v>
          </cell>
          <cell r="U511">
            <v>0</v>
          </cell>
          <cell r="V511">
            <v>0</v>
          </cell>
        </row>
        <row r="512">
          <cell r="J512">
            <v>153</v>
          </cell>
          <cell r="K512">
            <v>43117</v>
          </cell>
          <cell r="L512" t="str">
            <v>JULY PAOLA TORRES RISCANEVO</v>
          </cell>
          <cell r="M512">
            <v>145</v>
          </cell>
          <cell r="N512" t="str">
            <v>CONTRATO DE PRESTACION DE SERVICIOS PROFESIONALES</v>
          </cell>
          <cell r="O512">
            <v>155</v>
          </cell>
          <cell r="P512">
            <v>43117</v>
          </cell>
          <cell r="Q512" t="str">
            <v>PRESTAR SERVICIOS PROFESIONALES PARA EL DESARROLLO DE LA POLITICA DE RESPONSABILIDAD SOCIAL, BAJO LOS TRES PILARES DE SOSTENIBILIDAD A LOS PROCESOS DE GESTION MISIONAL DE LA CAJA DE LA VIVIENDA POPULAR.</v>
          </cell>
          <cell r="R512">
            <v>22591333</v>
          </cell>
          <cell r="S512">
            <v>0</v>
          </cell>
          <cell r="T512">
            <v>0</v>
          </cell>
          <cell r="U512">
            <v>22591333</v>
          </cell>
          <cell r="V512">
            <v>13252666</v>
          </cell>
        </row>
        <row r="513">
          <cell r="J513">
            <v>156</v>
          </cell>
          <cell r="K513">
            <v>43118</v>
          </cell>
          <cell r="L513" t="str">
            <v>JOSE GABRIEL MENDOZA SANTOS</v>
          </cell>
          <cell r="M513">
            <v>145</v>
          </cell>
          <cell r="N513" t="str">
            <v>CONTRATO DE PRESTACION DE SERVICIOS PROFESIONALES</v>
          </cell>
          <cell r="O513">
            <v>128</v>
          </cell>
          <cell r="P513">
            <v>43118</v>
          </cell>
          <cell r="Q513"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513">
            <v>37389000</v>
          </cell>
          <cell r="S513">
            <v>0</v>
          </cell>
          <cell r="T513">
            <v>0</v>
          </cell>
          <cell r="U513">
            <v>37389000</v>
          </cell>
          <cell r="V513">
            <v>21866900</v>
          </cell>
        </row>
        <row r="514">
          <cell r="J514">
            <v>169</v>
          </cell>
          <cell r="K514">
            <v>43118</v>
          </cell>
          <cell r="L514" t="str">
            <v>EDINSON  AGUJA MATOMA</v>
          </cell>
          <cell r="M514">
            <v>148</v>
          </cell>
          <cell r="N514" t="str">
            <v>CONTRATO DE PRESTACION DE SERVICIOS DE APOYO A LA GESTION</v>
          </cell>
          <cell r="O514">
            <v>140</v>
          </cell>
          <cell r="P514">
            <v>43118</v>
          </cell>
          <cell r="Q514" t="str">
            <v>PRESTAR SERVICIOS ASISTENCIALES EN LA GESTIÓN DOCUMENTAL, CAPTURA DE DATOS, INVENTARIO Y MANEJO DEL ARCHIVO FÍSICO, EN CUMPLIMIENTO DE LOS PROCEDIMIENTOS DE LA DIRECCIÓN DE MEJORAMIENTO DE VIVIENDA DE LA CVP.</v>
          </cell>
          <cell r="R514">
            <v>16995000</v>
          </cell>
          <cell r="S514">
            <v>0</v>
          </cell>
          <cell r="T514">
            <v>0</v>
          </cell>
          <cell r="U514">
            <v>16995000</v>
          </cell>
          <cell r="V514">
            <v>9888000</v>
          </cell>
        </row>
        <row r="515">
          <cell r="J515">
            <v>174</v>
          </cell>
          <cell r="K515">
            <v>43118</v>
          </cell>
          <cell r="L515" t="str">
            <v>JUAN PABLO LUGO BOTELLO</v>
          </cell>
          <cell r="M515">
            <v>145</v>
          </cell>
          <cell r="N515" t="str">
            <v>CONTRATO DE PRESTACION DE SERVICIOS PROFESIONALES</v>
          </cell>
          <cell r="O515">
            <v>100</v>
          </cell>
          <cell r="P515">
            <v>43118</v>
          </cell>
          <cell r="Q515" t="str">
            <v>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v>
          </cell>
          <cell r="R515">
            <v>79310000</v>
          </cell>
          <cell r="S515">
            <v>0</v>
          </cell>
          <cell r="T515">
            <v>0</v>
          </cell>
          <cell r="U515">
            <v>79310000</v>
          </cell>
          <cell r="V515">
            <v>46384333</v>
          </cell>
        </row>
        <row r="516">
          <cell r="J516">
            <v>179</v>
          </cell>
          <cell r="K516">
            <v>43118</v>
          </cell>
          <cell r="L516" t="str">
            <v>MONICA VIVIANA CEBALLOS CRIOLLO</v>
          </cell>
          <cell r="M516">
            <v>145</v>
          </cell>
          <cell r="N516" t="str">
            <v>CONTRATO DE PRESTACION DE SERVICIOS PROFESIONALES</v>
          </cell>
          <cell r="O516">
            <v>160</v>
          </cell>
          <cell r="P516">
            <v>43118</v>
          </cell>
          <cell r="Q516" t="str">
            <v>CONTRATAR LOS SERVICIOS PROFESIONALES DE UN COMUNICADOR SOCIAL QUE DESARROLLE LA INFORMACION PERIODISTICA DE LAS AREAS MISIONALES, PARA FORTALECER LOS CANALES DE COMUNICACIÓN INTERNOS Y EXTERNOS DE LA ENTIDAD, CONFORME A LA ESTRATEGIA DE COMUNICACIONES DE LA CAJA DE LA VIVIENDA POPULAR.</v>
          </cell>
          <cell r="R516">
            <v>13850925</v>
          </cell>
          <cell r="S516">
            <v>0</v>
          </cell>
          <cell r="T516">
            <v>0</v>
          </cell>
          <cell r="U516">
            <v>13850925</v>
          </cell>
          <cell r="V516">
            <v>8100694</v>
          </cell>
        </row>
        <row r="517">
          <cell r="J517">
            <v>196</v>
          </cell>
          <cell r="K517">
            <v>43118</v>
          </cell>
          <cell r="L517" t="str">
            <v>LEDYS MARCELA AJIACO AJIACO</v>
          </cell>
          <cell r="M517">
            <v>145</v>
          </cell>
          <cell r="N517" t="str">
            <v>CONTRATO DE PRESTACION DE SERVICIOS PROFESIONALES</v>
          </cell>
          <cell r="O517">
            <v>182</v>
          </cell>
          <cell r="P517">
            <v>43118</v>
          </cell>
          <cell r="Q517" t="str">
            <v>Prestar los servicios profesionales para apoyar el control y evaluación financiera durante la ejecución, avance y cumplimiento del proyecto Mejoramiento de vivienda en sus condiciones físicas y de habitabilidad en los asentamientos humanos priorizados en área urbana y rural.</v>
          </cell>
          <cell r="R517">
            <v>57783000</v>
          </cell>
          <cell r="S517">
            <v>0</v>
          </cell>
          <cell r="T517">
            <v>0</v>
          </cell>
          <cell r="U517">
            <v>57783000</v>
          </cell>
          <cell r="V517">
            <v>33619200</v>
          </cell>
        </row>
        <row r="518">
          <cell r="J518">
            <v>200</v>
          </cell>
          <cell r="K518">
            <v>43118</v>
          </cell>
          <cell r="L518" t="str">
            <v>HECTOR JULIO CASTAÑEDA PULIDO</v>
          </cell>
          <cell r="M518">
            <v>145</v>
          </cell>
          <cell r="N518" t="str">
            <v>CONTRATO DE PRESTACION DE SERVICIOS PROFESIONALES</v>
          </cell>
          <cell r="O518">
            <v>189</v>
          </cell>
          <cell r="P518">
            <v>43118</v>
          </cell>
          <cell r="Q518" t="str">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518">
            <v>45320000</v>
          </cell>
          <cell r="S518">
            <v>0</v>
          </cell>
          <cell r="T518">
            <v>0</v>
          </cell>
          <cell r="U518">
            <v>45320000</v>
          </cell>
          <cell r="V518">
            <v>26368000</v>
          </cell>
        </row>
        <row r="519">
          <cell r="J519">
            <v>211</v>
          </cell>
          <cell r="K519">
            <v>43118</v>
          </cell>
          <cell r="L519" t="str">
            <v>CAROL JINETH PEREZ SALVADOR</v>
          </cell>
          <cell r="M519">
            <v>148</v>
          </cell>
          <cell r="N519" t="str">
            <v>CONTRATO DE PRESTACION DE SERVICIOS DE APOYO A LA GESTION</v>
          </cell>
          <cell r="O519">
            <v>188</v>
          </cell>
          <cell r="P519">
            <v>43118</v>
          </cell>
          <cell r="Q519"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519">
            <v>33423500</v>
          </cell>
          <cell r="S519">
            <v>0</v>
          </cell>
          <cell r="T519">
            <v>0</v>
          </cell>
          <cell r="U519">
            <v>33423500</v>
          </cell>
          <cell r="V519">
            <v>19446400</v>
          </cell>
        </row>
        <row r="520">
          <cell r="J520">
            <v>222</v>
          </cell>
          <cell r="K520">
            <v>43118</v>
          </cell>
          <cell r="L520" t="str">
            <v>EDGAR  GOYENECHE MUÑOZ</v>
          </cell>
          <cell r="M520">
            <v>145</v>
          </cell>
          <cell r="N520" t="str">
            <v>CONTRATO DE PRESTACION DE SERVICIOS PROFESIONALES</v>
          </cell>
          <cell r="O520">
            <v>193</v>
          </cell>
          <cell r="P520">
            <v>43118</v>
          </cell>
          <cell r="Q520" t="str">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520">
            <v>90640000</v>
          </cell>
          <cell r="S520">
            <v>0</v>
          </cell>
          <cell r="T520">
            <v>0</v>
          </cell>
          <cell r="U520">
            <v>90640000</v>
          </cell>
          <cell r="V520">
            <v>52736000</v>
          </cell>
        </row>
        <row r="521">
          <cell r="J521">
            <v>240</v>
          </cell>
          <cell r="K521">
            <v>43119</v>
          </cell>
          <cell r="L521" t="str">
            <v>RONALD  ARCILA MORENO</v>
          </cell>
          <cell r="M521">
            <v>145</v>
          </cell>
          <cell r="N521" t="str">
            <v>CONTRATO DE PRESTACION DE SERVICIOS PROFESIONALES</v>
          </cell>
          <cell r="O521">
            <v>221</v>
          </cell>
          <cell r="P521">
            <v>43119</v>
          </cell>
          <cell r="Q521" t="str">
            <v>Prestación de servicios profesionales para apoyar la estructuración, seguimiento y supervisión de los proyectos asignados por la Dirección de Mejoramiento de Vivienda de la CVP.</v>
          </cell>
          <cell r="R521">
            <v>73645000</v>
          </cell>
          <cell r="S521">
            <v>0</v>
          </cell>
          <cell r="T521">
            <v>0</v>
          </cell>
          <cell r="U521">
            <v>73645000</v>
          </cell>
          <cell r="V521">
            <v>42178500</v>
          </cell>
        </row>
        <row r="522">
          <cell r="J522">
            <v>266</v>
          </cell>
          <cell r="K522">
            <v>43119</v>
          </cell>
          <cell r="L522" t="str">
            <v>OLGA YOLIMA ROJAS RODRIGUEZ</v>
          </cell>
          <cell r="M522">
            <v>145</v>
          </cell>
          <cell r="N522" t="str">
            <v>CONTRATO DE PRESTACION DE SERVICIOS PROFESIONALES</v>
          </cell>
          <cell r="O522">
            <v>236</v>
          </cell>
          <cell r="P522">
            <v>43119</v>
          </cell>
          <cell r="Q522" t="str">
            <v>Prestación de servicios profesionales apoyando la gestión documental, inventario y manejo del archivo físico, en cumplimiento de los procedimientos de la Dirección de Mejoramiento de Vivienda de la CVP</v>
          </cell>
          <cell r="R522">
            <v>67980000</v>
          </cell>
          <cell r="S522">
            <v>0</v>
          </cell>
          <cell r="T522">
            <v>0</v>
          </cell>
          <cell r="U522">
            <v>67980000</v>
          </cell>
          <cell r="V522">
            <v>38728000</v>
          </cell>
        </row>
        <row r="523">
          <cell r="J523">
            <v>279</v>
          </cell>
          <cell r="K523">
            <v>43122</v>
          </cell>
          <cell r="L523" t="str">
            <v>ALEX FERNANDO GONZALEZ VILLANUEVA</v>
          </cell>
          <cell r="M523">
            <v>148</v>
          </cell>
          <cell r="N523" t="str">
            <v>CONTRATO DE PRESTACION DE SERVICIOS DE APOYO A LA GESTION</v>
          </cell>
          <cell r="O523">
            <v>249</v>
          </cell>
          <cell r="P523">
            <v>43122</v>
          </cell>
          <cell r="Q523" t="str">
            <v>Prestación de servicios técnicos para adelantar el soporte técnico y apoyar desde su experticia en la generación, consolidación y divulgación de información estratégica de los proyectos de la DMV, que contribuya a fortalecer los sistemas de información institucionales.</v>
          </cell>
          <cell r="R523">
            <v>21269500</v>
          </cell>
          <cell r="S523">
            <v>0</v>
          </cell>
          <cell r="T523">
            <v>0</v>
          </cell>
          <cell r="U523">
            <v>21269500</v>
          </cell>
          <cell r="V523">
            <v>18939983</v>
          </cell>
        </row>
        <row r="524">
          <cell r="J524">
            <v>284</v>
          </cell>
          <cell r="K524">
            <v>43122</v>
          </cell>
          <cell r="L524" t="str">
            <v>MARTHA BIBIANA ESTUPIÑAN CRUZ</v>
          </cell>
          <cell r="M524">
            <v>145</v>
          </cell>
          <cell r="N524" t="str">
            <v>CONTRATO DE PRESTACION DE SERVICIOS PROFESIONALES</v>
          </cell>
          <cell r="O524">
            <v>254</v>
          </cell>
          <cell r="P524">
            <v>43122</v>
          </cell>
          <cell r="Q524" t="str">
            <v>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v>
          </cell>
          <cell r="R524">
            <v>45320000</v>
          </cell>
          <cell r="S524">
            <v>0</v>
          </cell>
          <cell r="T524">
            <v>0</v>
          </cell>
          <cell r="U524">
            <v>45320000</v>
          </cell>
          <cell r="V524">
            <v>25956000</v>
          </cell>
        </row>
        <row r="525">
          <cell r="J525">
            <v>285</v>
          </cell>
          <cell r="K525">
            <v>43122</v>
          </cell>
          <cell r="L525" t="str">
            <v>ALMA KARINA DE CASTRO MARÍN</v>
          </cell>
          <cell r="M525">
            <v>145</v>
          </cell>
          <cell r="N525" t="str">
            <v>CONTRATO DE PRESTACION DE SERVICIOS PROFESIONALES</v>
          </cell>
          <cell r="O525">
            <v>255</v>
          </cell>
          <cell r="P525">
            <v>43122</v>
          </cell>
          <cell r="Q525" t="str">
            <v>Prestar los servicios profesionales a la Dirección de Mejoramiento de Vivienda, en la proyección de conceptos, revisión de actos administrativos y demás actualizaciones administrativas y jurídicas requeridas, en concordancia con los procesos propios de la Dirección.</v>
          </cell>
          <cell r="R525">
            <v>62315000</v>
          </cell>
          <cell r="S525">
            <v>0</v>
          </cell>
          <cell r="T525">
            <v>0</v>
          </cell>
          <cell r="U525">
            <v>62315000</v>
          </cell>
          <cell r="V525">
            <v>35689500</v>
          </cell>
        </row>
        <row r="526">
          <cell r="J526">
            <v>292</v>
          </cell>
          <cell r="K526">
            <v>43122</v>
          </cell>
          <cell r="L526" t="str">
            <v>JHON CARLOS RINCON AGREDO</v>
          </cell>
          <cell r="M526">
            <v>145</v>
          </cell>
          <cell r="N526" t="str">
            <v>CONTRATO DE PRESTACION DE SERVICIOS PROFESIONALES</v>
          </cell>
          <cell r="O526">
            <v>261</v>
          </cell>
          <cell r="P526">
            <v>43122</v>
          </cell>
          <cell r="Q526" t="str">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v>
          </cell>
          <cell r="R526">
            <v>9772125</v>
          </cell>
          <cell r="S526">
            <v>0</v>
          </cell>
          <cell r="T526">
            <v>0</v>
          </cell>
          <cell r="U526">
            <v>9772125</v>
          </cell>
          <cell r="V526">
            <v>5596787</v>
          </cell>
        </row>
        <row r="527">
          <cell r="J527">
            <v>306</v>
          </cell>
          <cell r="K527">
            <v>43122</v>
          </cell>
          <cell r="L527" t="str">
            <v>DIANA MARCELA ORDUZ VALBUENA</v>
          </cell>
          <cell r="M527">
            <v>145</v>
          </cell>
          <cell r="N527" t="str">
            <v>CONTRATO DE PRESTACION DE SERVICIOS PROFESIONALES</v>
          </cell>
          <cell r="O527">
            <v>279</v>
          </cell>
          <cell r="P527">
            <v>43122</v>
          </cell>
          <cell r="Q527" t="str">
            <v>Prestación de servicios profesionales para apoyar la estructuración, seguimiento y supervisión de los proyectos asignados por la Dirección de Mejoramiento de Vivienda de la CVP.</v>
          </cell>
          <cell r="R527">
            <v>90640000</v>
          </cell>
          <cell r="S527">
            <v>0</v>
          </cell>
          <cell r="T527">
            <v>0</v>
          </cell>
          <cell r="U527">
            <v>90640000</v>
          </cell>
          <cell r="V527">
            <v>51637333</v>
          </cell>
        </row>
        <row r="528">
          <cell r="J528">
            <v>323</v>
          </cell>
          <cell r="K528">
            <v>43123</v>
          </cell>
          <cell r="L528" t="str">
            <v>MARIA JULIANA CABELLO CERVANTES</v>
          </cell>
          <cell r="M528">
            <v>148</v>
          </cell>
          <cell r="N528" t="str">
            <v>CONTRATO DE PRESTACION DE SERVICIOS DE APOYO A LA GESTION</v>
          </cell>
          <cell r="O528">
            <v>284</v>
          </cell>
          <cell r="P528">
            <v>43123</v>
          </cell>
          <cell r="Q528" t="str">
            <v>PRESTACIÓN DE SERVICIOS TÉCNICOS RELACIONADOS CON LA ELABORACIÓN DE LEVANTAMIENTOS ARQUITECTÓNICOS, PLANOS URBANISTICOS, ARQUITECTONICOS,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528">
            <v>33423500</v>
          </cell>
          <cell r="S528">
            <v>0</v>
          </cell>
          <cell r="T528">
            <v>0</v>
          </cell>
          <cell r="U528">
            <v>33423500</v>
          </cell>
          <cell r="V528">
            <v>18939983</v>
          </cell>
        </row>
        <row r="529">
          <cell r="J529">
            <v>374</v>
          </cell>
          <cell r="K529">
            <v>43124</v>
          </cell>
          <cell r="L529" t="str">
            <v>FRANCISCO JOSE ARGUELLO ROJAS</v>
          </cell>
          <cell r="M529">
            <v>145</v>
          </cell>
          <cell r="N529" t="str">
            <v>CONTRATO DE PRESTACION DE SERVICIOS PROFESIONALES</v>
          </cell>
          <cell r="O529">
            <v>304</v>
          </cell>
          <cell r="P529">
            <v>43124</v>
          </cell>
          <cell r="Q529" t="str">
            <v>Prestar los servicios profesionales para la planeación, realización y desarrollo de contenidos periodísticos que permitan la difusión y divulgación de la gestión solcial que adelanta la CVP con las comunidades, a través de sus programas misionales.</v>
          </cell>
          <cell r="R529">
            <v>11330000</v>
          </cell>
          <cell r="S529">
            <v>0</v>
          </cell>
          <cell r="T529">
            <v>0</v>
          </cell>
          <cell r="U529">
            <v>11330000</v>
          </cell>
          <cell r="V529">
            <v>6420333</v>
          </cell>
        </row>
        <row r="530">
          <cell r="J530">
            <v>399</v>
          </cell>
          <cell r="K530">
            <v>43124</v>
          </cell>
          <cell r="L530" t="str">
            <v>WENDY JULIETH ROJAS CRUZ</v>
          </cell>
          <cell r="M530">
            <v>148</v>
          </cell>
          <cell r="N530" t="str">
            <v>CONTRATO DE PRESTACION DE SERVICIOS DE APOYO A LA GESTION</v>
          </cell>
          <cell r="O530">
            <v>320</v>
          </cell>
          <cell r="P530">
            <v>43124</v>
          </cell>
          <cell r="Q530" t="str">
            <v>Prestación de servicios técnicos de apoyo a la gestión documental, inventario y manejo del archivo físico, en cumplimiento de los procedimientos de la Dirección de Mejoramiento de Vivienda de la CVP.</v>
          </cell>
          <cell r="R530">
            <v>27192000</v>
          </cell>
          <cell r="S530">
            <v>0</v>
          </cell>
          <cell r="T530">
            <v>0</v>
          </cell>
          <cell r="U530">
            <v>27192000</v>
          </cell>
          <cell r="V530">
            <v>15408800</v>
          </cell>
        </row>
        <row r="531">
          <cell r="J531">
            <v>416</v>
          </cell>
          <cell r="K531">
            <v>43124</v>
          </cell>
          <cell r="L531" t="str">
            <v>JOSE ANDRES ACUÑA VIVAS</v>
          </cell>
          <cell r="M531">
            <v>148</v>
          </cell>
          <cell r="N531" t="str">
            <v>CONTRATO DE PRESTACION DE SERVICIOS DE APOYO A LA GESTION</v>
          </cell>
          <cell r="O531">
            <v>337</v>
          </cell>
          <cell r="P531">
            <v>43124</v>
          </cell>
          <cell r="Q531"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531">
            <v>33423500</v>
          </cell>
          <cell r="S531">
            <v>0</v>
          </cell>
          <cell r="T531">
            <v>0</v>
          </cell>
          <cell r="U531">
            <v>33423500</v>
          </cell>
          <cell r="V531">
            <v>18838700</v>
          </cell>
        </row>
        <row r="532">
          <cell r="J532">
            <v>434</v>
          </cell>
          <cell r="K532">
            <v>43124</v>
          </cell>
          <cell r="L532" t="str">
            <v>FERNANDO ENRIQUE OROZCO VARGAS</v>
          </cell>
          <cell r="M532">
            <v>145</v>
          </cell>
          <cell r="N532" t="str">
            <v>CONTRATO DE PRESTACION DE SERVICIOS PROFESIONALES</v>
          </cell>
          <cell r="O532">
            <v>317</v>
          </cell>
          <cell r="P532">
            <v>43124</v>
          </cell>
          <cell r="Q532" t="str">
            <v>Adición y Prórroga al contrato 317,  cuyo objeto es: "Prestar los servicios profesionales para apoyar y acompañar en el proceso de Supervisión de Interventoría de Obras de la Dirección de Mejoramiento de Vivienda, asesorando de acuerdo a la normatividad vigente y planeando alternativas técnicas para su desarrollo.</v>
          </cell>
          <cell r="R532">
            <v>47600000</v>
          </cell>
          <cell r="S532">
            <v>0</v>
          </cell>
          <cell r="T532">
            <v>0</v>
          </cell>
          <cell r="U532">
            <v>47600000</v>
          </cell>
          <cell r="V532">
            <v>47600000</v>
          </cell>
        </row>
        <row r="533">
          <cell r="J533">
            <v>467</v>
          </cell>
          <cell r="K533">
            <v>43126</v>
          </cell>
          <cell r="L533" t="str">
            <v>JAVIER  BENITEZ BARAJAS</v>
          </cell>
          <cell r="M533">
            <v>145</v>
          </cell>
          <cell r="N533" t="str">
            <v>CONTRATO DE PRESTACION DE SERVICIOS PROFESIONALES</v>
          </cell>
          <cell r="O533">
            <v>394</v>
          </cell>
          <cell r="P533">
            <v>43126</v>
          </cell>
          <cell r="Q533" t="str">
            <v>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533">
            <v>27192000</v>
          </cell>
          <cell r="S533">
            <v>0</v>
          </cell>
          <cell r="T533">
            <v>0</v>
          </cell>
          <cell r="U533">
            <v>27192000</v>
          </cell>
          <cell r="V533">
            <v>20960500</v>
          </cell>
        </row>
        <row r="534">
          <cell r="J534">
            <v>470</v>
          </cell>
          <cell r="K534">
            <v>43126</v>
          </cell>
          <cell r="L534" t="str">
            <v>WILLIAM ALEXANDER GUTIERREZ GUTIERREZ</v>
          </cell>
          <cell r="M534">
            <v>148</v>
          </cell>
          <cell r="N534" t="str">
            <v>CONTRATO DE PRESTACION DE SERVICIOS DE APOYO A LA GESTION</v>
          </cell>
          <cell r="O534">
            <v>397</v>
          </cell>
          <cell r="P534">
            <v>43126</v>
          </cell>
          <cell r="Q534" t="str">
            <v>PRESTAR LOS SERVICIOS TÉCNICOS A LA DIRECCIÓN DE MEJORAMIENTO DE VIVIENDA, EN LA PROYECCIÓN DE CONCEPTOS, REVISIÓN DE ACTOS ADMINISTRATIVOS Y DEMÁS ACTUALIZACIONES ADMINISTRATIVAS Y JURÍDICAS REQUERIDAS, EN CONCORDANCIA CON LOS PROCESOS PROPIOS DE LA DIRECCIÓN.</v>
          </cell>
          <cell r="R534">
            <v>19776000</v>
          </cell>
          <cell r="S534">
            <v>5520800</v>
          </cell>
          <cell r="T534">
            <v>0</v>
          </cell>
          <cell r="U534">
            <v>14255200</v>
          </cell>
          <cell r="V534">
            <v>14255200</v>
          </cell>
        </row>
        <row r="535">
          <cell r="J535">
            <v>472</v>
          </cell>
          <cell r="K535">
            <v>43126</v>
          </cell>
          <cell r="L535" t="str">
            <v>FABIO ANDRES MORALES CLEVES</v>
          </cell>
          <cell r="M535">
            <v>148</v>
          </cell>
          <cell r="N535" t="str">
            <v>CONTRATO DE PRESTACION DE SERVICIOS DE APOYO A LA GESTION</v>
          </cell>
          <cell r="O535">
            <v>398</v>
          </cell>
          <cell r="P535">
            <v>43126</v>
          </cell>
          <cell r="Q535"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535">
            <v>21269500</v>
          </cell>
          <cell r="S535">
            <v>0</v>
          </cell>
          <cell r="T535">
            <v>0</v>
          </cell>
          <cell r="U535">
            <v>21269500</v>
          </cell>
          <cell r="V535">
            <v>18737417</v>
          </cell>
        </row>
        <row r="536">
          <cell r="J536">
            <v>649</v>
          </cell>
          <cell r="K536">
            <v>43133</v>
          </cell>
          <cell r="L536" t="str">
            <v>GIOVANNI  QUIROGA BERMUDEZ</v>
          </cell>
          <cell r="M536">
            <v>145</v>
          </cell>
          <cell r="N536" t="str">
            <v>CONTRATO DE PRESTACION DE SERVICIOS PROFESIONALES</v>
          </cell>
          <cell r="O536">
            <v>348</v>
          </cell>
          <cell r="P536">
            <v>43133</v>
          </cell>
          <cell r="Q536" t="str">
            <v>Adición y prórroga al contrato 348 cuyo objeto es: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536">
            <v>25500000</v>
          </cell>
          <cell r="S536">
            <v>25500000</v>
          </cell>
          <cell r="T536">
            <v>0</v>
          </cell>
          <cell r="U536">
            <v>0</v>
          </cell>
          <cell r="V536">
            <v>0</v>
          </cell>
        </row>
        <row r="537">
          <cell r="J537">
            <v>650</v>
          </cell>
          <cell r="K537">
            <v>43133</v>
          </cell>
          <cell r="L537" t="str">
            <v>GIOVANNI  QUIROGA BERMUDEZ</v>
          </cell>
          <cell r="M537">
            <v>145</v>
          </cell>
          <cell r="N537" t="str">
            <v>CONTRATO DE PRESTACION DE SERVICIOS PROFESIONALES</v>
          </cell>
          <cell r="O537">
            <v>348</v>
          </cell>
          <cell r="P537">
            <v>43133</v>
          </cell>
          <cell r="Q537" t="str">
            <v>ADICIÓN Y PRÓRROGA AL CONTRATO 348 DE 2017 CUYO OBJETO ES: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537">
            <v>25500000</v>
          </cell>
          <cell r="S537">
            <v>0</v>
          </cell>
          <cell r="T537">
            <v>0</v>
          </cell>
          <cell r="U537">
            <v>25500000</v>
          </cell>
          <cell r="V537">
            <v>25500000</v>
          </cell>
        </row>
        <row r="538">
          <cell r="J538">
            <v>723</v>
          </cell>
          <cell r="K538">
            <v>43136</v>
          </cell>
          <cell r="L538" t="str">
            <v>POSITIVA COMPAÑIA DE SEGUROS SA</v>
          </cell>
          <cell r="M538">
            <v>30</v>
          </cell>
          <cell r="N538" t="str">
            <v>ORDEN DE PRESTACION DE SERVICIOS</v>
          </cell>
          <cell r="O538">
            <v>2</v>
          </cell>
          <cell r="P538">
            <v>43136</v>
          </cell>
          <cell r="Q538"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FEBRERO 2018</v>
          </cell>
          <cell r="R538">
            <v>297900</v>
          </cell>
          <cell r="S538">
            <v>0</v>
          </cell>
          <cell r="T538">
            <v>0</v>
          </cell>
          <cell r="U538">
            <v>297900</v>
          </cell>
          <cell r="V538">
            <v>297900</v>
          </cell>
        </row>
        <row r="539">
          <cell r="J539">
            <v>1540</v>
          </cell>
          <cell r="K539">
            <v>43165</v>
          </cell>
          <cell r="L539" t="str">
            <v>POSITIVA COMPAÑIA DE SEGUROS SA</v>
          </cell>
          <cell r="M539">
            <v>30</v>
          </cell>
          <cell r="N539" t="str">
            <v>ORDEN DE PRESTACION DE SERVICIOS</v>
          </cell>
          <cell r="O539">
            <v>3</v>
          </cell>
          <cell r="P539">
            <v>43165</v>
          </cell>
          <cell r="Q539"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MARZO DE 2018</v>
          </cell>
          <cell r="R539">
            <v>929100</v>
          </cell>
          <cell r="S539">
            <v>0</v>
          </cell>
          <cell r="T539">
            <v>0</v>
          </cell>
          <cell r="U539">
            <v>929100</v>
          </cell>
          <cell r="V539">
            <v>929100</v>
          </cell>
        </row>
        <row r="540">
          <cell r="J540">
            <v>1666</v>
          </cell>
          <cell r="K540">
            <v>43194</v>
          </cell>
          <cell r="L540" t="str">
            <v>POSITIVA COMPAÑIA DE SEGUROS SA</v>
          </cell>
          <cell r="M540">
            <v>30</v>
          </cell>
          <cell r="N540" t="str">
            <v>ORDEN DE PRESTACION DE SERVICIOS</v>
          </cell>
          <cell r="O540">
            <v>4</v>
          </cell>
          <cell r="P540">
            <v>43194</v>
          </cell>
          <cell r="Q540"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ABRIL DE 2018</v>
          </cell>
          <cell r="R540">
            <v>929100</v>
          </cell>
          <cell r="S540">
            <v>0</v>
          </cell>
          <cell r="T540">
            <v>0</v>
          </cell>
          <cell r="U540">
            <v>929100</v>
          </cell>
          <cell r="V540">
            <v>929100</v>
          </cell>
        </row>
        <row r="541">
          <cell r="J541">
            <v>1776</v>
          </cell>
          <cell r="K541">
            <v>43202</v>
          </cell>
          <cell r="L541" t="str">
            <v>MARITZA  FONTECHA OTALORA</v>
          </cell>
          <cell r="M541">
            <v>148</v>
          </cell>
          <cell r="N541" t="str">
            <v>CONTRATO DE PRESTACION DE SERVICIOS DE APOYO A LA GESTION</v>
          </cell>
          <cell r="O541">
            <v>145</v>
          </cell>
          <cell r="P541">
            <v>43202</v>
          </cell>
          <cell r="Q541" t="str">
            <v>Adición y Prórroga al contrato 145, cuyo objeto es: "Prestar servicios asistenciales en la Gestión Documental, captura de datos, inventario y manejo de archivo físico, en cumplimiento de los procedimientos de la Dirección de Mejoramiento de Vivienda de la CVP".</v>
          </cell>
          <cell r="R541">
            <v>3000000</v>
          </cell>
          <cell r="S541">
            <v>0</v>
          </cell>
          <cell r="T541">
            <v>0</v>
          </cell>
          <cell r="U541">
            <v>3000000</v>
          </cell>
          <cell r="V541">
            <v>3000000</v>
          </cell>
        </row>
        <row r="542">
          <cell r="J542">
            <v>1856</v>
          </cell>
          <cell r="K542">
            <v>43224</v>
          </cell>
          <cell r="L542" t="str">
            <v>POSITIVA COMPAÑIA DE SEGUROS SA</v>
          </cell>
          <cell r="M542">
            <v>30</v>
          </cell>
          <cell r="N542" t="str">
            <v>ORDEN DE PRESTACION DE SERVICIOS</v>
          </cell>
          <cell r="O542">
            <v>5</v>
          </cell>
          <cell r="P542">
            <v>43224</v>
          </cell>
          <cell r="Q542"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v>
          </cell>
          <cell r="R542">
            <v>929100</v>
          </cell>
          <cell r="S542">
            <v>0</v>
          </cell>
          <cell r="T542">
            <v>0</v>
          </cell>
          <cell r="U542">
            <v>929100</v>
          </cell>
          <cell r="V542">
            <v>929100</v>
          </cell>
        </row>
        <row r="543">
          <cell r="J543">
            <v>1990</v>
          </cell>
          <cell r="K543">
            <v>43252</v>
          </cell>
          <cell r="L543" t="str">
            <v>MONICA IVONNE ALBA CHAPARRO</v>
          </cell>
          <cell r="M543">
            <v>145</v>
          </cell>
          <cell r="N543" t="str">
            <v>CONTRATO DE PRESTACION DE SERVICIOS PROFESIONALES</v>
          </cell>
          <cell r="O543">
            <v>654</v>
          </cell>
          <cell r="P543">
            <v>43221</v>
          </cell>
          <cell r="Q543" t="str">
            <v>ADICIÓN Y PRÓRROGA AL CONTRATO 654 DE 2017, CUYO OBJETO ES: PRESTAR LOS SERVICIOS PROFESIONALES PARA APOYAR DESDE EL COMPONENTE DE SISTEMATIZACIÓN,  LA EJECUCIÓN DE ACTIVIDADES ASOCIADAS A LA ESTRUCTURACIÓN DE PROYECTOS DEL SUBSIDIO DISTRITAL PARA EL MEJORAMIENTO DE VIVIENDA.</v>
          </cell>
          <cell r="R543">
            <v>5175000</v>
          </cell>
          <cell r="S543">
            <v>0</v>
          </cell>
          <cell r="T543">
            <v>0</v>
          </cell>
          <cell r="U543">
            <v>5175000</v>
          </cell>
          <cell r="V543">
            <v>5175000</v>
          </cell>
        </row>
        <row r="544">
          <cell r="J544">
            <v>1994</v>
          </cell>
          <cell r="K544">
            <v>43256</v>
          </cell>
          <cell r="L544" t="str">
            <v>MARCO FERNANDO NUÑEZ JIMENEZ</v>
          </cell>
          <cell r="M544">
            <v>148</v>
          </cell>
          <cell r="N544" t="str">
            <v>CONTRATO DE PRESTACION DE SERVICIOS DE APOYO A LA GESTION</v>
          </cell>
          <cell r="O544">
            <v>667</v>
          </cell>
          <cell r="P544">
            <v>43256</v>
          </cell>
          <cell r="Q544" t="str">
            <v>Adición y Prórroga al contrato 667 de 2017, cuyo objeto es: ¿Prestar los servicios para apoyar en el manejo documental,  la ejecución de actividades asociadas a la estructuración de proyectos del subsidio distrital para el mejoramiento de vivienda¿</v>
          </cell>
          <cell r="R544">
            <v>2550000</v>
          </cell>
          <cell r="S544">
            <v>0</v>
          </cell>
          <cell r="T544">
            <v>0</v>
          </cell>
          <cell r="U544">
            <v>2550000</v>
          </cell>
          <cell r="V544">
            <v>2550000</v>
          </cell>
        </row>
        <row r="545">
          <cell r="J545">
            <v>1995</v>
          </cell>
          <cell r="K545">
            <v>43256</v>
          </cell>
          <cell r="L545" t="str">
            <v>LUIS ORLANDO TORRES ROMERO</v>
          </cell>
          <cell r="M545">
            <v>148</v>
          </cell>
          <cell r="N545" t="str">
            <v>CONTRATO DE PRESTACION DE SERVICIOS DE APOYO A LA GESTION</v>
          </cell>
          <cell r="O545">
            <v>653</v>
          </cell>
          <cell r="P545">
            <v>43256</v>
          </cell>
          <cell r="Q545" t="str">
            <v>Adición y Prórroga al contrato 653 de 2017 cuyo objeto es: ¿Prestar los servicios para apoyar en el manejo documental,  la ejecución de actividades asociadas a la estructuración de proyectos del subsidio distrital para el mejoramiento de vivienda¿</v>
          </cell>
          <cell r="R545">
            <v>2550000</v>
          </cell>
          <cell r="S545">
            <v>0</v>
          </cell>
          <cell r="T545">
            <v>0</v>
          </cell>
          <cell r="U545">
            <v>2550000</v>
          </cell>
          <cell r="V545">
            <v>2550000</v>
          </cell>
        </row>
        <row r="546">
          <cell r="J546">
            <v>2005</v>
          </cell>
          <cell r="K546">
            <v>43257</v>
          </cell>
          <cell r="L546" t="str">
            <v>POSITIVA COMPAÑIA DE SEGUROS SA</v>
          </cell>
          <cell r="M546">
            <v>30</v>
          </cell>
          <cell r="N546" t="str">
            <v>ORDEN DE PRESTACION DE SERVICIOS</v>
          </cell>
          <cell r="O546">
            <v>6</v>
          </cell>
          <cell r="P546">
            <v>43257</v>
          </cell>
          <cell r="Q546"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JUNIO DE 2018</v>
          </cell>
          <cell r="R546">
            <v>929100</v>
          </cell>
          <cell r="S546">
            <v>0</v>
          </cell>
          <cell r="T546">
            <v>0</v>
          </cell>
          <cell r="U546">
            <v>929100</v>
          </cell>
          <cell r="V546">
            <v>929100</v>
          </cell>
        </row>
        <row r="547">
          <cell r="J547">
            <v>2426</v>
          </cell>
          <cell r="K547">
            <v>43285</v>
          </cell>
          <cell r="L547" t="str">
            <v>POSITIVA COMPAÑIA DE SEGUROS SA</v>
          </cell>
          <cell r="M547">
            <v>30</v>
          </cell>
          <cell r="N547" t="str">
            <v>ORDEN DE PRESTACION DE SERVICIOS</v>
          </cell>
          <cell r="O547">
            <v>7</v>
          </cell>
          <cell r="P547">
            <v>43285</v>
          </cell>
          <cell r="Q547"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CORRESPONDIENTE AL MES DE JULIO.</v>
          </cell>
          <cell r="R547">
            <v>929100</v>
          </cell>
          <cell r="S547">
            <v>0</v>
          </cell>
          <cell r="T547">
            <v>0</v>
          </cell>
          <cell r="U547">
            <v>929100</v>
          </cell>
          <cell r="V547">
            <v>929100</v>
          </cell>
        </row>
        <row r="548">
          <cell r="J548">
            <v>2512</v>
          </cell>
          <cell r="K548">
            <v>43300</v>
          </cell>
          <cell r="L548" t="str">
            <v>VIVIANA  RODRIGUEZ MELO</v>
          </cell>
          <cell r="M548">
            <v>148</v>
          </cell>
          <cell r="N548" t="str">
            <v>CONTRATO DE PRESTACION DE SERVICIOS DE APOYO A LA GESTION</v>
          </cell>
          <cell r="O548">
            <v>449</v>
          </cell>
          <cell r="P548">
            <v>43300</v>
          </cell>
          <cell r="Q548" t="str">
            <v>Prestar servicios asistenciales en la Gestión Documental, captura de datos, inventario y manejo de archivo físico, en cumplimiento de los procedimientos de la Dirección de Mejoramiento de Vivienda de la CVP.</v>
          </cell>
          <cell r="R548">
            <v>7725000</v>
          </cell>
          <cell r="S548">
            <v>0</v>
          </cell>
          <cell r="T548">
            <v>0</v>
          </cell>
          <cell r="U548">
            <v>7725000</v>
          </cell>
          <cell r="V548">
            <v>618000</v>
          </cell>
        </row>
        <row r="549">
          <cell r="J549">
            <v>2519</v>
          </cell>
          <cell r="K549">
            <v>43304</v>
          </cell>
          <cell r="L549" t="str">
            <v>DIEGO HERNAN CALDERON URREGO</v>
          </cell>
          <cell r="M549">
            <v>145</v>
          </cell>
          <cell r="N549" t="str">
            <v>CONTRATO DE PRESTACION DE SERVICIOS PROFESIONALES</v>
          </cell>
          <cell r="O549">
            <v>451</v>
          </cell>
          <cell r="P549">
            <v>43304</v>
          </cell>
          <cell r="Q549" t="str">
            <v>Prestar los servicios profesionales para apoyar desde el componente social,  la ejecución de actividades asociadas a la estructuración de proyectos del subsidio distrital para el mejoramiento de vivienda.</v>
          </cell>
          <cell r="R549">
            <v>19261000</v>
          </cell>
          <cell r="S549">
            <v>0</v>
          </cell>
          <cell r="T549">
            <v>0</v>
          </cell>
          <cell r="U549">
            <v>19261000</v>
          </cell>
          <cell r="V549">
            <v>793100</v>
          </cell>
        </row>
        <row r="550">
          <cell r="J550">
            <v>2533</v>
          </cell>
          <cell r="K550">
            <v>43305</v>
          </cell>
          <cell r="L550" t="str">
            <v>MARIA CAMILA SANCHEZ SAMPER</v>
          </cell>
          <cell r="M550">
            <v>145</v>
          </cell>
          <cell r="N550" t="str">
            <v>CONTRATO DE PRESTACION DE SERVICIOS PROFESIONALES</v>
          </cell>
          <cell r="O550">
            <v>457</v>
          </cell>
          <cell r="P550">
            <v>43308</v>
          </cell>
          <cell r="Q550"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50">
            <v>17767500</v>
          </cell>
          <cell r="S550">
            <v>0</v>
          </cell>
          <cell r="T550">
            <v>0</v>
          </cell>
          <cell r="U550">
            <v>17767500</v>
          </cell>
          <cell r="V550">
            <v>710700</v>
          </cell>
        </row>
        <row r="551">
          <cell r="J551">
            <v>2535</v>
          </cell>
          <cell r="K551">
            <v>43305</v>
          </cell>
          <cell r="L551" t="str">
            <v>DIEGO FERNANDO CALDAS TRIANA</v>
          </cell>
          <cell r="M551">
            <v>148</v>
          </cell>
          <cell r="N551" t="str">
            <v>CONTRATO DE PRESTACION DE SERVICIOS DE APOYO A LA GESTION</v>
          </cell>
          <cell r="O551">
            <v>458</v>
          </cell>
          <cell r="P551">
            <v>43305</v>
          </cell>
          <cell r="Q551" t="str">
            <v>PRESTAR LOS SERVICIOS PARA APOYAR DESDE EL COMPONENTE DE SISTEMATIZACIÓN,  LA EJECUCIÓN DE ACTIVIDADES ASOCIADAS A LA ESTRUCTURACIÓN DE PROYECTOS DEL SUBSIDIO DISTRITAL PARA EL MEJORAMIENTO DE VIVIENDA.</v>
          </cell>
          <cell r="R551">
            <v>12360000</v>
          </cell>
          <cell r="S551">
            <v>0</v>
          </cell>
          <cell r="T551">
            <v>0</v>
          </cell>
          <cell r="U551">
            <v>12360000</v>
          </cell>
          <cell r="V551">
            <v>412000</v>
          </cell>
        </row>
        <row r="552">
          <cell r="J552">
            <v>2536</v>
          </cell>
          <cell r="K552">
            <v>43305</v>
          </cell>
          <cell r="L552" t="str">
            <v>DAVID  ARREAZA MORENO</v>
          </cell>
          <cell r="M552">
            <v>145</v>
          </cell>
          <cell r="N552" t="str">
            <v>CONTRATO DE PRESTACION DE SERVICIOS PROFESIONALES</v>
          </cell>
          <cell r="O552">
            <v>459</v>
          </cell>
          <cell r="P552">
            <v>43305</v>
          </cell>
          <cell r="Q552" t="str">
            <v>Prestar los servicios profesionales para apoyar desde el componente social,  la ejecución de actividades asociadas a la estructuración de proyectos del subsidio distrital para el mejoramiento de vivienda.</v>
          </cell>
          <cell r="R552">
            <v>20600000</v>
          </cell>
          <cell r="S552">
            <v>0</v>
          </cell>
          <cell r="T552">
            <v>0</v>
          </cell>
          <cell r="U552">
            <v>20600000</v>
          </cell>
          <cell r="V552">
            <v>824000</v>
          </cell>
        </row>
        <row r="553">
          <cell r="J553">
            <v>2537</v>
          </cell>
          <cell r="K553">
            <v>43305</v>
          </cell>
          <cell r="L553" t="str">
            <v>DIANA MARCELA GALVEZ SUAREZ</v>
          </cell>
          <cell r="M553">
            <v>145</v>
          </cell>
          <cell r="N553" t="str">
            <v>CONTRATO DE PRESTACION DE SERVICIOS PROFESIONALES</v>
          </cell>
          <cell r="O553">
            <v>453</v>
          </cell>
          <cell r="P553">
            <v>43305</v>
          </cell>
          <cell r="Q553" t="str">
            <v>Prestar los servicios profesionales para apoyar desde el componente jurídico, la ejecución de actividades asociadas a la estructuración de proyectos del subsidio distrital para el mejoramiento de vivienda.</v>
          </cell>
          <cell r="R553">
            <v>26265000</v>
          </cell>
          <cell r="S553">
            <v>0</v>
          </cell>
          <cell r="T553">
            <v>0</v>
          </cell>
          <cell r="U553">
            <v>26265000</v>
          </cell>
          <cell r="V553">
            <v>1050600</v>
          </cell>
        </row>
        <row r="554">
          <cell r="J554">
            <v>2538</v>
          </cell>
          <cell r="K554">
            <v>43305</v>
          </cell>
          <cell r="L554" t="str">
            <v>LINA MARIA SAZIPA MORENO</v>
          </cell>
          <cell r="M554">
            <v>145</v>
          </cell>
          <cell r="N554" t="str">
            <v>CONTRATO DE PRESTACION DE SERVICIOS PROFESIONALES</v>
          </cell>
          <cell r="O554">
            <v>454</v>
          </cell>
          <cell r="P554">
            <v>43305</v>
          </cell>
          <cell r="Q554"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54">
            <v>16995000</v>
          </cell>
          <cell r="S554">
            <v>0</v>
          </cell>
          <cell r="T554">
            <v>0</v>
          </cell>
          <cell r="U554">
            <v>16995000</v>
          </cell>
          <cell r="V554">
            <v>793100</v>
          </cell>
        </row>
        <row r="555">
          <cell r="J555">
            <v>2539</v>
          </cell>
          <cell r="K555">
            <v>43305</v>
          </cell>
          <cell r="L555" t="str">
            <v>NINI JOHANNA HERNANDEZ GALINDO</v>
          </cell>
          <cell r="M555">
            <v>148</v>
          </cell>
          <cell r="N555" t="str">
            <v>CONTRATO DE PRESTACION DE SERVICIOS DE APOYO A LA GESTION</v>
          </cell>
          <cell r="O555">
            <v>456</v>
          </cell>
          <cell r="P555">
            <v>43305</v>
          </cell>
          <cell r="Q555" t="str">
            <v xml:space="preserve">Prestar los servicios para apoyar en el manejo documental,  la ejecución de actividades asociadas a la estructuración de proyectos del subsidio distrital para el mejoramiento de vivienda. </v>
          </cell>
          <cell r="R555">
            <v>8755000</v>
          </cell>
          <cell r="S555">
            <v>0</v>
          </cell>
          <cell r="T555">
            <v>0</v>
          </cell>
          <cell r="U555">
            <v>8755000</v>
          </cell>
          <cell r="V555">
            <v>350200</v>
          </cell>
        </row>
        <row r="556">
          <cell r="J556">
            <v>2542</v>
          </cell>
          <cell r="K556">
            <v>43305</v>
          </cell>
          <cell r="L556" t="str">
            <v>JAIME ANDRES SAAVEDRA PRIETO</v>
          </cell>
          <cell r="M556">
            <v>145</v>
          </cell>
          <cell r="N556" t="str">
            <v>CONTRATO DE PRESTACION DE SERVICIOS PROFESIONALES</v>
          </cell>
          <cell r="O556">
            <v>450</v>
          </cell>
          <cell r="P556">
            <v>43305</v>
          </cell>
          <cell r="Q556" t="str">
            <v>Prestar los servicios profesionales para apoyar desde el componente social,  la ejecución de actividades asociadas a la estructuración de proyectos del subsidio distrital para el mejoramiento de vivienda.</v>
          </cell>
          <cell r="R556">
            <v>16955000</v>
          </cell>
          <cell r="S556">
            <v>73300</v>
          </cell>
          <cell r="T556">
            <v>0</v>
          </cell>
          <cell r="U556">
            <v>16881700</v>
          </cell>
          <cell r="V556">
            <v>113300</v>
          </cell>
        </row>
        <row r="557">
          <cell r="J557">
            <v>2544</v>
          </cell>
          <cell r="K557">
            <v>43307</v>
          </cell>
          <cell r="L557" t="str">
            <v>GIORDY HERNEY CADENA MORENO</v>
          </cell>
          <cell r="M557">
            <v>148</v>
          </cell>
          <cell r="N557" t="str">
            <v>CONTRATO DE PRESTACION DE SERVICIOS DE APOYO A LA GESTION</v>
          </cell>
          <cell r="O557">
            <v>461</v>
          </cell>
          <cell r="P557">
            <v>43307</v>
          </cell>
          <cell r="Q557" t="str">
            <v>PRESTAR LOS SERVICIOS PARA APOYAR DESDE EL COMPONENTE DE SISTEMATIZACIÓN,  LA EJECUCIÓN DE ACTIVIDADES ASOCIADAS A LA ESTRUCTURACIÓN DE PROYECTOS DEL SUBSIDIO DISTRITAL PARA EL MEJORAMIENTO DE VIVIENDA.</v>
          </cell>
          <cell r="R557">
            <v>12360000</v>
          </cell>
          <cell r="S557">
            <v>0</v>
          </cell>
          <cell r="T557">
            <v>0</v>
          </cell>
          <cell r="U557">
            <v>12360000</v>
          </cell>
          <cell r="V557">
            <v>412000</v>
          </cell>
        </row>
        <row r="558">
          <cell r="J558">
            <v>2545</v>
          </cell>
          <cell r="K558">
            <v>43308</v>
          </cell>
          <cell r="L558" t="str">
            <v>MARIA ALEJANDRA SIERRA CALDERON</v>
          </cell>
          <cell r="M558">
            <v>145</v>
          </cell>
          <cell r="N558" t="str">
            <v>CONTRATO DE PRESTACION DE SERVICIOS PROFESIONALES</v>
          </cell>
          <cell r="O558">
            <v>464</v>
          </cell>
          <cell r="P558">
            <v>43308</v>
          </cell>
          <cell r="Q558"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58">
            <v>16995000</v>
          </cell>
          <cell r="S558">
            <v>0</v>
          </cell>
          <cell r="T558">
            <v>0</v>
          </cell>
          <cell r="U558">
            <v>16995000</v>
          </cell>
          <cell r="V558">
            <v>0</v>
          </cell>
        </row>
        <row r="559">
          <cell r="J559">
            <v>2547</v>
          </cell>
          <cell r="K559">
            <v>43308</v>
          </cell>
          <cell r="L559" t="str">
            <v>GINA ROCIO QUITIAN LEGUIZAMO</v>
          </cell>
          <cell r="M559">
            <v>148</v>
          </cell>
          <cell r="N559" t="str">
            <v>CONTRATO DE PRESTACION DE SERVICIOS DE APOYO A LA GESTION</v>
          </cell>
          <cell r="O559">
            <v>470</v>
          </cell>
          <cell r="P559">
            <v>43308</v>
          </cell>
          <cell r="Q559" t="str">
            <v>Prestar los servicios para apoyar desde el componente de sistematización,  la ejecución de actividades asociadas a la estructuración de proyectos del subsidio distrital para el mejoramiento de vivienda.</v>
          </cell>
          <cell r="R559">
            <v>12360000</v>
          </cell>
          <cell r="S559">
            <v>0</v>
          </cell>
          <cell r="T559">
            <v>0</v>
          </cell>
          <cell r="U559">
            <v>12360000</v>
          </cell>
          <cell r="V559">
            <v>82400</v>
          </cell>
        </row>
        <row r="560">
          <cell r="J560">
            <v>2563</v>
          </cell>
          <cell r="K560">
            <v>43313</v>
          </cell>
          <cell r="L560" t="str">
            <v>POSITIVA COMPAÑIA DE SEGUROS SA</v>
          </cell>
          <cell r="M560">
            <v>30</v>
          </cell>
          <cell r="N560" t="str">
            <v>ORDEN DE PRESTACION DE SERVICIOS</v>
          </cell>
          <cell r="O560">
            <v>8</v>
          </cell>
          <cell r="P560">
            <v>43313</v>
          </cell>
          <cell r="Q560"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AGOSTO DE 2018</v>
          </cell>
          <cell r="R560">
            <v>577900</v>
          </cell>
          <cell r="S560">
            <v>0</v>
          </cell>
          <cell r="T560">
            <v>0</v>
          </cell>
          <cell r="U560">
            <v>577900</v>
          </cell>
          <cell r="V560">
            <v>577900</v>
          </cell>
        </row>
        <row r="561">
          <cell r="J561">
            <v>2564</v>
          </cell>
          <cell r="K561">
            <v>43314</v>
          </cell>
          <cell r="L561" t="str">
            <v>HECTOR HERNANDO GARCIA BERNAL</v>
          </cell>
          <cell r="M561">
            <v>145</v>
          </cell>
          <cell r="N561" t="str">
            <v>CONTRATO DE PRESTACION DE SERVICIOS PROFESIONALES</v>
          </cell>
          <cell r="O561">
            <v>473</v>
          </cell>
          <cell r="P561">
            <v>43314</v>
          </cell>
          <cell r="Q561" t="str">
            <v>Prestar los servicios profesionales para poyar la gestión de campo con componente técnico, para la ejecución de actividades durante la ejecución de todo el proceso de estructuración de proyectos que optan por el subsidio distrital de vivienda en especie.</v>
          </cell>
          <cell r="R561">
            <v>17767500</v>
          </cell>
          <cell r="S561">
            <v>0</v>
          </cell>
          <cell r="T561">
            <v>0</v>
          </cell>
          <cell r="U561">
            <v>17767500</v>
          </cell>
          <cell r="V561">
            <v>0</v>
          </cell>
        </row>
        <row r="562">
          <cell r="J562">
            <v>2588</v>
          </cell>
          <cell r="K562">
            <v>43315</v>
          </cell>
          <cell r="L562" t="str">
            <v>MONICA LIZETTE CALDERON URREGO</v>
          </cell>
          <cell r="M562">
            <v>145</v>
          </cell>
          <cell r="N562" t="str">
            <v>CONTRATO DE PRESTACION DE SERVICIOS PROFESIONALES</v>
          </cell>
          <cell r="O562">
            <v>479</v>
          </cell>
          <cell r="P562">
            <v>43315</v>
          </cell>
          <cell r="Q562" t="str">
            <v>Prestar los servicios para apoyar desde el componente de sistematización, la ejecución de actividades asociadas a la estructuración de proyectos del subsidio distrital para el mejoramiento de vivienda</v>
          </cell>
          <cell r="R562">
            <v>22660000</v>
          </cell>
          <cell r="S562">
            <v>0</v>
          </cell>
          <cell r="T562">
            <v>0</v>
          </cell>
          <cell r="U562">
            <v>22660000</v>
          </cell>
          <cell r="V562">
            <v>0</v>
          </cell>
        </row>
        <row r="563">
          <cell r="J563">
            <v>2591</v>
          </cell>
          <cell r="K563">
            <v>43315</v>
          </cell>
          <cell r="L563" t="str">
            <v>OSCAR JAVIER ZUÑIGA GOMEZ</v>
          </cell>
          <cell r="M563">
            <v>145</v>
          </cell>
          <cell r="N563" t="str">
            <v>CONTRATO DE PRESTACION DE SERVICIOS PROFESIONALES</v>
          </cell>
          <cell r="O563">
            <v>481</v>
          </cell>
          <cell r="P563">
            <v>43315</v>
          </cell>
          <cell r="Q563" t="str">
            <v>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v>
          </cell>
          <cell r="R563">
            <v>49000000</v>
          </cell>
          <cell r="S563">
            <v>0</v>
          </cell>
          <cell r="T563">
            <v>0</v>
          </cell>
          <cell r="U563">
            <v>49000000</v>
          </cell>
          <cell r="V563">
            <v>0</v>
          </cell>
        </row>
        <row r="564">
          <cell r="J564">
            <v>2592</v>
          </cell>
          <cell r="K564">
            <v>43315</v>
          </cell>
          <cell r="L564" t="str">
            <v>NICOLAS  ROSERO PERALTA</v>
          </cell>
          <cell r="M564">
            <v>145</v>
          </cell>
          <cell r="N564" t="str">
            <v>CONTRATO DE PRESTACION DE SERVICIOS PROFESIONALES</v>
          </cell>
          <cell r="O564">
            <v>475</v>
          </cell>
          <cell r="P564">
            <v>43315</v>
          </cell>
          <cell r="Q564" t="str">
            <v>Prestar los servicios profesionales para apoyar y gestionar los procedimientos técnicos y de información de la Dirección de Mejoramiento de Vivienda en el desarrollo de la estructuración de los proyectos para asignación de Subsidios de Vivienda en Especie.</v>
          </cell>
          <cell r="R564">
            <v>25183500</v>
          </cell>
          <cell r="S564">
            <v>0</v>
          </cell>
          <cell r="T564">
            <v>0</v>
          </cell>
          <cell r="U564">
            <v>25183500</v>
          </cell>
          <cell r="V564">
            <v>0</v>
          </cell>
        </row>
        <row r="565">
          <cell r="J565">
            <v>2596</v>
          </cell>
          <cell r="K565">
            <v>43315</v>
          </cell>
          <cell r="L565" t="str">
            <v>SANDRA PATRICIA SALGUERO CELIS</v>
          </cell>
          <cell r="M565">
            <v>145</v>
          </cell>
          <cell r="N565" t="str">
            <v>CONTRATO DE PRESTACION DE SERVICIOS PROFESIONALES</v>
          </cell>
          <cell r="O565">
            <v>478</v>
          </cell>
          <cell r="P565">
            <v>43315</v>
          </cell>
          <cell r="Q565" t="str">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565">
            <v>33475000</v>
          </cell>
          <cell r="S565">
            <v>0</v>
          </cell>
          <cell r="T565">
            <v>0</v>
          </cell>
          <cell r="U565">
            <v>33475000</v>
          </cell>
          <cell r="V565">
            <v>0</v>
          </cell>
        </row>
        <row r="566">
          <cell r="J566">
            <v>2624</v>
          </cell>
          <cell r="K566">
            <v>43325</v>
          </cell>
          <cell r="L566" t="str">
            <v>NINI JOJANA ALDANA ROJAS</v>
          </cell>
          <cell r="M566">
            <v>148</v>
          </cell>
          <cell r="N566" t="str">
            <v>CONTRATO DE PRESTACION DE SERVICIOS DE APOYO A LA GESTION</v>
          </cell>
          <cell r="O566">
            <v>480</v>
          </cell>
          <cell r="P566">
            <v>43325</v>
          </cell>
          <cell r="Q566" t="str">
            <v>PRESTAR SERVICIOS ASISTENCIALES EN LA GESTIÓN DOCUMENTAL, CAPTURA DE DATOS, INVENTARIO Y MANEJO DE ARCHIVO FÍSICO, EN CUMPLIMIENTO DE LOS PROCEDIMIENTOS DE LA DIRECCIÓN DE MEJORAMIENTO DE VIVIENDA DE LA CVP.</v>
          </cell>
          <cell r="R566">
            <v>8755000</v>
          </cell>
          <cell r="S566">
            <v>0</v>
          </cell>
          <cell r="T566">
            <v>0</v>
          </cell>
          <cell r="U566">
            <v>8755000</v>
          </cell>
          <cell r="V566">
            <v>0</v>
          </cell>
        </row>
        <row r="567">
          <cell r="J567">
            <v>2651</v>
          </cell>
          <cell r="K567">
            <v>43326</v>
          </cell>
          <cell r="L567" t="str">
            <v>CARLOS ADOLFO GRISALES IBARRA</v>
          </cell>
          <cell r="M567">
            <v>145</v>
          </cell>
          <cell r="N567" t="str">
            <v>CONTRATO DE PRESTACION DE SERVICIOS PROFESIONALES</v>
          </cell>
          <cell r="O567">
            <v>489</v>
          </cell>
          <cell r="P567">
            <v>43326</v>
          </cell>
          <cell r="Q567" t="str">
            <v>PRESTAR LOS SERVICIOS PROFESIONALES PARA APOYAR LA EJECUCIÓN DE ACTIVIDADES ASOCIADAS A LA ESTRUCTURACIÓN DE PROYECTOS DEL SUBSIDIO DISTRITAL PARA EL MEJORAMIENTO DE VIVIENDA.</v>
          </cell>
          <cell r="R567">
            <v>39826667</v>
          </cell>
          <cell r="S567">
            <v>0</v>
          </cell>
          <cell r="T567">
            <v>0</v>
          </cell>
          <cell r="U567">
            <v>39826667</v>
          </cell>
          <cell r="V567">
            <v>0</v>
          </cell>
        </row>
        <row r="568">
          <cell r="J568">
            <v>2653</v>
          </cell>
          <cell r="K568">
            <v>43326</v>
          </cell>
          <cell r="L568" t="str">
            <v>STEPHANIE  MURCIA MAYORGA</v>
          </cell>
          <cell r="M568">
            <v>145</v>
          </cell>
          <cell r="N568" t="str">
            <v>CONTRATO DE PRESTACION DE SERVICIOS PROFESIONALES</v>
          </cell>
          <cell r="O568">
            <v>494</v>
          </cell>
          <cell r="P568">
            <v>43326</v>
          </cell>
          <cell r="Q568" t="str">
            <v>Prestar los servicicios profesionales para apoyar desde el componente jurídico, la ejecución de actividades asociadas a la estrucutración de proyectos del sibsidio distrital para el mejoramiento de vivienda.</v>
          </cell>
          <cell r="R568">
            <v>21904667</v>
          </cell>
          <cell r="S568">
            <v>0</v>
          </cell>
          <cell r="T568">
            <v>0</v>
          </cell>
          <cell r="U568">
            <v>21904667</v>
          </cell>
          <cell r="V568">
            <v>0</v>
          </cell>
        </row>
        <row r="569">
          <cell r="J569">
            <v>2654</v>
          </cell>
          <cell r="K569">
            <v>43326</v>
          </cell>
          <cell r="L569" t="str">
            <v>DAYANA PAOLA NIÑO CARCAMO</v>
          </cell>
          <cell r="M569">
            <v>145</v>
          </cell>
          <cell r="N569" t="str">
            <v>CONTRATO DE PRESTACION DE SERVICIOS PROFESIONALES</v>
          </cell>
          <cell r="O569">
            <v>496</v>
          </cell>
          <cell r="P569">
            <v>43326</v>
          </cell>
          <cell r="Q569" t="str">
            <v>Prestar los servicios profesionales para poyar desde el componente jurídico, la ejecución de actividades asociadas a la estructuración de proyectos del subsidio distrital para el mejoramiento de vivienda.</v>
          </cell>
          <cell r="R569">
            <v>15862000</v>
          </cell>
          <cell r="S569">
            <v>0</v>
          </cell>
          <cell r="T569">
            <v>0</v>
          </cell>
          <cell r="U569">
            <v>15862000</v>
          </cell>
          <cell r="V569">
            <v>0</v>
          </cell>
        </row>
        <row r="570">
          <cell r="J570">
            <v>2655</v>
          </cell>
          <cell r="K570">
            <v>43326</v>
          </cell>
          <cell r="L570" t="str">
            <v>RAUL ALFONSO SORIANO GUZMAN</v>
          </cell>
          <cell r="M570">
            <v>145</v>
          </cell>
          <cell r="N570" t="str">
            <v>CONTRATO DE PRESTACION DE SERVICIOS PROFESIONALES</v>
          </cell>
          <cell r="O570">
            <v>495</v>
          </cell>
          <cell r="P570">
            <v>43326</v>
          </cell>
          <cell r="Q570" t="str">
            <v>Prestar los servicios profesionales para apoyar la ejecución de actividades asociadas a la estructuración de proyectos del subsidio distrital para el mejoramiento de vivienda.</v>
          </cell>
          <cell r="R570">
            <v>32359167</v>
          </cell>
          <cell r="S570">
            <v>32359167</v>
          </cell>
          <cell r="T570">
            <v>0</v>
          </cell>
          <cell r="U570">
            <v>0</v>
          </cell>
          <cell r="V570">
            <v>0</v>
          </cell>
        </row>
        <row r="571">
          <cell r="J571">
            <v>2670</v>
          </cell>
          <cell r="K571">
            <v>43329</v>
          </cell>
          <cell r="L571" t="str">
            <v>RICARDO  SARMIENTO CHAVES</v>
          </cell>
          <cell r="M571">
            <v>145</v>
          </cell>
          <cell r="N571" t="str">
            <v>CONTRATO DE PRESTACION DE SERVICIOS PROFESIONALES</v>
          </cell>
          <cell r="O571">
            <v>499</v>
          </cell>
          <cell r="P571">
            <v>43329</v>
          </cell>
          <cell r="Q571"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71">
            <v>16583000</v>
          </cell>
          <cell r="S571">
            <v>0</v>
          </cell>
          <cell r="T571">
            <v>0</v>
          </cell>
          <cell r="U571">
            <v>16583000</v>
          </cell>
          <cell r="V571">
            <v>0</v>
          </cell>
        </row>
        <row r="572">
          <cell r="J572">
            <v>2672</v>
          </cell>
          <cell r="K572">
            <v>43329</v>
          </cell>
          <cell r="L572" t="str">
            <v>LUIS ORLANDO TORRES ROMERO</v>
          </cell>
          <cell r="M572">
            <v>148</v>
          </cell>
          <cell r="N572" t="str">
            <v>CONTRATO DE PRESTACION DE SERVICIOS DE APOYO A LA GESTION</v>
          </cell>
          <cell r="O572">
            <v>493</v>
          </cell>
          <cell r="P572">
            <v>43329</v>
          </cell>
          <cell r="Q572" t="str">
            <v>Prestar los servicios para apoyar en el majejo documental, la ejecución de actividades asociadas a la estructuración de proyectos del subsidio distrital para el mejoramiento de vivienda.</v>
          </cell>
          <cell r="R572">
            <v>8463167</v>
          </cell>
          <cell r="S572">
            <v>0</v>
          </cell>
          <cell r="T572">
            <v>0</v>
          </cell>
          <cell r="U572">
            <v>8463167</v>
          </cell>
          <cell r="V572">
            <v>0</v>
          </cell>
        </row>
        <row r="573">
          <cell r="J573">
            <v>2673</v>
          </cell>
          <cell r="K573">
            <v>43329</v>
          </cell>
          <cell r="L573" t="str">
            <v>MONICA IVONNE ALBA CHAPARRO</v>
          </cell>
          <cell r="M573">
            <v>145</v>
          </cell>
          <cell r="N573" t="str">
            <v>CONTRATO DE PRESTACION DE SERVICIOS PROFESIONALES</v>
          </cell>
          <cell r="O573">
            <v>491</v>
          </cell>
          <cell r="P573">
            <v>43329</v>
          </cell>
          <cell r="Q573" t="str">
            <v>Prestar los servicios profesionales para apoyar desde el componente de sistematización, la ejecución de actividades asociadas a la astructuración de proyectos del subsidio distrital para el mejoramiento de vivienda.</v>
          </cell>
          <cell r="R573">
            <v>17175250</v>
          </cell>
          <cell r="S573">
            <v>0</v>
          </cell>
          <cell r="T573">
            <v>0</v>
          </cell>
          <cell r="U573">
            <v>17175250</v>
          </cell>
          <cell r="V573">
            <v>0</v>
          </cell>
        </row>
        <row r="574">
          <cell r="J574">
            <v>2675</v>
          </cell>
          <cell r="K574">
            <v>43329</v>
          </cell>
          <cell r="L574" t="str">
            <v>RAUL ALFONSO SORIANO GUZMAN</v>
          </cell>
          <cell r="M574">
            <v>145</v>
          </cell>
          <cell r="N574" t="str">
            <v>CONTRATO DE PRESTACION DE SERVICIOS PROFESIONALES</v>
          </cell>
          <cell r="O574">
            <v>495</v>
          </cell>
          <cell r="P574">
            <v>43329</v>
          </cell>
          <cell r="Q574" t="str">
            <v>Prestar los servicios profesionales para apoyar la ejecución de actividades asociadas a la estructuración de proyectos del subsidio distrital para el mejoramiento de vivienda.</v>
          </cell>
          <cell r="R574">
            <v>32359167</v>
          </cell>
          <cell r="S574">
            <v>0</v>
          </cell>
          <cell r="T574">
            <v>0</v>
          </cell>
          <cell r="U574">
            <v>32359167</v>
          </cell>
          <cell r="V574">
            <v>0</v>
          </cell>
        </row>
        <row r="575">
          <cell r="J575">
            <v>2680</v>
          </cell>
          <cell r="K575">
            <v>43329</v>
          </cell>
          <cell r="L575" t="str">
            <v>MIGUEL ANGEL MARTINEZ VANEGAS</v>
          </cell>
          <cell r="M575">
            <v>145</v>
          </cell>
          <cell r="N575" t="str">
            <v>CONTRATO DE PRESTACION DE SERVICIOS PROFESIONALES</v>
          </cell>
          <cell r="O575">
            <v>503</v>
          </cell>
          <cell r="P575">
            <v>43329</v>
          </cell>
          <cell r="Q575"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75">
            <v>16995000</v>
          </cell>
          <cell r="S575">
            <v>0</v>
          </cell>
          <cell r="T575">
            <v>0</v>
          </cell>
          <cell r="U575">
            <v>16995000</v>
          </cell>
          <cell r="V575">
            <v>0</v>
          </cell>
        </row>
        <row r="576">
          <cell r="J576">
            <v>2681</v>
          </cell>
          <cell r="K576">
            <v>43329</v>
          </cell>
          <cell r="L576" t="str">
            <v>LAURA JULIANA CUERVO MORALES</v>
          </cell>
          <cell r="M576">
            <v>145</v>
          </cell>
          <cell r="N576" t="str">
            <v>CONTRATO DE PRESTACION DE SERVICIOS PROFESIONALES</v>
          </cell>
          <cell r="O576">
            <v>501</v>
          </cell>
          <cell r="P576">
            <v>43329</v>
          </cell>
          <cell r="Q576" t="str">
            <v>Prestar los servicios profesionales a la Dirección de Mejoramiento de Vivienda, en la proyección de conceptos, revisión de oficios y demás actuaciones administrativas y jurídicas requeridas, en concordancia con los procesos propios de la Dirección.</v>
          </cell>
          <cell r="R576">
            <v>31243333</v>
          </cell>
          <cell r="S576">
            <v>0</v>
          </cell>
          <cell r="T576">
            <v>0</v>
          </cell>
          <cell r="U576">
            <v>31243333</v>
          </cell>
          <cell r="V576">
            <v>0</v>
          </cell>
        </row>
        <row r="577">
          <cell r="J577">
            <v>2684</v>
          </cell>
          <cell r="K577">
            <v>43329</v>
          </cell>
          <cell r="L577" t="str">
            <v>HERNAN ALONSO CORREA MENDEZ</v>
          </cell>
          <cell r="M577">
            <v>145</v>
          </cell>
          <cell r="N577" t="str">
            <v>CONTRATO DE PRESTACION DE SERVICIOS PROFESIONALES</v>
          </cell>
          <cell r="O577">
            <v>498</v>
          </cell>
          <cell r="P577">
            <v>43329</v>
          </cell>
          <cell r="Q577" t="str">
            <v>Prestar los servicios profesionales para apoyar desde el componente jurídico, la ejecución de actividades asociadas a la estructuración de proyectos del subsidio distrital para el mejoramiento de vivienda.</v>
          </cell>
          <cell r="R577">
            <v>16995000</v>
          </cell>
          <cell r="S577">
            <v>0</v>
          </cell>
          <cell r="T577">
            <v>0</v>
          </cell>
          <cell r="U577">
            <v>16995000</v>
          </cell>
          <cell r="V577">
            <v>0</v>
          </cell>
        </row>
        <row r="578">
          <cell r="J578">
            <v>2685</v>
          </cell>
          <cell r="K578">
            <v>43329</v>
          </cell>
          <cell r="L578" t="str">
            <v>RAMIRO EDUARDO PACHON VEGA</v>
          </cell>
          <cell r="M578">
            <v>145</v>
          </cell>
          <cell r="N578" t="str">
            <v>CONTRATO DE PRESTACION DE SERVICIOS PROFESIONALES</v>
          </cell>
          <cell r="O578">
            <v>502</v>
          </cell>
          <cell r="P578">
            <v>43329</v>
          </cell>
          <cell r="Q578"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78">
            <v>15862000</v>
          </cell>
          <cell r="S578">
            <v>0</v>
          </cell>
          <cell r="T578">
            <v>0</v>
          </cell>
          <cell r="U578">
            <v>15862000</v>
          </cell>
          <cell r="V578">
            <v>0</v>
          </cell>
        </row>
        <row r="579">
          <cell r="J579">
            <v>2725</v>
          </cell>
          <cell r="K579">
            <v>43335</v>
          </cell>
          <cell r="L579" t="str">
            <v>MARCO FERNANDO NUÑEZ JIMENEZ</v>
          </cell>
          <cell r="M579">
            <v>148</v>
          </cell>
          <cell r="N579" t="str">
            <v>CONTRATO DE PRESTACION DE SERVICIOS DE APOYO A LA GESTION</v>
          </cell>
          <cell r="O579">
            <v>497</v>
          </cell>
          <cell r="P579">
            <v>43335</v>
          </cell>
          <cell r="Q579" t="str">
            <v>Prestar los servicios para apoyar en el manejo documental, la ejecución de actividades asociadas a la estructuración de proyectos del subsidio distrital para el mejoramiento de vivienda.</v>
          </cell>
          <cell r="R579">
            <v>8463167</v>
          </cell>
          <cell r="S579">
            <v>0</v>
          </cell>
          <cell r="T579">
            <v>0</v>
          </cell>
          <cell r="U579">
            <v>8463167</v>
          </cell>
          <cell r="V579">
            <v>0</v>
          </cell>
        </row>
        <row r="580">
          <cell r="J580">
            <v>2737</v>
          </cell>
          <cell r="K580">
            <v>43336</v>
          </cell>
          <cell r="L580" t="str">
            <v>LIZETH ZORANY PARDO TORRES</v>
          </cell>
          <cell r="M580">
            <v>145</v>
          </cell>
          <cell r="N580" t="str">
            <v>CONTRATO DE PRESTACION DE SERVICIOS PROFESIONALES</v>
          </cell>
          <cell r="O580">
            <v>530</v>
          </cell>
          <cell r="P580">
            <v>43336</v>
          </cell>
          <cell r="Q580" t="str">
            <v>Prestar los servicios profesionales para apoyar desde el componente de sistematización, la ejecución de actividades asociadas a la estructuración de proyectos del subsidio distrital para el mejoramiento de vivienda.</v>
          </cell>
          <cell r="R580">
            <v>20394000</v>
          </cell>
          <cell r="S580">
            <v>0</v>
          </cell>
          <cell r="T580">
            <v>0</v>
          </cell>
          <cell r="U580">
            <v>20394000</v>
          </cell>
          <cell r="V580">
            <v>0</v>
          </cell>
        </row>
        <row r="581">
          <cell r="J581">
            <v>2744</v>
          </cell>
          <cell r="K581">
            <v>43336</v>
          </cell>
          <cell r="L581" t="str">
            <v>CRISTIAN MAURICIO MORA MONTOYA</v>
          </cell>
          <cell r="M581">
            <v>148</v>
          </cell>
          <cell r="N581" t="str">
            <v>CONTRATO DE PRESTACION DE SERVICIOS DE APOYO A LA GESTION</v>
          </cell>
          <cell r="O581">
            <v>534</v>
          </cell>
          <cell r="P581">
            <v>43336</v>
          </cell>
          <cell r="Q581" t="str">
            <v>Prestar los servicios para apoyar en el manejo documental, la ejecución de actividades asociadas a la estructuración de proyectos del subsidio distrital para el mejoramiento de vivienda.</v>
          </cell>
          <cell r="R581">
            <v>6489000</v>
          </cell>
          <cell r="S581">
            <v>0</v>
          </cell>
          <cell r="T581">
            <v>0</v>
          </cell>
          <cell r="U581">
            <v>6489000</v>
          </cell>
          <cell r="V581">
            <v>0</v>
          </cell>
        </row>
        <row r="582">
          <cell r="J582">
            <v>2765</v>
          </cell>
          <cell r="K582">
            <v>43342</v>
          </cell>
          <cell r="L582" t="str">
            <v>ALBERTO  QUINTERO PARIAS</v>
          </cell>
          <cell r="M582">
            <v>148</v>
          </cell>
          <cell r="N582" t="str">
            <v>CONTRATO DE PRESTACION DE SERVICIOS DE APOYO A LA GESTION</v>
          </cell>
          <cell r="O582">
            <v>524</v>
          </cell>
          <cell r="P582">
            <v>43342</v>
          </cell>
          <cell r="Q582" t="str">
            <v>Prestar servicios asistenciales en la Gestión Documental, captura de datos, inventario y manejo de acrchico físico, en cumplimiento de los procedimientos de la Dirección de Mejoramiento de Vivienda de la CVP.</v>
          </cell>
          <cell r="R582">
            <v>7587667</v>
          </cell>
          <cell r="S582">
            <v>0</v>
          </cell>
          <cell r="T582">
            <v>0</v>
          </cell>
          <cell r="U582">
            <v>7587667</v>
          </cell>
          <cell r="V582">
            <v>0</v>
          </cell>
        </row>
        <row r="583">
          <cell r="J583">
            <v>2766</v>
          </cell>
          <cell r="K583">
            <v>43342</v>
          </cell>
          <cell r="L583" t="str">
            <v>EDGAR ANDRES PASTRAN CHAUX</v>
          </cell>
          <cell r="M583">
            <v>145</v>
          </cell>
          <cell r="N583" t="str">
            <v>CONTRATO DE PRESTACION DE SERVICIOS PROFESIONALES</v>
          </cell>
          <cell r="O583">
            <v>543</v>
          </cell>
          <cell r="P583">
            <v>43342</v>
          </cell>
          <cell r="Q583" t="str">
            <v>Prestación de servicios profesionales para apoyar la estructuración, seguimiento y supervisión de los proyectos asignados por la Dirección de Mejoramiento de Vivienda de la CVP.</v>
          </cell>
          <cell r="R583">
            <v>21825700</v>
          </cell>
          <cell r="S583">
            <v>0</v>
          </cell>
          <cell r="T583">
            <v>0</v>
          </cell>
          <cell r="U583">
            <v>21825700</v>
          </cell>
          <cell r="V583">
            <v>0</v>
          </cell>
        </row>
        <row r="584">
          <cell r="J584">
            <v>2767</v>
          </cell>
          <cell r="K584">
            <v>43343</v>
          </cell>
          <cell r="L584" t="str">
            <v>LILIANA  RAMIREZ CANO</v>
          </cell>
          <cell r="M584">
            <v>148</v>
          </cell>
          <cell r="N584" t="str">
            <v>CONTRATO DE PRESTACION DE SERVICIOS DE APOYO A LA GESTION</v>
          </cell>
          <cell r="O584">
            <v>541</v>
          </cell>
          <cell r="P584">
            <v>43343</v>
          </cell>
          <cell r="Q584" t="str">
            <v>Prestar los servicios técnicos para apoyar desde el componente social, la ejecución de actividades asociadas a la estructuración de proyectos del subsidio distrital para el mejoramiento de vivienda.</v>
          </cell>
          <cell r="R584">
            <v>14416567</v>
          </cell>
          <cell r="S584">
            <v>0</v>
          </cell>
          <cell r="T584">
            <v>0</v>
          </cell>
          <cell r="U584">
            <v>14416567</v>
          </cell>
          <cell r="V584">
            <v>0</v>
          </cell>
        </row>
        <row r="585">
          <cell r="J585">
            <v>2768</v>
          </cell>
          <cell r="K585">
            <v>43343</v>
          </cell>
          <cell r="L585" t="str">
            <v>MARIA ISABEL MEJIA LONDOÑO</v>
          </cell>
          <cell r="M585">
            <v>145</v>
          </cell>
          <cell r="N585" t="str">
            <v>CONTRATO DE PRESTACION DE SERVICIOS PROFESIONALES</v>
          </cell>
          <cell r="O585">
            <v>545</v>
          </cell>
          <cell r="P585">
            <v>43343</v>
          </cell>
          <cell r="Q585" t="str">
            <v>Prestar los servicios profesionales para apoyar desde el componente de sistematización,  la ejecución de actividades asociadas a la estructuración de proyectos del subsidio distrital para el mejoramiento de vivienda.</v>
          </cell>
          <cell r="R585">
            <v>15398500</v>
          </cell>
          <cell r="S585">
            <v>0</v>
          </cell>
          <cell r="T585">
            <v>0</v>
          </cell>
          <cell r="U585">
            <v>15398500</v>
          </cell>
          <cell r="V585">
            <v>0</v>
          </cell>
        </row>
        <row r="586">
          <cell r="J586">
            <v>2770</v>
          </cell>
          <cell r="K586">
            <v>43343</v>
          </cell>
          <cell r="L586" t="str">
            <v>FREDY HERNANDO SANTIAGO ROMERO</v>
          </cell>
          <cell r="M586">
            <v>145</v>
          </cell>
          <cell r="N586" t="str">
            <v>CONTRATO DE PRESTACION DE SERVICIOS PROFESIONALES</v>
          </cell>
          <cell r="O586">
            <v>542</v>
          </cell>
          <cell r="P586">
            <v>43343</v>
          </cell>
          <cell r="Q586"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86">
            <v>26780000</v>
          </cell>
          <cell r="S586">
            <v>0</v>
          </cell>
          <cell r="T586">
            <v>0</v>
          </cell>
          <cell r="U586">
            <v>26780000</v>
          </cell>
          <cell r="V586">
            <v>0</v>
          </cell>
        </row>
        <row r="587">
          <cell r="J587">
            <v>46</v>
          </cell>
          <cell r="K587">
            <v>43116</v>
          </cell>
          <cell r="L587" t="str">
            <v>ALVARO  DAVILA REMOLINA</v>
          </cell>
          <cell r="M587">
            <v>148</v>
          </cell>
          <cell r="N587" t="str">
            <v>CONTRATO DE PRESTACION DE SERVICIOS DE APOYO A LA GESTION</v>
          </cell>
          <cell r="O587">
            <v>51</v>
          </cell>
          <cell r="P587">
            <v>43116</v>
          </cell>
          <cell r="Q587" t="str">
            <v>Prestación de servicios de apoyo a la gestión, en la atención al servicio al ciudadano, teniendo en cuenta los protocolos, procedimientos y lineamientos establecidos por la CVP.</v>
          </cell>
          <cell r="R587">
            <v>34942750</v>
          </cell>
          <cell r="S587">
            <v>0</v>
          </cell>
          <cell r="T587">
            <v>0</v>
          </cell>
          <cell r="U587">
            <v>34942750</v>
          </cell>
          <cell r="V587">
            <v>19648967</v>
          </cell>
        </row>
        <row r="588">
          <cell r="J588">
            <v>82</v>
          </cell>
          <cell r="K588">
            <v>43116</v>
          </cell>
          <cell r="L588" t="str">
            <v>IVAN RODRIGO ROJAS ARBOLEDA</v>
          </cell>
          <cell r="M588">
            <v>145</v>
          </cell>
          <cell r="N588" t="str">
            <v>CONTRATO DE PRESTACION DE SERVICIOS PROFESIONALES</v>
          </cell>
          <cell r="O588">
            <v>68</v>
          </cell>
          <cell r="P588">
            <v>43116</v>
          </cell>
          <cell r="Q588" t="str">
            <v>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v>
          </cell>
          <cell r="R588">
            <v>82915000</v>
          </cell>
          <cell r="S588">
            <v>0</v>
          </cell>
          <cell r="T588">
            <v>0</v>
          </cell>
          <cell r="U588">
            <v>82915000</v>
          </cell>
          <cell r="V588">
            <v>43019666</v>
          </cell>
        </row>
        <row r="589">
          <cell r="J589">
            <v>94</v>
          </cell>
          <cell r="K589">
            <v>43116</v>
          </cell>
          <cell r="L589" t="str">
            <v>JULIO ANDRES CENDALES MORA</v>
          </cell>
          <cell r="M589">
            <v>145</v>
          </cell>
          <cell r="N589" t="str">
            <v>CONTRATO DE PRESTACION DE SERVICIOS PROFESIONALES</v>
          </cell>
          <cell r="O589">
            <v>90</v>
          </cell>
          <cell r="P589">
            <v>43116</v>
          </cell>
          <cell r="Q589" t="str">
            <v>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v>
          </cell>
          <cell r="R589">
            <v>57922050</v>
          </cell>
          <cell r="S589">
            <v>0</v>
          </cell>
          <cell r="T589">
            <v>0</v>
          </cell>
          <cell r="U589">
            <v>57922050</v>
          </cell>
          <cell r="V589">
            <v>32570660</v>
          </cell>
        </row>
        <row r="590">
          <cell r="J590">
            <v>99</v>
          </cell>
          <cell r="K590">
            <v>43116</v>
          </cell>
          <cell r="L590" t="str">
            <v>JUAN FERNANDO BETANCOURT FRANCO</v>
          </cell>
          <cell r="M590">
            <v>145</v>
          </cell>
          <cell r="N590" t="str">
            <v>CONTRATO DE PRESTACION DE SERVICIOS PROFESIONALES</v>
          </cell>
          <cell r="O590">
            <v>85</v>
          </cell>
          <cell r="P590">
            <v>43116</v>
          </cell>
          <cell r="Q590" t="str">
            <v>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v>
          </cell>
          <cell r="R590">
            <v>57922050</v>
          </cell>
          <cell r="S590">
            <v>0</v>
          </cell>
          <cell r="T590">
            <v>0</v>
          </cell>
          <cell r="U590">
            <v>57922050</v>
          </cell>
          <cell r="V590">
            <v>32570660</v>
          </cell>
        </row>
        <row r="591">
          <cell r="J591">
            <v>101</v>
          </cell>
          <cell r="K591">
            <v>43116</v>
          </cell>
          <cell r="L591" t="str">
            <v>JUAN PABLO BOTERO ARAGON</v>
          </cell>
          <cell r="M591">
            <v>145</v>
          </cell>
          <cell r="N591" t="str">
            <v>CONTRATO DE PRESTACION DE SERVICIOS PROFESIONALES</v>
          </cell>
          <cell r="O591">
            <v>86</v>
          </cell>
          <cell r="P591">
            <v>43116</v>
          </cell>
          <cell r="Q591" t="str">
            <v>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v>
          </cell>
          <cell r="R591">
            <v>57922050</v>
          </cell>
          <cell r="S591">
            <v>0</v>
          </cell>
          <cell r="T591">
            <v>0</v>
          </cell>
          <cell r="U591">
            <v>57922050</v>
          </cell>
          <cell r="V591">
            <v>32570660</v>
          </cell>
        </row>
        <row r="592">
          <cell r="J592">
            <v>111</v>
          </cell>
          <cell r="K592">
            <v>43117</v>
          </cell>
          <cell r="L592" t="str">
            <v>DIEGO ALEJANDRO RINCON PEREZ</v>
          </cell>
          <cell r="M592">
            <v>145</v>
          </cell>
          <cell r="N592" t="str">
            <v>CONTRATO DE PRESTACION DE SERVICIOS PROFESIONALES</v>
          </cell>
          <cell r="O592">
            <v>104</v>
          </cell>
          <cell r="P592">
            <v>43117</v>
          </cell>
          <cell r="Q592" t="str">
            <v>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v>
          </cell>
          <cell r="R592">
            <v>39088500</v>
          </cell>
          <cell r="S592">
            <v>0</v>
          </cell>
          <cell r="T592">
            <v>0</v>
          </cell>
          <cell r="U592">
            <v>39088500</v>
          </cell>
          <cell r="V592">
            <v>21980200</v>
          </cell>
        </row>
        <row r="593">
          <cell r="J593">
            <v>219</v>
          </cell>
          <cell r="K593">
            <v>43118</v>
          </cell>
          <cell r="L593" t="str">
            <v>ROBERT  URREGO RAMOS</v>
          </cell>
          <cell r="M593">
            <v>145</v>
          </cell>
          <cell r="N593" t="str">
            <v>CONTRATO DE PRESTACION DE SERVICIOS PROFESIONALES</v>
          </cell>
          <cell r="O593">
            <v>187</v>
          </cell>
          <cell r="P593">
            <v>43118</v>
          </cell>
          <cell r="Q593" t="str">
            <v>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v>
          </cell>
          <cell r="R593">
            <v>46968000</v>
          </cell>
          <cell r="S593">
            <v>0</v>
          </cell>
          <cell r="T593">
            <v>0</v>
          </cell>
          <cell r="U593">
            <v>46968000</v>
          </cell>
          <cell r="V593">
            <v>26368000</v>
          </cell>
        </row>
        <row r="594">
          <cell r="J594">
            <v>224</v>
          </cell>
          <cell r="K594">
            <v>43118</v>
          </cell>
          <cell r="L594" t="str">
            <v>JOHANA PATRICIA REYES MARCIALES</v>
          </cell>
          <cell r="M594">
            <v>145</v>
          </cell>
          <cell r="N594" t="str">
            <v>CONTRATO DE PRESTACION DE SERVICIOS PROFESIONALES</v>
          </cell>
          <cell r="O594">
            <v>198</v>
          </cell>
          <cell r="P594">
            <v>43118</v>
          </cell>
          <cell r="Q594" t="str">
            <v>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v>
          </cell>
          <cell r="R594">
            <v>71070000</v>
          </cell>
          <cell r="S594">
            <v>0</v>
          </cell>
          <cell r="T594">
            <v>0</v>
          </cell>
          <cell r="U594">
            <v>71070000</v>
          </cell>
          <cell r="V594">
            <v>39552000</v>
          </cell>
        </row>
        <row r="595">
          <cell r="J595">
            <v>460</v>
          </cell>
          <cell r="K595">
            <v>43126</v>
          </cell>
          <cell r="L595" t="str">
            <v>EDNA MARGARITA GONZALEZ ARANA</v>
          </cell>
          <cell r="M595">
            <v>145</v>
          </cell>
          <cell r="N595" t="str">
            <v>CONTRATO DE PRESTACION DE SERVICIOS PROFESIONALES</v>
          </cell>
          <cell r="O595">
            <v>387</v>
          </cell>
          <cell r="P595">
            <v>43126</v>
          </cell>
          <cell r="Q595" t="str">
            <v>Prestación de servicios profesionales para el apoyo de  la estrategia de comunicación externa, relaciones públicas y gestión de medios - Free Press de la Caja de la Vivienda Popular, garantizando la efectividad en medios masivos locales, regionales y nacionales.</v>
          </cell>
          <cell r="R595">
            <v>135960000</v>
          </cell>
          <cell r="S595">
            <v>0</v>
          </cell>
          <cell r="T595">
            <v>0</v>
          </cell>
          <cell r="U595">
            <v>135960000</v>
          </cell>
          <cell r="V595">
            <v>76220000</v>
          </cell>
        </row>
        <row r="596">
          <cell r="J596">
            <v>2507</v>
          </cell>
          <cell r="K596">
            <v>43299</v>
          </cell>
          <cell r="L596" t="str">
            <v>JOHNNY ALEXANDER RADA ESTEBAN</v>
          </cell>
          <cell r="M596">
            <v>145</v>
          </cell>
          <cell r="N596" t="str">
            <v>CONTRATO DE PRESTACION DE SERVICIOS PROFESIONALES</v>
          </cell>
          <cell r="O596">
            <v>446</v>
          </cell>
          <cell r="P596">
            <v>43299</v>
          </cell>
          <cell r="Q596" t="str">
            <v>PRESTAR LOS SERVICIOS PROFESIONALES A LA OFICINA ASESORA DE COMUNICACIONES COMO APOYO EN LA CONCEPTUALIZACIÓN Y DESARROLLO DE CAMPAÑAS DE COMUNICACIÓN CONFORME AL PLAN ESTRATÉGICO DE COMUNICACIONES DE LA ENTIDAD.</v>
          </cell>
          <cell r="R596">
            <v>24926000</v>
          </cell>
          <cell r="S596">
            <v>0</v>
          </cell>
          <cell r="T596">
            <v>0</v>
          </cell>
          <cell r="U596">
            <v>24926000</v>
          </cell>
          <cell r="V596">
            <v>1812800</v>
          </cell>
        </row>
        <row r="597">
          <cell r="J597">
            <v>2683</v>
          </cell>
          <cell r="K597">
            <v>43329</v>
          </cell>
          <cell r="L597" t="str">
            <v>MORENO FLOREZ MARIA ANDREA</v>
          </cell>
          <cell r="M597">
            <v>145</v>
          </cell>
          <cell r="N597" t="str">
            <v>CONTRATO DE PRESTACION DE SERVICIOS PROFESIONALES</v>
          </cell>
          <cell r="O597">
            <v>507</v>
          </cell>
          <cell r="P597">
            <v>43329</v>
          </cell>
          <cell r="Q597" t="str">
            <v>Contratar los servicios profesionales para apoyar en el diseño e implementación de estrategias de comunicación de la gestión de la caja de vivienda popular, garantizando el efectivo manejo de información destinada a los medios masivos de comunicación y distintos públicos de interés de la entidad.</v>
          </cell>
          <cell r="R597">
            <v>32445000</v>
          </cell>
          <cell r="S597">
            <v>0</v>
          </cell>
          <cell r="T597">
            <v>0</v>
          </cell>
          <cell r="U597">
            <v>32445000</v>
          </cell>
          <cell r="V597">
            <v>0</v>
          </cell>
        </row>
        <row r="598">
          <cell r="J598">
            <v>1</v>
          </cell>
          <cell r="K598">
            <v>43105</v>
          </cell>
          <cell r="L598" t="str">
            <v>SILENIA  NEIRA TORRES</v>
          </cell>
          <cell r="M598">
            <v>145</v>
          </cell>
          <cell r="N598" t="str">
            <v>CONTRATO DE PRESTACION DE SERVICIOS PROFESIONALES</v>
          </cell>
          <cell r="O598">
            <v>1</v>
          </cell>
          <cell r="P598">
            <v>43105</v>
          </cell>
          <cell r="Q598" t="str">
            <v>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v>
          </cell>
          <cell r="R598">
            <v>113300000</v>
          </cell>
          <cell r="S598">
            <v>0</v>
          </cell>
          <cell r="T598">
            <v>0</v>
          </cell>
          <cell r="U598">
            <v>113300000</v>
          </cell>
          <cell r="V598">
            <v>70726667</v>
          </cell>
        </row>
        <row r="599">
          <cell r="J599">
            <v>14</v>
          </cell>
          <cell r="K599">
            <v>43112</v>
          </cell>
          <cell r="L599" t="str">
            <v>JEFFERSON  MALAVER GOMEZ</v>
          </cell>
          <cell r="M599">
            <v>145</v>
          </cell>
          <cell r="N599" t="str">
            <v>CONTRATO DE PRESTACION DE SERVICIOS PROFESIONALES</v>
          </cell>
          <cell r="O599">
            <v>8</v>
          </cell>
          <cell r="P599">
            <v>43112</v>
          </cell>
          <cell r="Q599" t="str">
            <v>Prestación de servicios profesionales para apoyar la formulación, seguimiento y monitoreo al cumplimiento de objetivos y metas de los programas, proyectos y planes de acción de gestión que se ejecutan en la entidad.</v>
          </cell>
          <cell r="R599">
            <v>55403700</v>
          </cell>
          <cell r="S599">
            <v>0</v>
          </cell>
          <cell r="T599">
            <v>0</v>
          </cell>
          <cell r="U599">
            <v>55403700</v>
          </cell>
          <cell r="V599">
            <v>32906440</v>
          </cell>
        </row>
        <row r="600">
          <cell r="J600">
            <v>26</v>
          </cell>
          <cell r="K600">
            <v>43115</v>
          </cell>
          <cell r="L600" t="str">
            <v>JULIETH TATIANA SANCHEZ CASTILLO</v>
          </cell>
          <cell r="M600">
            <v>145</v>
          </cell>
          <cell r="N600" t="str">
            <v>CONTRATO DE PRESTACION DE SERVICIOS PROFESIONALES</v>
          </cell>
          <cell r="O600">
            <v>24</v>
          </cell>
          <cell r="P600">
            <v>43115</v>
          </cell>
          <cell r="Q600" t="str">
            <v>Prestación de servicios profesionales para el acompañamiento jurídico en las diferentes etapas de los procesos de contratación que adelante la Caja de la Vivienda Popular.</v>
          </cell>
          <cell r="R600">
            <v>76992500</v>
          </cell>
          <cell r="S600">
            <v>0</v>
          </cell>
          <cell r="T600">
            <v>0</v>
          </cell>
          <cell r="U600">
            <v>76992500</v>
          </cell>
          <cell r="V600">
            <v>43517500</v>
          </cell>
        </row>
        <row r="601">
          <cell r="J601">
            <v>39</v>
          </cell>
          <cell r="K601">
            <v>43116</v>
          </cell>
          <cell r="L601" t="str">
            <v>ORLANDO  BARBOSA SILVA</v>
          </cell>
          <cell r="M601">
            <v>145</v>
          </cell>
          <cell r="N601" t="str">
            <v>CONTRATO DE PRESTACION DE SERVICIOS PROFESIONALES</v>
          </cell>
          <cell r="O601">
            <v>48</v>
          </cell>
          <cell r="P601">
            <v>43116</v>
          </cell>
          <cell r="Q601" t="str">
            <v>Prestación de servicios profesionales para apoyar a la Dirección de Gestión Corporativa y CID en la revisión, estructuración, seguimiento y control de los aspectos financieros y presupuestales a su cargo.</v>
          </cell>
          <cell r="R601">
            <v>82915000</v>
          </cell>
          <cell r="S601">
            <v>0</v>
          </cell>
          <cell r="T601">
            <v>0</v>
          </cell>
          <cell r="U601">
            <v>82915000</v>
          </cell>
          <cell r="V601">
            <v>46624667</v>
          </cell>
        </row>
        <row r="602">
          <cell r="J602">
            <v>50</v>
          </cell>
          <cell r="K602">
            <v>43116</v>
          </cell>
          <cell r="L602" t="str">
            <v>KENNY BIVIANA ROJAS AMUD</v>
          </cell>
          <cell r="M602">
            <v>145</v>
          </cell>
          <cell r="N602" t="str">
            <v>CONTRATO DE PRESTACION DE SERVICIOS PROFESIONALES</v>
          </cell>
          <cell r="O602">
            <v>38</v>
          </cell>
          <cell r="P602">
            <v>43116</v>
          </cell>
          <cell r="Q602" t="str">
            <v>Prestación de servicios profesionales para el acompañamiento jurídico en las diferentes etapas de los procesos de contratación que adelante la Caja de la Vivienda Popular.</v>
          </cell>
          <cell r="R602">
            <v>76992500</v>
          </cell>
          <cell r="S602">
            <v>0</v>
          </cell>
          <cell r="T602">
            <v>0</v>
          </cell>
          <cell r="U602">
            <v>76992500</v>
          </cell>
          <cell r="V602">
            <v>43294333</v>
          </cell>
        </row>
        <row r="603">
          <cell r="J603">
            <v>51</v>
          </cell>
          <cell r="K603">
            <v>43116</v>
          </cell>
          <cell r="L603" t="str">
            <v>LAURA JIMENA RINCON ROMERO</v>
          </cell>
          <cell r="M603">
            <v>145</v>
          </cell>
          <cell r="N603" t="str">
            <v>CONTRATO DE PRESTACION DE SERVICIOS PROFESIONALES</v>
          </cell>
          <cell r="O603">
            <v>43</v>
          </cell>
          <cell r="P603">
            <v>43116</v>
          </cell>
          <cell r="Q603" t="str">
            <v>Prestar servicios profesionales para liderar las acciones que proceden de la planeación, programación, seguimiento y ejecución financiera que contribuyan al mejoramiento de los procesos a cargo de la Dirección de Gestión Corporativa y CID de la Caja de Vivienda Popular.</v>
          </cell>
          <cell r="R603">
            <v>76992500</v>
          </cell>
          <cell r="S603">
            <v>76992500</v>
          </cell>
          <cell r="T603">
            <v>0</v>
          </cell>
          <cell r="U603">
            <v>0</v>
          </cell>
          <cell r="V603">
            <v>0</v>
          </cell>
        </row>
        <row r="604">
          <cell r="J604">
            <v>52</v>
          </cell>
          <cell r="K604">
            <v>43116</v>
          </cell>
          <cell r="L604" t="str">
            <v>GERMAN ALEXANDER SANCHEZ RODRIGUEZ</v>
          </cell>
          <cell r="M604">
            <v>145</v>
          </cell>
          <cell r="N604" t="str">
            <v>CONTRATO DE PRESTACION DE SERVICIOS PROFESIONALES</v>
          </cell>
          <cell r="O604">
            <v>54</v>
          </cell>
          <cell r="P604">
            <v>43116</v>
          </cell>
          <cell r="Q604" t="str">
            <v>Prestación de servicios profesionales para apoyar la gestión documental del archivo de gestión contractual que se encuentra a cargo de la Dirección de Gestión Corporativa y CID de la Caja de Vivienda Popular.</v>
          </cell>
          <cell r="R604">
            <v>40865250</v>
          </cell>
          <cell r="S604">
            <v>0</v>
          </cell>
          <cell r="T604">
            <v>0</v>
          </cell>
          <cell r="U604">
            <v>40865250</v>
          </cell>
          <cell r="V604">
            <v>22979300</v>
          </cell>
        </row>
        <row r="605">
          <cell r="J605">
            <v>53</v>
          </cell>
          <cell r="K605">
            <v>43116</v>
          </cell>
          <cell r="L605" t="str">
            <v>NELSON MIGUEL JAIME OLAYA</v>
          </cell>
          <cell r="M605">
            <v>145</v>
          </cell>
          <cell r="N605" t="str">
            <v>CONTRATO DE PRESTACION DE SERVICIOS PROFESIONALES</v>
          </cell>
          <cell r="O605">
            <v>39</v>
          </cell>
          <cell r="P605">
            <v>43116</v>
          </cell>
          <cell r="Q605" t="str">
            <v>Prestación de servicios profesionales para el acompañamiento jurídico en las diferentes etapas de los procesos de contratación que adelante la Caja de la Vivienda Popular</v>
          </cell>
          <cell r="R605">
            <v>71070000</v>
          </cell>
          <cell r="S605">
            <v>0</v>
          </cell>
          <cell r="T605">
            <v>0</v>
          </cell>
          <cell r="U605">
            <v>71070000</v>
          </cell>
          <cell r="V605">
            <v>39964000</v>
          </cell>
        </row>
        <row r="606">
          <cell r="J606">
            <v>56</v>
          </cell>
          <cell r="K606">
            <v>43116</v>
          </cell>
          <cell r="L606" t="str">
            <v>MARITH ELISA BLANCHAR MARTINEZ</v>
          </cell>
          <cell r="M606">
            <v>145</v>
          </cell>
          <cell r="N606" t="str">
            <v>CONTRATO DE PRESTACION DE SERVICIOS PROFESIONALES</v>
          </cell>
          <cell r="O606">
            <v>44</v>
          </cell>
          <cell r="P606">
            <v>43116</v>
          </cell>
          <cell r="Q606" t="str">
            <v>Prestar servicios profesionales para apoyar el impulso de los procesos disciplinarios que se adelanten en la Caja de la Vivienda Popular y que se encuentran a cargo de la Dirección de Gestión Corporativa y CID en primera instancia.</v>
          </cell>
          <cell r="R606">
            <v>82915000</v>
          </cell>
          <cell r="S606">
            <v>0</v>
          </cell>
          <cell r="T606">
            <v>0</v>
          </cell>
          <cell r="U606">
            <v>82915000</v>
          </cell>
          <cell r="V606">
            <v>46624667</v>
          </cell>
        </row>
        <row r="607">
          <cell r="J607">
            <v>57</v>
          </cell>
          <cell r="K607">
            <v>43116</v>
          </cell>
          <cell r="L607" t="str">
            <v>LAURA JIMENA RINCON ROMERO</v>
          </cell>
          <cell r="M607">
            <v>145</v>
          </cell>
          <cell r="N607" t="str">
            <v>CONTRATO DE PRESTACION DE SERVICIOS PROFESIONALES</v>
          </cell>
          <cell r="O607">
            <v>43</v>
          </cell>
          <cell r="P607">
            <v>43116</v>
          </cell>
          <cell r="Q607" t="str">
            <v>Prestar servicios profesionales para liderar las acciones que proceden de la planeación, programación, seguimiento y ejecución financiera que contribuyan al mejoramiento de los procesos a cargo de la Dirección de Gestión Corporativa y CID de la Caja de Vivienda Popular.</v>
          </cell>
          <cell r="R607">
            <v>76992500</v>
          </cell>
          <cell r="S607">
            <v>0</v>
          </cell>
          <cell r="T607">
            <v>0</v>
          </cell>
          <cell r="U607">
            <v>76992500</v>
          </cell>
          <cell r="V607">
            <v>43294333</v>
          </cell>
        </row>
        <row r="608">
          <cell r="J608">
            <v>58</v>
          </cell>
          <cell r="K608">
            <v>43116</v>
          </cell>
          <cell r="L608" t="str">
            <v>ANGELA ROCIO DIAZ MORALES</v>
          </cell>
          <cell r="M608">
            <v>145</v>
          </cell>
          <cell r="N608" t="str">
            <v>CONTRATO DE PRESTACION DE SERVICIOS PROFESIONALES</v>
          </cell>
          <cell r="O608">
            <v>45</v>
          </cell>
          <cell r="P608">
            <v>43116</v>
          </cell>
          <cell r="Q608" t="str">
            <v>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v>
          </cell>
          <cell r="R608">
            <v>40865250</v>
          </cell>
          <cell r="S608">
            <v>0</v>
          </cell>
          <cell r="T608">
            <v>0</v>
          </cell>
          <cell r="U608">
            <v>40865250</v>
          </cell>
          <cell r="V608">
            <v>22505500</v>
          </cell>
        </row>
        <row r="609">
          <cell r="J609">
            <v>72</v>
          </cell>
          <cell r="K609">
            <v>43116</v>
          </cell>
          <cell r="L609" t="str">
            <v>MAGDA CECILIA ALBA DAZA</v>
          </cell>
          <cell r="M609">
            <v>145</v>
          </cell>
          <cell r="N609" t="str">
            <v>CONTRATO DE PRESTACION DE SERVICIOS PROFESIONALES</v>
          </cell>
          <cell r="O609">
            <v>58</v>
          </cell>
          <cell r="P609">
            <v>43116</v>
          </cell>
          <cell r="Q609" t="str">
            <v>Prestación de servicios profesionales para apoyar a la Subdirección Financiera en la ejecución y seguimiento presupuestal de la Caja de la Vivienda Popular.</v>
          </cell>
          <cell r="R609">
            <v>65147500</v>
          </cell>
          <cell r="S609">
            <v>0</v>
          </cell>
          <cell r="T609">
            <v>0</v>
          </cell>
          <cell r="U609">
            <v>65147500</v>
          </cell>
          <cell r="V609">
            <v>36633667</v>
          </cell>
        </row>
        <row r="610">
          <cell r="J610">
            <v>74</v>
          </cell>
          <cell r="K610">
            <v>43116</v>
          </cell>
          <cell r="L610" t="str">
            <v>BIBIANA ANDREA TRUJILLO SANCHEZ</v>
          </cell>
          <cell r="M610">
            <v>145</v>
          </cell>
          <cell r="N610" t="str">
            <v>CONTRATO DE PRESTACION DE SERVICIOS PROFESIONALES</v>
          </cell>
          <cell r="O610">
            <v>60</v>
          </cell>
          <cell r="P610">
            <v>43116</v>
          </cell>
          <cell r="Q610" t="str">
            <v>Prestación de Servicios Profesionales para efectuar la verificación, depuración, registros y ajustes contables de las operaciones financieras derivadas de la gestión de la Entidad, ejerciendo el autocontrol y garantizando la oportunidad y confiabilidad de la información.</v>
          </cell>
          <cell r="R610">
            <v>60409500</v>
          </cell>
          <cell r="S610">
            <v>0</v>
          </cell>
          <cell r="T610">
            <v>0</v>
          </cell>
          <cell r="U610">
            <v>60409500</v>
          </cell>
          <cell r="V610">
            <v>33969400</v>
          </cell>
        </row>
        <row r="611">
          <cell r="J611">
            <v>81</v>
          </cell>
          <cell r="K611">
            <v>43116</v>
          </cell>
          <cell r="L611" t="str">
            <v>RAUL ALEJANDRO MESA VARGAS</v>
          </cell>
          <cell r="M611">
            <v>145</v>
          </cell>
          <cell r="N611" t="str">
            <v>CONTRATO DE PRESTACION DE SERVICIOS PROFESIONALES</v>
          </cell>
          <cell r="O611">
            <v>66</v>
          </cell>
          <cell r="P611">
            <v>43116</v>
          </cell>
          <cell r="Q611" t="str">
            <v>Prestación de servicios profesionales para apoyar la formulación, seguimiento y monitoreo al cumplimiento de objetivos y metas de los programas, proyectos y planes de acción de gestión que se ejecutan en la entidad.</v>
          </cell>
          <cell r="R611">
            <v>45320000</v>
          </cell>
          <cell r="S611">
            <v>0</v>
          </cell>
          <cell r="T611">
            <v>0</v>
          </cell>
          <cell r="U611">
            <v>45320000</v>
          </cell>
          <cell r="V611">
            <v>26642667</v>
          </cell>
        </row>
        <row r="612">
          <cell r="J612">
            <v>93</v>
          </cell>
          <cell r="K612">
            <v>43116</v>
          </cell>
          <cell r="L612" t="str">
            <v>RODRIGO HERNAN RIOS OLIVEROS</v>
          </cell>
          <cell r="M612">
            <v>145</v>
          </cell>
          <cell r="N612" t="str">
            <v>CONTRATO DE PRESTACION DE SERVICIOS PROFESIONALES</v>
          </cell>
          <cell r="O612">
            <v>76</v>
          </cell>
          <cell r="P612">
            <v>43116</v>
          </cell>
          <cell r="Q612" t="str">
            <v>Prestación de servicios profesionales para el acompañamiento a la Dirección de Gestión Corporativa y CID, en la revisión, elaboración, monitoreo y articulación de las diferentes actuaciones jurídicas a su cargo.</v>
          </cell>
          <cell r="R612">
            <v>113300000</v>
          </cell>
          <cell r="S612">
            <v>53216666</v>
          </cell>
          <cell r="T612">
            <v>0</v>
          </cell>
          <cell r="U612">
            <v>60083334</v>
          </cell>
          <cell r="V612">
            <v>60083334</v>
          </cell>
        </row>
        <row r="613">
          <cell r="J613">
            <v>96</v>
          </cell>
          <cell r="K613">
            <v>43116</v>
          </cell>
          <cell r="L613" t="str">
            <v>MARIA ELIZABETH SALINAS BUSTOS</v>
          </cell>
          <cell r="M613">
            <v>145</v>
          </cell>
          <cell r="N613" t="str">
            <v>CONTRATO DE PRESTACION DE SERVICIOS PROFESIONALES</v>
          </cell>
          <cell r="O613">
            <v>89</v>
          </cell>
          <cell r="P613">
            <v>43116</v>
          </cell>
          <cell r="Q613" t="str">
            <v>Prestación de servicios profesionales para realizar el  proceso de convergencia y adapatabilidad del nuevo marco de regulación contable en la Caja de la Vivienda Popular.</v>
          </cell>
          <cell r="R613">
            <v>68927240</v>
          </cell>
          <cell r="S613">
            <v>0</v>
          </cell>
          <cell r="T613">
            <v>0</v>
          </cell>
          <cell r="U613">
            <v>68927240</v>
          </cell>
          <cell r="V613">
            <v>38759085</v>
          </cell>
        </row>
        <row r="614">
          <cell r="J614">
            <v>98</v>
          </cell>
          <cell r="K614">
            <v>43116</v>
          </cell>
          <cell r="L614" t="str">
            <v>RAFAEL  OSORIO CANTILLO</v>
          </cell>
          <cell r="M614">
            <v>145</v>
          </cell>
          <cell r="N614" t="str">
            <v>CONTRATO DE PRESTACION DE SERVICIOS PROFESIONALES</v>
          </cell>
          <cell r="O614">
            <v>88</v>
          </cell>
          <cell r="P614">
            <v>43116</v>
          </cell>
          <cell r="Q614" t="str">
            <v>Prestación de servicios profesionales para apoyar las actividades de contabilidad a cargo de la Subdirección Financiera, aplicando la normatividad vigente y atendiendo los procesos y procedimientos establecidos por la entidad.</v>
          </cell>
          <cell r="R614">
            <v>60409500</v>
          </cell>
          <cell r="S614">
            <v>0</v>
          </cell>
          <cell r="T614">
            <v>0</v>
          </cell>
          <cell r="U614">
            <v>60409500</v>
          </cell>
          <cell r="V614">
            <v>33969400</v>
          </cell>
        </row>
        <row r="615">
          <cell r="J615">
            <v>100</v>
          </cell>
          <cell r="K615">
            <v>43116</v>
          </cell>
          <cell r="L615" t="str">
            <v>NATACHA  ESLAVA VELEZ</v>
          </cell>
          <cell r="M615">
            <v>145</v>
          </cell>
          <cell r="N615" t="str">
            <v>CONTRATO DE PRESTACION DE SERVICIOS PROFESIONALES</v>
          </cell>
          <cell r="O615">
            <v>83</v>
          </cell>
          <cell r="P615">
            <v>43116</v>
          </cell>
          <cell r="Q615" t="str">
            <v>PRESTACIÓN DE SERVICIOS PROFESIONALES PARA APOYAR EL CONTINUO MEJORAMIENTO Y LA OPERACIÓN DEL PROCESO DE GESTIÓN DOCUMENTAL A CARGO DE LA SUBDIRECCIÓN ADMINISTRATIVA.</v>
          </cell>
          <cell r="R615">
            <v>65147500</v>
          </cell>
          <cell r="S615">
            <v>0</v>
          </cell>
          <cell r="T615">
            <v>0</v>
          </cell>
          <cell r="U615">
            <v>65147500</v>
          </cell>
          <cell r="V615">
            <v>35311833</v>
          </cell>
        </row>
        <row r="616">
          <cell r="J616">
            <v>102</v>
          </cell>
          <cell r="K616">
            <v>43116</v>
          </cell>
          <cell r="L616" t="str">
            <v>CLAUDIA MARCELA GARCIA</v>
          </cell>
          <cell r="M616">
            <v>145</v>
          </cell>
          <cell r="N616" t="str">
            <v>CONTRATO DE PRESTACION DE SERVICIOS PROFESIONALES</v>
          </cell>
          <cell r="O616">
            <v>70</v>
          </cell>
          <cell r="P616">
            <v>43116</v>
          </cell>
          <cell r="Q616" t="str">
            <v>Prestación de servicios profesionales para apoyar  los procesos de planeación, implementación, seguimiento, evaluación y mejoramiento  del Sistema Integrado de Gestión, así como el cumplimiento de la Ley de Transparencia y los preceptos de Gobierno en línea.</v>
          </cell>
          <cell r="R616">
            <v>67980000</v>
          </cell>
          <cell r="S616">
            <v>67980000</v>
          </cell>
          <cell r="T616">
            <v>0</v>
          </cell>
          <cell r="U616">
            <v>0</v>
          </cell>
          <cell r="V616">
            <v>0</v>
          </cell>
        </row>
        <row r="617">
          <cell r="J617">
            <v>107</v>
          </cell>
          <cell r="K617">
            <v>43116</v>
          </cell>
          <cell r="L617" t="str">
            <v>CLAUDIA MARCELA GARCIA</v>
          </cell>
          <cell r="M617">
            <v>145</v>
          </cell>
          <cell r="N617" t="str">
            <v>CONTRATO DE PRESTACION DE SERVICIOS PROFESIONALES</v>
          </cell>
          <cell r="O617">
            <v>70</v>
          </cell>
          <cell r="P617">
            <v>43116</v>
          </cell>
          <cell r="Q617" t="str">
            <v>PRESTACIÓN DE SERVICIOS PROFESIONALES PARA APOYAR  LOS PROCESOS DE PLANEACIÓN, IMPLEMENTACIÓN, SEGUIMIENTO, EVALUACIÓN Y MEJORAMIENTO  DEL SISTEMA INTEGRADO DE GESTIÓN, ASÍ COMO EL CUMPLIMIENTO DE LA LEY DE TRANSPARENCIA Y LOS LINEAMIENTOS DE GOBIERNO EN LÍNEA.</v>
          </cell>
          <cell r="R617">
            <v>67980000</v>
          </cell>
          <cell r="S617">
            <v>0</v>
          </cell>
          <cell r="T617">
            <v>0</v>
          </cell>
          <cell r="U617">
            <v>67980000</v>
          </cell>
          <cell r="V617">
            <v>39964000</v>
          </cell>
        </row>
        <row r="618">
          <cell r="J618">
            <v>113</v>
          </cell>
          <cell r="K618">
            <v>43117</v>
          </cell>
          <cell r="L618" t="str">
            <v>JHON FREDY CASTELLANOS TORO</v>
          </cell>
          <cell r="M618">
            <v>145</v>
          </cell>
          <cell r="N618" t="str">
            <v>CONTRATO DE PRESTACION DE SERVICIOS PROFESIONALES</v>
          </cell>
          <cell r="O618">
            <v>106</v>
          </cell>
          <cell r="P618">
            <v>43117</v>
          </cell>
          <cell r="Q618" t="str">
            <v>Prestar los servicios profesionales para el mantenimiento y mejora continua del Sistema Integrado de Gestión de los procesos a cargo de la Subdirección Administrativa, así como el seguimiento financiero a las actividades a su cargo.</v>
          </cell>
          <cell r="R618">
            <v>71070000</v>
          </cell>
          <cell r="S618">
            <v>0</v>
          </cell>
          <cell r="T618">
            <v>0</v>
          </cell>
          <cell r="U618">
            <v>71070000</v>
          </cell>
          <cell r="V618">
            <v>39964000</v>
          </cell>
        </row>
        <row r="619">
          <cell r="J619">
            <v>114</v>
          </cell>
          <cell r="K619">
            <v>43117</v>
          </cell>
          <cell r="L619" t="str">
            <v>SONIA MILENA GIL MONTOYA</v>
          </cell>
          <cell r="M619">
            <v>145</v>
          </cell>
          <cell r="N619" t="str">
            <v>CONTRATO DE PRESTACION DE SERVICIOS PROFESIONALES</v>
          </cell>
          <cell r="O619">
            <v>87</v>
          </cell>
          <cell r="P619">
            <v>43117</v>
          </cell>
          <cell r="Q619" t="str">
            <v>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v>
          </cell>
          <cell r="R619">
            <v>67980000</v>
          </cell>
          <cell r="S619">
            <v>0</v>
          </cell>
          <cell r="T619">
            <v>0</v>
          </cell>
          <cell r="U619">
            <v>67980000</v>
          </cell>
          <cell r="V619">
            <v>38728000</v>
          </cell>
        </row>
        <row r="620">
          <cell r="J620">
            <v>115</v>
          </cell>
          <cell r="K620">
            <v>43117</v>
          </cell>
          <cell r="L620" t="str">
            <v>GILBERTO ANTONIO SUAREZ FAJARDO</v>
          </cell>
          <cell r="M620">
            <v>145</v>
          </cell>
          <cell r="N620" t="str">
            <v>CONTRATO DE PRESTACION DE SERVICIOS PROFESIONALES</v>
          </cell>
          <cell r="O620">
            <v>93</v>
          </cell>
          <cell r="P620">
            <v>43117</v>
          </cell>
          <cell r="Q620" t="str">
            <v>Prestar servicios profesionales en el seguimiento y ajustes que resulten necesarios dentro del sistema integrado de gestión de la Caja de la Vivienda Popular y sus componentes, que se encuentren a cargo de la Dirección Jurídica.</v>
          </cell>
          <cell r="R620">
            <v>60409500</v>
          </cell>
          <cell r="S620">
            <v>0</v>
          </cell>
          <cell r="T620">
            <v>0</v>
          </cell>
          <cell r="U620">
            <v>60409500</v>
          </cell>
          <cell r="V620">
            <v>33969400</v>
          </cell>
        </row>
        <row r="621">
          <cell r="J621">
            <v>131</v>
          </cell>
          <cell r="K621">
            <v>43117</v>
          </cell>
          <cell r="L621" t="str">
            <v>CARLOS IVAN MUÑOZ ARIAS</v>
          </cell>
          <cell r="M621">
            <v>145</v>
          </cell>
          <cell r="N621" t="str">
            <v>CONTRATO DE PRESTACION DE SERVICIOS PROFESIONALES</v>
          </cell>
          <cell r="O621">
            <v>112</v>
          </cell>
          <cell r="P621">
            <v>43117</v>
          </cell>
          <cell r="Q621" t="str">
            <v>Prestación de servicios profesionalespara apoyar las actividades relacionadas con el proceso de cartera, aplicando la normatividad vigente y los procedimientos establecidos por la Subdirección Financiera</v>
          </cell>
          <cell r="R621">
            <v>60409500</v>
          </cell>
          <cell r="S621">
            <v>0</v>
          </cell>
          <cell r="T621">
            <v>0</v>
          </cell>
          <cell r="U621">
            <v>60409500</v>
          </cell>
          <cell r="V621">
            <v>33794300</v>
          </cell>
        </row>
        <row r="622">
          <cell r="J622">
            <v>237</v>
          </cell>
          <cell r="K622">
            <v>43119</v>
          </cell>
          <cell r="L622" t="str">
            <v>CAROLINA  MONTOYA DUQUE</v>
          </cell>
          <cell r="M622">
            <v>145</v>
          </cell>
          <cell r="N622" t="str">
            <v>CONTRATO DE PRESTACION DE SERVICIOS PROFESIONALES</v>
          </cell>
          <cell r="O622">
            <v>207</v>
          </cell>
          <cell r="P622">
            <v>43119</v>
          </cell>
          <cell r="Q622" t="str">
            <v>Prestación de servicios profesionales para apoyar el desarrollo de auditorias internas, seguimiento y evaluación a los planes establecidos para fortalecer el Sistema de Control Interno y el mejoramiento del Sistema Integrado de Gestión de la Entidad.</v>
          </cell>
          <cell r="R622">
            <v>30220200</v>
          </cell>
          <cell r="S622">
            <v>0</v>
          </cell>
          <cell r="T622">
            <v>0</v>
          </cell>
          <cell r="U622">
            <v>30220200</v>
          </cell>
          <cell r="V622">
            <v>30220200</v>
          </cell>
        </row>
        <row r="623">
          <cell r="J623">
            <v>238</v>
          </cell>
          <cell r="K623">
            <v>43119</v>
          </cell>
          <cell r="M623">
            <v>145</v>
          </cell>
          <cell r="N623" t="str">
            <v>CONTRATO DE PRESTACION DE SERVICIOS PROFESIONALES</v>
          </cell>
          <cell r="O623">
            <v>95</v>
          </cell>
          <cell r="P623">
            <v>43119</v>
          </cell>
          <cell r="Q623" t="str">
            <v>Prestar servicios profesionales a la Dirección Jurídica en el ejercicio de las actividades de conceptualización, revisión de actos administrativos y demás actividades que requieran ser ejecutadas por la Caja de la Vivienda Popular.</v>
          </cell>
          <cell r="R623">
            <v>57922050</v>
          </cell>
          <cell r="S623">
            <v>57922050</v>
          </cell>
          <cell r="T623">
            <v>0</v>
          </cell>
          <cell r="U623">
            <v>0</v>
          </cell>
          <cell r="V623">
            <v>0</v>
          </cell>
        </row>
        <row r="624">
          <cell r="J624">
            <v>248</v>
          </cell>
          <cell r="K624">
            <v>43119</v>
          </cell>
          <cell r="L624" t="str">
            <v>JONNATHAN ANDRES LARA HERRERA</v>
          </cell>
          <cell r="M624">
            <v>145</v>
          </cell>
          <cell r="N624" t="str">
            <v>CONTRATO DE PRESTACION DE SERVICIOS PROFESIONALES</v>
          </cell>
          <cell r="O624">
            <v>213</v>
          </cell>
          <cell r="P624">
            <v>43119</v>
          </cell>
          <cell r="Q624" t="str">
            <v>Prestación de servicios profesionales para realizar el seguimiento y control al cumplimiento del Sistema Integrado de Gestión de la CVP, así como del Plan Operativo de Control Interno.</v>
          </cell>
          <cell r="R624">
            <v>33990000</v>
          </cell>
          <cell r="S624">
            <v>0</v>
          </cell>
          <cell r="T624">
            <v>0</v>
          </cell>
          <cell r="U624">
            <v>33990000</v>
          </cell>
          <cell r="V624">
            <v>33990000</v>
          </cell>
        </row>
        <row r="625">
          <cell r="J625">
            <v>254</v>
          </cell>
          <cell r="K625">
            <v>43119</v>
          </cell>
          <cell r="L625" t="str">
            <v>CLAUDIA YANET D ANTONIO ADAME</v>
          </cell>
          <cell r="M625">
            <v>145</v>
          </cell>
          <cell r="N625" t="str">
            <v>CONTRATO DE PRESTACION DE SERVICIOS PROFESIONALES</v>
          </cell>
          <cell r="O625">
            <v>223</v>
          </cell>
          <cell r="P625">
            <v>43119</v>
          </cell>
          <cell r="Q625" t="str">
            <v>Prestación de servicios profesionales para realizar el seguimiento y evaluación a los procesos, con el fin de fortalecer el Sistema Integrado de Gestión y la sostenibilidad del MECI, apoyando además la ejecución del plan operativo de Control Interno.</v>
          </cell>
          <cell r="R625">
            <v>33990000</v>
          </cell>
          <cell r="S625">
            <v>0</v>
          </cell>
          <cell r="T625">
            <v>0</v>
          </cell>
          <cell r="U625">
            <v>33990000</v>
          </cell>
          <cell r="V625">
            <v>33990000</v>
          </cell>
        </row>
        <row r="626">
          <cell r="J626">
            <v>259</v>
          </cell>
          <cell r="K626">
            <v>43119</v>
          </cell>
          <cell r="L626" t="str">
            <v>SANDRA MILENA HERNANDEZ CUBILLOS</v>
          </cell>
          <cell r="M626">
            <v>145</v>
          </cell>
          <cell r="N626" t="str">
            <v>CONTRATO DE PRESTACION DE SERVICIOS PROFESIONALES</v>
          </cell>
          <cell r="O626">
            <v>233</v>
          </cell>
          <cell r="P626">
            <v>43119</v>
          </cell>
          <cell r="Q626" t="str">
            <v>PRESTAR LOS SERVICIOS PROFESIONALES PARA APOYAR A LA SUBDIRECCIÓN ADMINISTRATIVA EN LOS TEMAS ADMINISTRATIVOS Y DE EJECUCIÓN CONTRACTUAL TENDIENTES AL CUMPLIMIENTO DE LAS METAS ESTABLECIDAS.</v>
          </cell>
          <cell r="R626">
            <v>57922050</v>
          </cell>
          <cell r="S626">
            <v>0</v>
          </cell>
          <cell r="T626">
            <v>0</v>
          </cell>
          <cell r="U626">
            <v>57922050</v>
          </cell>
          <cell r="V626">
            <v>31731210</v>
          </cell>
        </row>
        <row r="627">
          <cell r="J627">
            <v>300</v>
          </cell>
          <cell r="K627">
            <v>43122</v>
          </cell>
          <cell r="L627" t="str">
            <v>JORGE ENRIQUE DURAN HERRERA</v>
          </cell>
          <cell r="M627">
            <v>145</v>
          </cell>
          <cell r="N627" t="str">
            <v>CONTRATO DE PRESTACION DE SERVICIOS PROFESIONALES</v>
          </cell>
          <cell r="O627">
            <v>265</v>
          </cell>
          <cell r="P627">
            <v>43122</v>
          </cell>
          <cell r="Q627" t="str">
            <v>Prestación de servicios profesionales para el acompañamiento jurídico en las diferentes etapas de los procesos de contratación que adelante la Caja de la Vivienda Popular</v>
          </cell>
          <cell r="R627">
            <v>51211600</v>
          </cell>
          <cell r="S627">
            <v>0</v>
          </cell>
          <cell r="T627">
            <v>0</v>
          </cell>
          <cell r="U627">
            <v>51211600</v>
          </cell>
          <cell r="V627">
            <v>28400533</v>
          </cell>
        </row>
        <row r="628">
          <cell r="J628">
            <v>310</v>
          </cell>
          <cell r="K628">
            <v>43122</v>
          </cell>
          <cell r="L628" t="str">
            <v>DARRYN  CALDERON TRUJILLO</v>
          </cell>
          <cell r="M628">
            <v>145</v>
          </cell>
          <cell r="N628" t="str">
            <v>CONTRATO DE PRESTACION DE SERVICIOS PROFESIONALES</v>
          </cell>
          <cell r="O628">
            <v>281</v>
          </cell>
          <cell r="P628">
            <v>43122</v>
          </cell>
          <cell r="Q628" t="str">
            <v>Prestación de servicios profesionales para acompañar a la DGC y CID en la revisión, actualización, y/o mejora de los diferentes procesos que se encuentran a su cargo.</v>
          </cell>
          <cell r="R628">
            <v>82915000</v>
          </cell>
          <cell r="S628">
            <v>0</v>
          </cell>
          <cell r="T628">
            <v>0</v>
          </cell>
          <cell r="U628">
            <v>82915000</v>
          </cell>
          <cell r="V628">
            <v>45182667</v>
          </cell>
        </row>
        <row r="629">
          <cell r="J629">
            <v>331</v>
          </cell>
          <cell r="K629">
            <v>43123</v>
          </cell>
          <cell r="L629" t="str">
            <v>LAURA FERNANDA GOMEZ RAMIREZ</v>
          </cell>
          <cell r="M629">
            <v>145</v>
          </cell>
          <cell r="N629" t="str">
            <v>CONTRATO DE PRESTACION DE SERVICIOS PROFESIONALES</v>
          </cell>
          <cell r="O629">
            <v>282</v>
          </cell>
          <cell r="P629">
            <v>43123</v>
          </cell>
          <cell r="Q629" t="str">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ell>
          <cell r="R629">
            <v>57500000</v>
          </cell>
          <cell r="S629">
            <v>0</v>
          </cell>
          <cell r="T629">
            <v>0</v>
          </cell>
          <cell r="U629">
            <v>57500000</v>
          </cell>
          <cell r="V629">
            <v>30166666</v>
          </cell>
        </row>
        <row r="630">
          <cell r="J630">
            <v>358</v>
          </cell>
          <cell r="K630">
            <v>43123</v>
          </cell>
          <cell r="L630" t="str">
            <v>BIENES RAICES ECA LTDA</v>
          </cell>
          <cell r="M630">
            <v>17</v>
          </cell>
          <cell r="N630" t="str">
            <v>CONTRATO DE ARRENDAMIENTO</v>
          </cell>
          <cell r="O630">
            <v>291</v>
          </cell>
          <cell r="P630">
            <v>43123</v>
          </cell>
          <cell r="Q630" t="str">
            <v>CONTRATAR EL ARRENDAMIENTO DE BODEGA PARA EL ARCHIVO DE GESTIÓN DOCUMENTAL DE LA CAJA DE LA VIVIENDA POPULAR, SEGÚN ACUERDO NO. 049 DE 2000 DEL ARCHIVO GENERAL DE LA NACIÓN.</v>
          </cell>
          <cell r="R630">
            <v>65884824</v>
          </cell>
          <cell r="S630">
            <v>0</v>
          </cell>
          <cell r="T630">
            <v>0</v>
          </cell>
          <cell r="U630">
            <v>65884824</v>
          </cell>
          <cell r="V630">
            <v>34406519</v>
          </cell>
        </row>
        <row r="631">
          <cell r="J631">
            <v>406</v>
          </cell>
          <cell r="K631">
            <v>43124</v>
          </cell>
          <cell r="L631" t="str">
            <v>LAURA CAMILA FLOREZ CHAVERRA</v>
          </cell>
          <cell r="M631">
            <v>148</v>
          </cell>
          <cell r="N631" t="str">
            <v>CONTRATO DE PRESTACION DE SERVICIOS DE APOYO A LA GESTION</v>
          </cell>
          <cell r="O631">
            <v>290</v>
          </cell>
          <cell r="P631">
            <v>43124</v>
          </cell>
          <cell r="Q631" t="str">
            <v>Prestación de servicios de apoyo a la gestión para el adelantamiento de actividades administrativas y operativas relacionadas con los procesos a cargo de la Dirección de Gestión Corporativa y CID.</v>
          </cell>
          <cell r="R631">
            <v>17252500</v>
          </cell>
          <cell r="S631">
            <v>0</v>
          </cell>
          <cell r="T631">
            <v>0</v>
          </cell>
          <cell r="U631">
            <v>17252500</v>
          </cell>
          <cell r="V631">
            <v>9630500</v>
          </cell>
        </row>
        <row r="632">
          <cell r="J632">
            <v>431</v>
          </cell>
          <cell r="K632">
            <v>43124</v>
          </cell>
          <cell r="L632" t="str">
            <v>JIMMY ALEXANDER MONTAÑO DUQUE</v>
          </cell>
          <cell r="M632">
            <v>145</v>
          </cell>
          <cell r="N632" t="str">
            <v>CONTRATO DE PRESTACION DE SERVICIOS PROFESIONALES</v>
          </cell>
          <cell r="O632">
            <v>372</v>
          </cell>
          <cell r="P632">
            <v>43124</v>
          </cell>
          <cell r="Q632" t="str">
            <v>Prestar los servicios profesionales para apoyar la consolidación, seguimiento, implementación y actualización de los instrumentos archivísticos de la entidad y demás temas inherentes al proceso de Gestión Documental a cargo de la Subdirección Administrativa.</v>
          </cell>
          <cell r="R632">
            <v>26780000</v>
          </cell>
          <cell r="S632">
            <v>0</v>
          </cell>
          <cell r="T632">
            <v>0</v>
          </cell>
          <cell r="U632">
            <v>26780000</v>
          </cell>
          <cell r="V632">
            <v>25544000</v>
          </cell>
        </row>
        <row r="633">
          <cell r="J633">
            <v>440</v>
          </cell>
          <cell r="K633">
            <v>43125</v>
          </cell>
          <cell r="L633" t="str">
            <v>JOAN MANUELWILHAYNER GAITAN FERRER</v>
          </cell>
          <cell r="M633">
            <v>145</v>
          </cell>
          <cell r="N633" t="str">
            <v>CONTRATO DE PRESTACION DE SERVICIOS PROFESIONALES</v>
          </cell>
          <cell r="O633">
            <v>378</v>
          </cell>
          <cell r="P633">
            <v>43125</v>
          </cell>
          <cell r="Q633" t="str">
            <v>Prestar servicios profesionales para apoyar la planeación, seguimiento, proyección y evaluación de los proyectos de inversión y los planes de gestión de la Caja de la Vivienda Popular.</v>
          </cell>
          <cell r="R633">
            <v>37389000</v>
          </cell>
          <cell r="S633">
            <v>0</v>
          </cell>
          <cell r="T633">
            <v>0</v>
          </cell>
          <cell r="U633">
            <v>37389000</v>
          </cell>
          <cell r="V633">
            <v>20960500</v>
          </cell>
        </row>
        <row r="634">
          <cell r="J634">
            <v>441</v>
          </cell>
          <cell r="K634">
            <v>43125</v>
          </cell>
          <cell r="L634" t="str">
            <v>ADRIANA  DURAN CABRA</v>
          </cell>
          <cell r="M634">
            <v>145</v>
          </cell>
          <cell r="N634" t="str">
            <v>CONTRATO DE PRESTACION DE SERVICIOS PROFESIONALES</v>
          </cell>
          <cell r="O634">
            <v>380</v>
          </cell>
          <cell r="P634">
            <v>43125</v>
          </cell>
          <cell r="Q634" t="str">
            <v>Prestación de servicios profesionales para acompañar a la Dirección de Gestión Corporativa y CID en el seguimiento y monitoreo de las diferentes herramientas del Sistema Integrado de Gestión de los procesos que se encuentran a su cargo.</v>
          </cell>
          <cell r="R634">
            <v>71070000</v>
          </cell>
          <cell r="S634">
            <v>0</v>
          </cell>
          <cell r="T634">
            <v>0</v>
          </cell>
          <cell r="U634">
            <v>71070000</v>
          </cell>
          <cell r="V634">
            <v>38316000</v>
          </cell>
        </row>
        <row r="635">
          <cell r="J635">
            <v>452</v>
          </cell>
          <cell r="K635">
            <v>43125</v>
          </cell>
          <cell r="L635" t="str">
            <v>YUDY MARIETH VELEZ CALDERON</v>
          </cell>
          <cell r="M635">
            <v>145</v>
          </cell>
          <cell r="N635" t="str">
            <v>CONTRATO DE PRESTACION DE SERVICIOS PROFESIONALES</v>
          </cell>
          <cell r="O635">
            <v>382</v>
          </cell>
          <cell r="P635">
            <v>43125</v>
          </cell>
          <cell r="Q635" t="str">
            <v>Prestación de servicios profesionales para el acompañamiento jurídico en las diferentes etapas de los procesos de contratación que adelante la Caja de la Vivienda Popular</v>
          </cell>
          <cell r="R635">
            <v>82915000</v>
          </cell>
          <cell r="S635">
            <v>0</v>
          </cell>
          <cell r="T635">
            <v>0</v>
          </cell>
          <cell r="U635">
            <v>82915000</v>
          </cell>
          <cell r="V635">
            <v>44461667</v>
          </cell>
        </row>
        <row r="636">
          <cell r="J636">
            <v>481</v>
          </cell>
          <cell r="K636">
            <v>43126</v>
          </cell>
          <cell r="L636" t="str">
            <v>NICOLAS ANDRES GUZMAN PADILLA</v>
          </cell>
          <cell r="M636">
            <v>145</v>
          </cell>
          <cell r="N636" t="str">
            <v>CONTRATO DE PRESTACION DE SERVICIOS PROFESIONALES</v>
          </cell>
          <cell r="O636">
            <v>403</v>
          </cell>
          <cell r="P636">
            <v>43126</v>
          </cell>
          <cell r="Q636" t="str">
            <v>Prestar servicios profesionales a la Dirección Jurídica en el ejercicio de las actividades de conceptualización, revisión de actos administrativos y demás actividades que requieran ser ejecutadas por la Caja de la Vivienda Popular.</v>
          </cell>
          <cell r="R636">
            <v>52118000</v>
          </cell>
          <cell r="S636">
            <v>0</v>
          </cell>
          <cell r="T636">
            <v>0</v>
          </cell>
          <cell r="U636">
            <v>52118000</v>
          </cell>
          <cell r="V636">
            <v>28098400</v>
          </cell>
        </row>
        <row r="637">
          <cell r="J637">
            <v>506</v>
          </cell>
          <cell r="K637">
            <v>43126</v>
          </cell>
          <cell r="L637" t="str">
            <v>RAFAEL  PINILLA CUEVA</v>
          </cell>
          <cell r="M637">
            <v>145</v>
          </cell>
          <cell r="N637" t="str">
            <v>CONTRATO DE PRESTACION DE SERVICIOS PROFESIONALES</v>
          </cell>
          <cell r="O637">
            <v>416</v>
          </cell>
          <cell r="P637">
            <v>43126</v>
          </cell>
          <cell r="Q637" t="str">
            <v>Prestación de servicios profesionales para el desarrollo de actividades tendientes al manejo de información confiable, oportuna y en los tiempos requeridos, mejorando los procesos de calidad de la Subdirección Financiera de la Caja de la Vivienda Popular.</v>
          </cell>
          <cell r="R637">
            <v>39088500</v>
          </cell>
          <cell r="S637">
            <v>0</v>
          </cell>
          <cell r="T637">
            <v>0</v>
          </cell>
          <cell r="U637">
            <v>39088500</v>
          </cell>
          <cell r="V637">
            <v>20733900</v>
          </cell>
        </row>
        <row r="638">
          <cell r="J638">
            <v>1656</v>
          </cell>
          <cell r="K638">
            <v>43185</v>
          </cell>
          <cell r="L638" t="str">
            <v>HORACIO  DUQUE DUQUE</v>
          </cell>
          <cell r="M638">
            <v>17</v>
          </cell>
          <cell r="N638" t="str">
            <v>CONTRATO DE ARRENDAMIENTO</v>
          </cell>
          <cell r="O638">
            <v>564</v>
          </cell>
          <cell r="P638">
            <v>43185</v>
          </cell>
          <cell r="Q638" t="str">
            <v>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v>
          </cell>
          <cell r="R638">
            <v>31143000</v>
          </cell>
          <cell r="S638">
            <v>0</v>
          </cell>
          <cell r="T638">
            <v>0</v>
          </cell>
          <cell r="U638">
            <v>31143000</v>
          </cell>
          <cell r="V638">
            <v>31143000</v>
          </cell>
        </row>
        <row r="639">
          <cell r="J639">
            <v>2405</v>
          </cell>
          <cell r="K639">
            <v>43280</v>
          </cell>
          <cell r="L639" t="str">
            <v>EDGAR DAVID MOTTA REVOLLO</v>
          </cell>
          <cell r="M639">
            <v>145</v>
          </cell>
          <cell r="N639" t="str">
            <v>CONTRATO DE PRESTACION DE SERVICIOS PROFESIONALES</v>
          </cell>
          <cell r="O639">
            <v>437</v>
          </cell>
          <cell r="P639">
            <v>43280</v>
          </cell>
          <cell r="Q639" t="str">
            <v>PRESTACIÓN DE SERVICIOS PROFESIONALES EN EL DESARROLLO DE ACTIVIDADES JURÍDICAS Y ADMINISTRATIVAS TRANSVERSALES RELACIONADAS CON LOS DIFERENTES PROYECTOS DE LA ENTIDAD, PARA SU CORRESPONDIENTE REPORTE ANTE LA DIRECCIÓN GENERAL DE LA CAJA DE LA VIVIENDA POPULAR.</v>
          </cell>
          <cell r="R639">
            <v>54000000</v>
          </cell>
          <cell r="S639">
            <v>0</v>
          </cell>
          <cell r="T639">
            <v>0</v>
          </cell>
          <cell r="U639">
            <v>54000000</v>
          </cell>
          <cell r="V639">
            <v>8400000</v>
          </cell>
        </row>
        <row r="640">
          <cell r="J640">
            <v>2435</v>
          </cell>
          <cell r="K640">
            <v>43286</v>
          </cell>
          <cell r="L640" t="str">
            <v>JUAN JOSE CORREDOR CABUYA</v>
          </cell>
          <cell r="M640">
            <v>145</v>
          </cell>
          <cell r="N640" t="str">
            <v>CONTRATO DE PRESTACION DE SERVICIOS PROFESIONALES</v>
          </cell>
          <cell r="O640">
            <v>439</v>
          </cell>
          <cell r="P640">
            <v>43286</v>
          </cell>
          <cell r="Q640" t="str">
            <v>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v>
          </cell>
          <cell r="R640">
            <v>48890667</v>
          </cell>
          <cell r="S640">
            <v>0</v>
          </cell>
          <cell r="T640">
            <v>0</v>
          </cell>
          <cell r="U640">
            <v>48890667</v>
          </cell>
          <cell r="V640">
            <v>7141333</v>
          </cell>
        </row>
        <row r="641">
          <cell r="J641">
            <v>2447</v>
          </cell>
          <cell r="K641">
            <v>43286</v>
          </cell>
          <cell r="L641" t="str">
            <v>SERVICIOS POSTALES NACIONALES S A</v>
          </cell>
          <cell r="M641">
            <v>12</v>
          </cell>
          <cell r="N641" t="str">
            <v>CONTRATO DE PRESTACION DE SERVICIOS</v>
          </cell>
          <cell r="O641">
            <v>440</v>
          </cell>
          <cell r="P641">
            <v>43286</v>
          </cell>
          <cell r="Q641" t="str">
            <v>Prestación del servicio de mensajería expresa y motorizada para la recolección, transporte y entrega de la correspondencia de la Caja de la Vivienda Popular.</v>
          </cell>
          <cell r="R641">
            <v>22992271</v>
          </cell>
          <cell r="S641">
            <v>0</v>
          </cell>
          <cell r="T641">
            <v>0</v>
          </cell>
          <cell r="U641">
            <v>22992271</v>
          </cell>
          <cell r="V641">
            <v>0</v>
          </cell>
        </row>
        <row r="642">
          <cell r="J642">
            <v>2456</v>
          </cell>
          <cell r="K642">
            <v>43290</v>
          </cell>
          <cell r="L642" t="str">
            <v>LIESET KATHERINE REYES ACHIPIZ</v>
          </cell>
          <cell r="M642">
            <v>145</v>
          </cell>
          <cell r="N642" t="str">
            <v>CONTRATO DE PRESTACION DE SERVICIOS PROFESIONALES</v>
          </cell>
          <cell r="O642">
            <v>441</v>
          </cell>
          <cell r="P642">
            <v>43290</v>
          </cell>
          <cell r="Q642" t="str">
            <v>Prestación de servicios profesionales para el acompañamiento jurídico en las diferentes etapas de los procesos de contratación que adelante la Caja de la Vivienda Popular.</v>
          </cell>
          <cell r="R642">
            <v>31167800</v>
          </cell>
          <cell r="S642">
            <v>0</v>
          </cell>
          <cell r="T642">
            <v>0</v>
          </cell>
          <cell r="U642">
            <v>31167800</v>
          </cell>
          <cell r="V642">
            <v>3852200</v>
          </cell>
        </row>
        <row r="643">
          <cell r="J643">
            <v>2486</v>
          </cell>
          <cell r="K643">
            <v>43292</v>
          </cell>
          <cell r="L643" t="str">
            <v>ANDREA JOHANNA GUTIERREZ MARTINEZ</v>
          </cell>
          <cell r="M643">
            <v>148</v>
          </cell>
          <cell r="N643" t="str">
            <v>CONTRATO DE PRESTACION DE SERVICIOS DE APOYO A LA GESTION</v>
          </cell>
          <cell r="O643">
            <v>444</v>
          </cell>
          <cell r="P643">
            <v>43292</v>
          </cell>
          <cell r="Q643" t="str">
            <v>Prestación de servicios de apoyo a la gestión en la Dirección de Gestión Corporativa y CID, para apoyar operativamente las actividades relacionadas con la aplicación de los instrumentos archivísticos de la entidad.</v>
          </cell>
          <cell r="R643">
            <v>10039067</v>
          </cell>
          <cell r="S643">
            <v>0</v>
          </cell>
          <cell r="T643">
            <v>0</v>
          </cell>
          <cell r="U643">
            <v>10039067</v>
          </cell>
          <cell r="V643">
            <v>1108967</v>
          </cell>
        </row>
        <row r="644">
          <cell r="J644">
            <v>2500</v>
          </cell>
          <cell r="K644">
            <v>43298</v>
          </cell>
          <cell r="L644" t="str">
            <v>GUSTAVO ANDRES POLANIA CALDERON</v>
          </cell>
          <cell r="M644">
            <v>145</v>
          </cell>
          <cell r="N644" t="str">
            <v>CONTRATO DE PRESTACION DE SERVICIOS PROFESIONALES</v>
          </cell>
          <cell r="O644">
            <v>445</v>
          </cell>
          <cell r="P644">
            <v>43298</v>
          </cell>
          <cell r="Q644" t="str">
            <v>Prestar servicios profesionales para apoyar la planeación, seguimiento y evaluación de los subsistemas del Sistema Integrado de Gestión de la Caja de la Vivienda Popular.</v>
          </cell>
          <cell r="R644">
            <v>28877080</v>
          </cell>
          <cell r="S644">
            <v>0</v>
          </cell>
          <cell r="T644">
            <v>0</v>
          </cell>
          <cell r="U644">
            <v>28877080</v>
          </cell>
          <cell r="V644">
            <v>2350460</v>
          </cell>
        </row>
        <row r="645">
          <cell r="J645">
            <v>2540</v>
          </cell>
          <cell r="K645">
            <v>43305</v>
          </cell>
          <cell r="L645" t="str">
            <v>MAURICIO ALFONSO CALDERON ACERO</v>
          </cell>
          <cell r="M645">
            <v>145</v>
          </cell>
          <cell r="N645" t="str">
            <v>CONTRATO DE PRESTACION DE SERVICIOS PROFESIONALES</v>
          </cell>
          <cell r="O645">
            <v>460</v>
          </cell>
          <cell r="P645">
            <v>43305</v>
          </cell>
          <cell r="Q645" t="str">
            <v>Prestación de servicios profesionales como enlace jurídico para la atención de los requerimientos y trámites que adelante la Dirección General de la Caja de la Vivienda Popular ante los diferentes órganos de control.</v>
          </cell>
          <cell r="R645">
            <v>49266000</v>
          </cell>
          <cell r="S645">
            <v>0</v>
          </cell>
          <cell r="T645">
            <v>0</v>
          </cell>
          <cell r="U645">
            <v>49266000</v>
          </cell>
          <cell r="V645">
            <v>2499000</v>
          </cell>
        </row>
        <row r="646">
          <cell r="J646">
            <v>2552</v>
          </cell>
          <cell r="K646">
            <v>43313</v>
          </cell>
          <cell r="L646" t="str">
            <v>DIEGO GERMAN MANJARREZ SANCHEZ</v>
          </cell>
          <cell r="M646">
            <v>145</v>
          </cell>
          <cell r="N646" t="str">
            <v>CONTRATO DE PRESTACION DE SERVICIOS PROFESIONALES</v>
          </cell>
          <cell r="O646">
            <v>471</v>
          </cell>
          <cell r="P646">
            <v>43313</v>
          </cell>
          <cell r="Q646" t="str">
            <v>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v>
          </cell>
          <cell r="R646">
            <v>42573333</v>
          </cell>
          <cell r="S646">
            <v>0</v>
          </cell>
          <cell r="T646">
            <v>0</v>
          </cell>
          <cell r="U646">
            <v>42573333</v>
          </cell>
          <cell r="V646">
            <v>0</v>
          </cell>
        </row>
        <row r="647">
          <cell r="J647">
            <v>2614</v>
          </cell>
          <cell r="K647">
            <v>43320</v>
          </cell>
          <cell r="L647" t="str">
            <v>JIMMY ALEXANDER MONTAÑO DUQUE</v>
          </cell>
          <cell r="M647">
            <v>145</v>
          </cell>
          <cell r="N647" t="str">
            <v>CONTRATO DE PRESTACION DE SERVICIOS PROFESIONALES</v>
          </cell>
          <cell r="O647">
            <v>372</v>
          </cell>
          <cell r="P647">
            <v>43320</v>
          </cell>
          <cell r="Q647" t="str">
            <v>ADICIÓN Y PRORROGA AL CONTRATO 372 DE 2018 CUYO OBJETO ES "PRESTAR LOS SERVICIOS PROFESIONALES PARA APOYAR LA CONSOLIDACIÓN, SEGUIMIENTO, IMPLEMENTACIÓN Y ACTUALIZACIÓN DE LOS INSTRUMENTOS ARCHIVÍSTICOS DE LA ENTIDAD Y DEMÁS TEMAS INHERENTES AL PROCESO DE GESTIÓN DOCUMENTAL A CARGO DE LA SUBDIRECCIÓN ADMINISTRATIVA.."</v>
          </cell>
          <cell r="R647">
            <v>8240000</v>
          </cell>
          <cell r="S647">
            <v>0</v>
          </cell>
          <cell r="T647">
            <v>0</v>
          </cell>
          <cell r="U647">
            <v>8240000</v>
          </cell>
          <cell r="V647">
            <v>0</v>
          </cell>
        </row>
        <row r="648">
          <cell r="J648">
            <v>2659</v>
          </cell>
          <cell r="K648">
            <v>43327</v>
          </cell>
          <cell r="L648" t="str">
            <v>MARIA ELENA  MEJIA QUINTANILLA</v>
          </cell>
          <cell r="M648">
            <v>148</v>
          </cell>
          <cell r="N648" t="str">
            <v>CONTRATO DE PRESTACION DE SERVICIOS DE APOYO A LA GESTION</v>
          </cell>
          <cell r="O648">
            <v>488</v>
          </cell>
          <cell r="P648">
            <v>43327</v>
          </cell>
          <cell r="Q648" t="str">
            <v>Prestación de servicios de apoyo a la gestión en la Dirección de Gestión Corporativa y CID, para apoyar operativamente las actividades realacionadas con la aplicación de los instrumentos archivísticos de la entidad.</v>
          </cell>
          <cell r="R648">
            <v>8346433</v>
          </cell>
          <cell r="S648">
            <v>0</v>
          </cell>
          <cell r="T648">
            <v>0</v>
          </cell>
          <cell r="U648">
            <v>8346433</v>
          </cell>
          <cell r="V648">
            <v>0</v>
          </cell>
        </row>
        <row r="649">
          <cell r="J649">
            <v>2674</v>
          </cell>
          <cell r="K649">
            <v>43329</v>
          </cell>
          <cell r="L649" t="str">
            <v>HERNAN DARIO PARRA RODRIGUEZ</v>
          </cell>
          <cell r="M649">
            <v>145</v>
          </cell>
          <cell r="N649" t="str">
            <v>CONTRATO DE PRESTACION DE SERVICIOS PROFESIONALES</v>
          </cell>
          <cell r="O649">
            <v>504</v>
          </cell>
          <cell r="P649">
            <v>43329</v>
          </cell>
          <cell r="Q649" t="str">
            <v>Prestación de servicios profesionales para el compañamiento administrativo en la elaboración, seguimiento y control de los temas a cargo de la Subdirección Administrativa.</v>
          </cell>
          <cell r="R649">
            <v>12360000</v>
          </cell>
          <cell r="S649">
            <v>0</v>
          </cell>
          <cell r="T649">
            <v>0</v>
          </cell>
          <cell r="U649">
            <v>12360000</v>
          </cell>
          <cell r="V649">
            <v>0</v>
          </cell>
        </row>
        <row r="650">
          <cell r="J650">
            <v>2741</v>
          </cell>
          <cell r="K650">
            <v>43336</v>
          </cell>
          <cell r="L650" t="str">
            <v>DAVID RICARDO OCHOA YEPES</v>
          </cell>
          <cell r="M650">
            <v>145</v>
          </cell>
          <cell r="N650" t="str">
            <v>CONTRATO DE PRESTACION DE SERVICIOS PROFESIONALES</v>
          </cell>
          <cell r="O650">
            <v>538</v>
          </cell>
          <cell r="P650">
            <v>43336</v>
          </cell>
          <cell r="Q650" t="str">
            <v>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v>
          </cell>
          <cell r="R650">
            <v>38400000</v>
          </cell>
          <cell r="S650">
            <v>0</v>
          </cell>
          <cell r="T650">
            <v>0</v>
          </cell>
          <cell r="U650">
            <v>38400000</v>
          </cell>
          <cell r="V650">
            <v>0</v>
          </cell>
        </row>
        <row r="651">
          <cell r="J651">
            <v>2748</v>
          </cell>
          <cell r="K651">
            <v>43336</v>
          </cell>
          <cell r="L651" t="str">
            <v>MARIA EMMA OROZCO ESPINOSA</v>
          </cell>
          <cell r="M651">
            <v>145</v>
          </cell>
          <cell r="N651" t="str">
            <v>CONTRATO DE PRESTACION DE SERVICIOS PROFESIONALES</v>
          </cell>
          <cell r="O651">
            <v>535</v>
          </cell>
          <cell r="P651">
            <v>43336</v>
          </cell>
          <cell r="Q651" t="str">
            <v>Prestar los servicios profesionales para ejercer la representación judicial y extrajudicial en materia policiva, en defensa de los intereses de la Caja de la Vivienda Popular y demás actividades de la Dirección Jurídica.</v>
          </cell>
          <cell r="R651">
            <v>39000000</v>
          </cell>
          <cell r="S651">
            <v>0</v>
          </cell>
          <cell r="T651">
            <v>0</v>
          </cell>
          <cell r="U651">
            <v>39000000</v>
          </cell>
          <cell r="V651">
            <v>0</v>
          </cell>
        </row>
        <row r="652">
          <cell r="J652">
            <v>2749</v>
          </cell>
          <cell r="K652">
            <v>43336</v>
          </cell>
          <cell r="L652" t="str">
            <v>VICTOR EMILIO ROA TOVAR</v>
          </cell>
          <cell r="M652">
            <v>145</v>
          </cell>
          <cell r="N652" t="str">
            <v>CONTRATO DE PRESTACION DE SERVICIOS PROFESIONALES</v>
          </cell>
          <cell r="O652">
            <v>536</v>
          </cell>
          <cell r="P652">
            <v>43336</v>
          </cell>
          <cell r="Q652" t="str">
            <v>PRESTAR SUS SERVICIOS PROFESIONALES EN LOS PROCEDIMIENTOS A CARGO DE LA DIRECCIÓN JURÍDICA PARA EL CUMPLIMIENTO DE SUS OBJETIVOS.</v>
          </cell>
          <cell r="R652">
            <v>27810000</v>
          </cell>
          <cell r="S652">
            <v>0</v>
          </cell>
          <cell r="T652">
            <v>0</v>
          </cell>
          <cell r="U652">
            <v>27810000</v>
          </cell>
          <cell r="V652">
            <v>0</v>
          </cell>
        </row>
        <row r="653">
          <cell r="J653">
            <v>2755</v>
          </cell>
          <cell r="K653">
            <v>43339</v>
          </cell>
          <cell r="L653" t="str">
            <v>NELSON JOSE VILLARRAGA QUIJANO</v>
          </cell>
          <cell r="M653">
            <v>145</v>
          </cell>
          <cell r="N653" t="str">
            <v>CONTRATO DE PRESTACION DE SERVICIOS PROFESIONALES</v>
          </cell>
          <cell r="O653">
            <v>539</v>
          </cell>
          <cell r="P653">
            <v>43339</v>
          </cell>
          <cell r="Q653" t="str">
            <v>Prestar servicios profesionales para ejercer la representación judicial y extrajudicial en materia penal, en defensa de los intereses de la Caja de la Vivienda Popular y demás actividades de la Dirección Jurídica.</v>
          </cell>
          <cell r="R653">
            <v>27810000</v>
          </cell>
          <cell r="S653">
            <v>0</v>
          </cell>
          <cell r="T653">
            <v>0</v>
          </cell>
          <cell r="U653">
            <v>27810000</v>
          </cell>
          <cell r="V653">
            <v>0</v>
          </cell>
        </row>
        <row r="654">
          <cell r="J654">
            <v>54</v>
          </cell>
          <cell r="K654">
            <v>43116</v>
          </cell>
          <cell r="L654" t="str">
            <v>HERNAN MAURICIO RINCON BEDOYA</v>
          </cell>
          <cell r="M654">
            <v>145</v>
          </cell>
          <cell r="N654" t="str">
            <v>CONTRATO DE PRESTACION DE SERVICIOS PROFESIONALES</v>
          </cell>
          <cell r="O654">
            <v>41</v>
          </cell>
          <cell r="P654">
            <v>43116</v>
          </cell>
          <cell r="Q654" t="str">
            <v>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v>
          </cell>
          <cell r="R654">
            <v>76992500</v>
          </cell>
          <cell r="S654">
            <v>0</v>
          </cell>
          <cell r="T654">
            <v>0</v>
          </cell>
          <cell r="U654">
            <v>76992500</v>
          </cell>
          <cell r="V654">
            <v>43294333</v>
          </cell>
        </row>
        <row r="655">
          <cell r="J655">
            <v>166</v>
          </cell>
          <cell r="K655">
            <v>43118</v>
          </cell>
          <cell r="L655" t="str">
            <v>JORGE HUMBERTO PINILLA RAMIREZ</v>
          </cell>
          <cell r="M655">
            <v>145</v>
          </cell>
          <cell r="N655" t="str">
            <v>CONTRATO DE PRESTACION DE SERVICIOS PROFESIONALES</v>
          </cell>
          <cell r="O655">
            <v>124</v>
          </cell>
          <cell r="P655">
            <v>43118</v>
          </cell>
          <cell r="Q655" t="str">
            <v>Prestar los servicios profesionales para la construcción y soporte sobre procesos de sistemas de información de la Caja de la Vivienda Popular</v>
          </cell>
          <cell r="R655">
            <v>82915000</v>
          </cell>
          <cell r="S655">
            <v>0</v>
          </cell>
          <cell r="T655">
            <v>0</v>
          </cell>
          <cell r="U655">
            <v>82915000</v>
          </cell>
          <cell r="V655">
            <v>46384333</v>
          </cell>
        </row>
        <row r="656">
          <cell r="J656">
            <v>172</v>
          </cell>
          <cell r="K656">
            <v>43118</v>
          </cell>
          <cell r="L656" t="str">
            <v>JAIRO  REMOLINA PEÑALOSA</v>
          </cell>
          <cell r="M656">
            <v>145</v>
          </cell>
          <cell r="N656" t="str">
            <v>CONTRATO DE PRESTACION DE SERVICIOS PROFESIONALES</v>
          </cell>
          <cell r="O656">
            <v>139</v>
          </cell>
          <cell r="P656">
            <v>43118</v>
          </cell>
          <cell r="Q656" t="str">
            <v>PRESTAR LOS SERVICIOS PROFESIONALES EN LA EJECUCIÓN DE ACTIVIDADES DE APOYO EN PROCESOS CONTRACTUALES, GESTIÓN DE SOLUCIONES Y TRÁMITES EN GENERAL QUE SE ENCUENTRAN A CARGO DE LA OFICINA TIC PARA LA CAJA DE LA VIVIENDA POPULAR.</v>
          </cell>
          <cell r="R656">
            <v>39088500</v>
          </cell>
          <cell r="S656">
            <v>0</v>
          </cell>
          <cell r="T656">
            <v>0</v>
          </cell>
          <cell r="U656">
            <v>39088500</v>
          </cell>
          <cell r="V656">
            <v>21866900</v>
          </cell>
        </row>
        <row r="657">
          <cell r="J657">
            <v>221</v>
          </cell>
          <cell r="K657">
            <v>43118</v>
          </cell>
          <cell r="L657" t="str">
            <v>NEPHI ESTEBAN OLIVEROS DEDERLE</v>
          </cell>
          <cell r="M657">
            <v>148</v>
          </cell>
          <cell r="N657" t="str">
            <v>CONTRATO DE PRESTACION DE SERVICIOS DE APOYO A LA GESTION</v>
          </cell>
          <cell r="O657">
            <v>195</v>
          </cell>
          <cell r="P657">
            <v>43118</v>
          </cell>
          <cell r="Q657" t="str">
            <v>Prestar los servicios de apoyo técnico para la administración de servidores de aplicación, servidores de información misional y de gestión de la entidad, así como soporte en las redes de comunicación para la Caja de la Vivienda Popular.</v>
          </cell>
          <cell r="R657">
            <v>34156173</v>
          </cell>
          <cell r="S657">
            <v>0</v>
          </cell>
          <cell r="T657">
            <v>0</v>
          </cell>
          <cell r="U657">
            <v>34156173</v>
          </cell>
          <cell r="V657">
            <v>21292160</v>
          </cell>
        </row>
        <row r="658">
          <cell r="J658">
            <v>251</v>
          </cell>
          <cell r="K658">
            <v>43119</v>
          </cell>
          <cell r="L658" t="str">
            <v>CESAR IVAN QUINTERO GARZON</v>
          </cell>
          <cell r="M658">
            <v>148</v>
          </cell>
          <cell r="N658" t="str">
            <v>CONTRATO DE PRESTACION DE SERVICIOS DE APOYO A LA GESTION</v>
          </cell>
          <cell r="O658">
            <v>204</v>
          </cell>
          <cell r="P658">
            <v>43119</v>
          </cell>
          <cell r="Q658" t="str">
            <v>Prestar los servicios de apoyo técnico para el soporte y mantenimiento tanto preventivo como correctivo de hardware, software y redes, así como soporte técnico presencial de requerimientos tecnológicos para la Caja de la Vivienda Popular.</v>
          </cell>
          <cell r="R658">
            <v>36595900</v>
          </cell>
          <cell r="S658">
            <v>0</v>
          </cell>
          <cell r="T658">
            <v>0</v>
          </cell>
          <cell r="U658">
            <v>36595900</v>
          </cell>
          <cell r="V658">
            <v>21292160</v>
          </cell>
        </row>
        <row r="659">
          <cell r="J659">
            <v>333</v>
          </cell>
          <cell r="K659">
            <v>43123</v>
          </cell>
          <cell r="L659" t="str">
            <v>OSCAR JAVIER ORDUZ GALVIS</v>
          </cell>
          <cell r="M659">
            <v>145</v>
          </cell>
          <cell r="N659" t="str">
            <v>CONTRATO DE PRESTACION DE SERVICIOS PROFESIONALES</v>
          </cell>
          <cell r="O659">
            <v>283</v>
          </cell>
          <cell r="P659">
            <v>43123</v>
          </cell>
          <cell r="Q659" t="str">
            <v>Prestar los servicios profesionales en la ejecución de actividades de apoyo en la administración de los servicios tecnológicos y  en la implementación del proceso de gestión de TIC en el sistema integrado de gestión, para la oficina TIC de la caja de la vivienda popular.</v>
          </cell>
          <cell r="R659">
            <v>51966933</v>
          </cell>
          <cell r="S659">
            <v>0</v>
          </cell>
          <cell r="T659">
            <v>0</v>
          </cell>
          <cell r="U659">
            <v>51966933</v>
          </cell>
          <cell r="V659">
            <v>28400533</v>
          </cell>
        </row>
        <row r="660">
          <cell r="J660">
            <v>468</v>
          </cell>
          <cell r="K660">
            <v>43126</v>
          </cell>
          <cell r="L660" t="str">
            <v>LUZ MARINA CHARRY LARA</v>
          </cell>
          <cell r="M660">
            <v>145</v>
          </cell>
          <cell r="N660" t="str">
            <v>CONTRATO DE PRESTACION DE SERVICIOS PROFESIONALES</v>
          </cell>
          <cell r="O660">
            <v>395</v>
          </cell>
          <cell r="P660">
            <v>43126</v>
          </cell>
          <cell r="Q660" t="str">
            <v>Prestar los servicios profesionales para realizar el soporte, mantenimiento y desarrollo de los aplicativos LIMAY, PAC, OPGET, PREDIS Y CORDIS de Si-Capital para la Caja de la Vivienda Popular.</v>
          </cell>
          <cell r="R660">
            <v>59709100</v>
          </cell>
          <cell r="S660">
            <v>0</v>
          </cell>
          <cell r="T660">
            <v>0</v>
          </cell>
          <cell r="U660">
            <v>59709100</v>
          </cell>
          <cell r="V660">
            <v>32393500</v>
          </cell>
        </row>
        <row r="661">
          <cell r="J661">
            <v>486</v>
          </cell>
          <cell r="K661">
            <v>43126</v>
          </cell>
          <cell r="L661" t="str">
            <v>IVAN DARIO CORTES WILCHES</v>
          </cell>
          <cell r="M661">
            <v>145</v>
          </cell>
          <cell r="N661" t="str">
            <v>CONTRATO DE PRESTACION DE SERVICIOS PROFESIONALES</v>
          </cell>
          <cell r="O661">
            <v>408</v>
          </cell>
          <cell r="P661">
            <v>43126</v>
          </cell>
          <cell r="Q661" t="str">
            <v>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v>
          </cell>
          <cell r="R661">
            <v>177905000</v>
          </cell>
          <cell r="S661">
            <v>0</v>
          </cell>
          <cell r="T661">
            <v>0</v>
          </cell>
          <cell r="U661">
            <v>177905000</v>
          </cell>
          <cell r="V661">
            <v>95398334</v>
          </cell>
        </row>
        <row r="662">
          <cell r="J662">
            <v>489</v>
          </cell>
          <cell r="K662">
            <v>43126</v>
          </cell>
          <cell r="L662" t="str">
            <v>LUIS ALEXANDER JIMENEZ ALVARADO</v>
          </cell>
          <cell r="M662">
            <v>145</v>
          </cell>
          <cell r="N662" t="str">
            <v>CONTRATO DE PRESTACION DE SERVICIOS PROFESIONALES</v>
          </cell>
          <cell r="O662">
            <v>418</v>
          </cell>
          <cell r="P662">
            <v>43126</v>
          </cell>
          <cell r="Q662" t="str">
            <v>Prestar los servicios profesionales especializados de apoyo en actividades de Administración de bases de datos institucionales y de gestión de la información misional de la entidad, para la Oficina TIC de la Caja de la Vivienda Popular</v>
          </cell>
          <cell r="R662">
            <v>39799200</v>
          </cell>
          <cell r="S662">
            <v>0</v>
          </cell>
          <cell r="T662">
            <v>0</v>
          </cell>
          <cell r="U662">
            <v>39799200</v>
          </cell>
          <cell r="V662">
            <v>21439450</v>
          </cell>
        </row>
        <row r="663">
          <cell r="J663">
            <v>490</v>
          </cell>
          <cell r="K663">
            <v>43126</v>
          </cell>
          <cell r="L663" t="str">
            <v>ESTHER LIGIA VILLARRAGA CIFUENTES</v>
          </cell>
          <cell r="M663">
            <v>145</v>
          </cell>
          <cell r="N663" t="str">
            <v>CONTRATO DE PRESTACION DE SERVICIOS PROFESIONALES</v>
          </cell>
          <cell r="O663">
            <v>419</v>
          </cell>
          <cell r="P663">
            <v>43126</v>
          </cell>
          <cell r="Q663" t="str">
            <v>Prestar los servicios profesionales para realizar el soporte, mantenimiento y desarrollo de los aplicativos PERNO de Si-Capital y Desprendibles de Pago para la Caja de la Vivienda Popular</v>
          </cell>
          <cell r="R663">
            <v>36256000</v>
          </cell>
          <cell r="S663">
            <v>0</v>
          </cell>
          <cell r="T663">
            <v>0</v>
          </cell>
          <cell r="U663">
            <v>36256000</v>
          </cell>
          <cell r="V663">
            <v>27192000</v>
          </cell>
        </row>
        <row r="664">
          <cell r="J664">
            <v>495</v>
          </cell>
          <cell r="K664">
            <v>43126</v>
          </cell>
          <cell r="L664" t="str">
            <v>WILSON  MOLANO FERNANDEZ</v>
          </cell>
          <cell r="M664">
            <v>145</v>
          </cell>
          <cell r="N664" t="str">
            <v>CONTRATO DE PRESTACION DE SERVICIOS PROFESIONALES</v>
          </cell>
          <cell r="O664">
            <v>424</v>
          </cell>
          <cell r="P664">
            <v>43126</v>
          </cell>
          <cell r="Q664" t="str">
            <v>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v>
          </cell>
          <cell r="R664">
            <v>80511667</v>
          </cell>
          <cell r="S664">
            <v>0</v>
          </cell>
          <cell r="T664">
            <v>0</v>
          </cell>
          <cell r="U664">
            <v>80511667</v>
          </cell>
          <cell r="V664">
            <v>43740667</v>
          </cell>
        </row>
        <row r="665">
          <cell r="J665">
            <v>2546</v>
          </cell>
          <cell r="K665">
            <v>43308</v>
          </cell>
          <cell r="L665" t="str">
            <v>LUIS GABRIEL BAREÑO ROMERO</v>
          </cell>
          <cell r="M665">
            <v>148</v>
          </cell>
          <cell r="N665" t="str">
            <v>CONTRATO DE PRESTACION DE SERVICIOS DE APOYO A LA GESTION</v>
          </cell>
          <cell r="O665">
            <v>469</v>
          </cell>
          <cell r="P665">
            <v>43308</v>
          </cell>
          <cell r="Q665" t="str">
            <v>Prestar los servicios de apoyo técnico para la gestión de la oficina tic, en la solución de requerimientos de servicios tecnológicos y soporte técnico presencial para la Caja de la Vivienda Popular.</v>
          </cell>
          <cell r="R665">
            <v>16634500</v>
          </cell>
          <cell r="S665">
            <v>0</v>
          </cell>
          <cell r="T665">
            <v>0</v>
          </cell>
          <cell r="U665">
            <v>16634500</v>
          </cell>
          <cell r="V665">
            <v>0</v>
          </cell>
        </row>
        <row r="666">
          <cell r="J666">
            <v>2529</v>
          </cell>
          <cell r="K666">
            <v>43305</v>
          </cell>
          <cell r="L666" t="str">
            <v>FIDEICOMISOS SERVITRUST GNB SUDAMERIS S.A.</v>
          </cell>
          <cell r="M666">
            <v>39</v>
          </cell>
          <cell r="N666" t="str">
            <v>ACTAS</v>
          </cell>
          <cell r="O666">
            <v>1</v>
          </cell>
          <cell r="P666">
            <v>43305</v>
          </cell>
          <cell r="Q666" t="str">
            <v>SUFRAGAR LOS GASTOS QUE SE INCURRAN  EN LA ADICIÓN DEL CONTRATO DE FIDUCIA MERCANTIL SUSCRITO CON FIDUCIARIA TEQUENDAMA S.A. HOY FIDUCIARIA GNB SUDAMERIS S.A, PATRIMONIO AUTÓNOMO ATAHUALPA II EN LIQUIDACIÓN, DE ACUERDO CON LO APROBADO EN EL ACTA DE JUNTA ORDINARIA NO. 1/2018 DEL 28 DE JUNIO DE 2018. CONSTITUCION MEDIANTE ESCRITURA PUBLICA N° 1353 DEL 11/08/1993, ID 2-1-9880.</v>
          </cell>
          <cell r="R666">
            <v>14280000</v>
          </cell>
          <cell r="S666">
            <v>0</v>
          </cell>
          <cell r="T666">
            <v>0</v>
          </cell>
          <cell r="U666">
            <v>14280000</v>
          </cell>
          <cell r="V666">
            <v>0</v>
          </cell>
        </row>
        <row r="667">
          <cell r="J667">
            <v>1484</v>
          </cell>
          <cell r="K667">
            <v>43160</v>
          </cell>
          <cell r="L667" t="str">
            <v>UNION TEMPORAL BIOLIMPIEZA</v>
          </cell>
          <cell r="M667">
            <v>4</v>
          </cell>
          <cell r="N667" t="str">
            <v>ORDEN DE COMPRA</v>
          </cell>
          <cell r="O667">
            <v>429</v>
          </cell>
          <cell r="P667">
            <v>43160</v>
          </cell>
          <cell r="Q667" t="str">
            <v>PRESTACIÓN DEL SERVICIO INTEGRAL DE ASEO Y CAFETERIA PARA LA CAJA DE LA VIVIENDA POPULAR</v>
          </cell>
          <cell r="R667">
            <v>157537280</v>
          </cell>
          <cell r="S667">
            <v>0</v>
          </cell>
          <cell r="T667">
            <v>0</v>
          </cell>
          <cell r="U667">
            <v>157537280</v>
          </cell>
          <cell r="V667">
            <v>84492358</v>
          </cell>
        </row>
        <row r="668">
          <cell r="J668">
            <v>1468</v>
          </cell>
          <cell r="K668">
            <v>43154</v>
          </cell>
          <cell r="L668" t="str">
            <v>PC COM S A</v>
          </cell>
          <cell r="M668">
            <v>4</v>
          </cell>
          <cell r="N668" t="str">
            <v>ORDEN DE COMPRA</v>
          </cell>
          <cell r="O668">
            <v>327</v>
          </cell>
          <cell r="P668">
            <v>43154</v>
          </cell>
          <cell r="Q668" t="str">
            <v>ADICIÓN AL CONTRATO 327 DE 2017, CUYO OBJETO ES: CONTRATAR EL ARRENDAMIENTO DE EQUIPOS TECNOLÓGICOS Y PERIFÉRICOS CON DESTINO A LAS DIFERENTES DEPENDENCIAS DE LA CAJA DE LA VIVIENDA POPULAR.</v>
          </cell>
          <cell r="R668">
            <v>62302353</v>
          </cell>
          <cell r="S668">
            <v>0</v>
          </cell>
          <cell r="T668">
            <v>0</v>
          </cell>
          <cell r="U668">
            <v>62302353</v>
          </cell>
          <cell r="V668">
            <v>62302353</v>
          </cell>
        </row>
        <row r="669">
          <cell r="J669">
            <v>1658</v>
          </cell>
          <cell r="K669">
            <v>43185</v>
          </cell>
          <cell r="L669" t="str">
            <v>COMPUTEL SYSTEM SAS</v>
          </cell>
          <cell r="M669">
            <v>4</v>
          </cell>
          <cell r="N669" t="str">
            <v>ORDEN DE COMPRA</v>
          </cell>
          <cell r="O669">
            <v>430</v>
          </cell>
          <cell r="P669">
            <v>43185</v>
          </cell>
          <cell r="Q669" t="str">
            <v>Arrendar Equipos Tecnológicos y Periféricos - ETP, de acuerdo a las especificaciones técnicas del Anexo Técnico establecidos conforme a las necesidades de la Caja de la Vivienda Popular.</v>
          </cell>
          <cell r="R669">
            <v>480518525</v>
          </cell>
          <cell r="S669">
            <v>0</v>
          </cell>
          <cell r="T669">
            <v>0</v>
          </cell>
          <cell r="U669">
            <v>480518525</v>
          </cell>
          <cell r="V669">
            <v>212167570</v>
          </cell>
        </row>
        <row r="670">
          <cell r="J670">
            <v>1802</v>
          </cell>
          <cell r="K670">
            <v>43203</v>
          </cell>
          <cell r="L670" t="str">
            <v>COLOMBIANA DE SOFTWARE Y HARDWARE COLSOF S A</v>
          </cell>
          <cell r="M670">
            <v>4</v>
          </cell>
          <cell r="N670" t="str">
            <v>ORDEN DE COMPRA</v>
          </cell>
          <cell r="O670">
            <v>433</v>
          </cell>
          <cell r="P670">
            <v>43203</v>
          </cell>
          <cell r="Q670" t="str">
            <v>Adquirir a Titulo de compra-venta, Equipos de Escritorios, de acuerdo a las especificaciones técnicas del Anexo Técnico establecidos conforme a las necesidades de la Caja de la Vivienda Popular.</v>
          </cell>
          <cell r="R670">
            <v>678072000</v>
          </cell>
          <cell r="S670">
            <v>0</v>
          </cell>
          <cell r="T670">
            <v>0</v>
          </cell>
          <cell r="U670">
            <v>678072000</v>
          </cell>
          <cell r="V670">
            <v>678072000</v>
          </cell>
        </row>
        <row r="671">
          <cell r="J671">
            <v>1960</v>
          </cell>
          <cell r="K671">
            <v>43250</v>
          </cell>
          <cell r="L671" t="str">
            <v>UT SOFT  IG</v>
          </cell>
          <cell r="M671">
            <v>4</v>
          </cell>
          <cell r="N671" t="str">
            <v>ORDEN DE COMPRA</v>
          </cell>
          <cell r="O671">
            <v>434</v>
          </cell>
          <cell r="P671">
            <v>43250</v>
          </cell>
          <cell r="Q671" t="str">
            <v>Adquirir el licenciamiento de Microsoft Office Profesional para uso de la Caja de la Vivienda Popular.</v>
          </cell>
          <cell r="R671">
            <v>317799910</v>
          </cell>
          <cell r="S671">
            <v>0</v>
          </cell>
          <cell r="T671">
            <v>0</v>
          </cell>
          <cell r="U671">
            <v>317799910</v>
          </cell>
          <cell r="V671">
            <v>317799910</v>
          </cell>
        </row>
        <row r="672">
          <cell r="J672">
            <v>1991</v>
          </cell>
          <cell r="K672">
            <v>43252</v>
          </cell>
          <cell r="L672" t="str">
            <v>EFORCERS S.A.</v>
          </cell>
          <cell r="M672">
            <v>100</v>
          </cell>
          <cell r="N672" t="str">
            <v>OFERTA DE COMPRA</v>
          </cell>
          <cell r="O672">
            <v>435</v>
          </cell>
          <cell r="P672">
            <v>43252</v>
          </cell>
          <cell r="Q672" t="str">
            <v>Adquisición de buzones de correo electrónico y herramientas de colaboración sobre la plataforma Google por medio del Licenciamiento G Suite para la Caja de la Vivienda Popular.</v>
          </cell>
          <cell r="R672">
            <v>198665476</v>
          </cell>
          <cell r="S672">
            <v>0</v>
          </cell>
          <cell r="T672">
            <v>0</v>
          </cell>
          <cell r="U672">
            <v>198665476</v>
          </cell>
          <cell r="V672">
            <v>198665476</v>
          </cell>
        </row>
        <row r="673">
          <cell r="J673">
            <v>2551</v>
          </cell>
          <cell r="K673">
            <v>43312</v>
          </cell>
          <cell r="L673" t="str">
            <v>UT   CCE   TECNOLOGICO</v>
          </cell>
          <cell r="M673">
            <v>4</v>
          </cell>
          <cell r="N673" t="str">
            <v>ORDEN DE COMPRA</v>
          </cell>
          <cell r="O673">
            <v>474</v>
          </cell>
          <cell r="P673">
            <v>43312</v>
          </cell>
          <cell r="Q673" t="str">
            <v>Adquirir a Título de compra-venta, computadores portátiles para la Caja de la Vivienda Popular, de acuerdo a características y cantidades descritas en el documento Anexo Técnico.</v>
          </cell>
          <cell r="R673">
            <v>36135918</v>
          </cell>
          <cell r="S673">
            <v>0</v>
          </cell>
          <cell r="T673">
            <v>0</v>
          </cell>
          <cell r="U673">
            <v>36135918</v>
          </cell>
          <cell r="V673">
            <v>0</v>
          </cell>
        </row>
        <row r="674">
          <cell r="J674">
            <v>364</v>
          </cell>
          <cell r="K674">
            <v>43124</v>
          </cell>
          <cell r="L674" t="str">
            <v>CAJA DE VIVIENDA POPULAR</v>
          </cell>
          <cell r="M674">
            <v>1</v>
          </cell>
          <cell r="N674" t="str">
            <v>RELACION DE AUTORIZACION</v>
          </cell>
          <cell r="O674">
            <v>4</v>
          </cell>
          <cell r="P674">
            <v>43124</v>
          </cell>
          <cell r="Q674" t="str">
            <v>PAGO DE LA NOMINA DEL MES DE ENERO DE 2018 DE PLANTA FIJA Y CONVENCIONADOS</v>
          </cell>
          <cell r="R674">
            <v>187375616</v>
          </cell>
          <cell r="S674">
            <v>0</v>
          </cell>
          <cell r="T674">
            <v>0</v>
          </cell>
          <cell r="U674">
            <v>187375616</v>
          </cell>
          <cell r="V674">
            <v>187375616</v>
          </cell>
        </row>
        <row r="675">
          <cell r="J675">
            <v>1384</v>
          </cell>
          <cell r="K675">
            <v>43151</v>
          </cell>
          <cell r="L675" t="str">
            <v>CAJA DE VIVIENDA POPULAR</v>
          </cell>
          <cell r="M675">
            <v>1</v>
          </cell>
          <cell r="N675" t="str">
            <v>RELACION DE AUTORIZACION</v>
          </cell>
          <cell r="O675">
            <v>16</v>
          </cell>
          <cell r="P675">
            <v>43151</v>
          </cell>
          <cell r="Q675" t="str">
            <v>PAGO DE LA NOMINA DEL MES DE FEBRERO DE 2018 DE PLANTA FIJA Y CONVENCIONADOS</v>
          </cell>
          <cell r="R675">
            <v>206598856</v>
          </cell>
          <cell r="S675">
            <v>0</v>
          </cell>
          <cell r="T675">
            <v>0</v>
          </cell>
          <cell r="U675">
            <v>206598856</v>
          </cell>
          <cell r="V675">
            <v>206598856</v>
          </cell>
        </row>
        <row r="676">
          <cell r="J676">
            <v>1603</v>
          </cell>
          <cell r="K676">
            <v>43180</v>
          </cell>
          <cell r="L676" t="str">
            <v>CAJA DE VIVIENDA POPULAR</v>
          </cell>
          <cell r="M676">
            <v>1</v>
          </cell>
          <cell r="N676" t="str">
            <v>RELACION DE AUTORIZACION</v>
          </cell>
          <cell r="O676">
            <v>24</v>
          </cell>
          <cell r="P676">
            <v>43180</v>
          </cell>
          <cell r="Q676" t="str">
            <v>PAGO DE LA NOMINA DEL MES DE MARZO DE 2018 DE PLANTA FIJA Y CONVENCIONADOS</v>
          </cell>
          <cell r="R676">
            <v>228012870</v>
          </cell>
          <cell r="S676">
            <v>228012870</v>
          </cell>
          <cell r="T676">
            <v>0</v>
          </cell>
          <cell r="U676">
            <v>0</v>
          </cell>
          <cell r="V676">
            <v>0</v>
          </cell>
        </row>
        <row r="677">
          <cell r="J677">
            <v>1615</v>
          </cell>
          <cell r="K677">
            <v>43181</v>
          </cell>
          <cell r="L677" t="str">
            <v>CAJA DE VIVIENDA POPULAR</v>
          </cell>
          <cell r="M677">
            <v>1</v>
          </cell>
          <cell r="N677" t="str">
            <v>RELACION DE AUTORIZACION</v>
          </cell>
          <cell r="O677">
            <v>24</v>
          </cell>
          <cell r="P677">
            <v>43181</v>
          </cell>
          <cell r="Q677" t="str">
            <v>PAGO DE LA NOMINA DEL MES DE MARZO DE 2018 DE PLANTA FIJA Y CONVENCIONADOS</v>
          </cell>
          <cell r="R677">
            <v>228278473</v>
          </cell>
          <cell r="S677">
            <v>0</v>
          </cell>
          <cell r="T677">
            <v>0</v>
          </cell>
          <cell r="U677">
            <v>228278473</v>
          </cell>
          <cell r="V677">
            <v>228278473</v>
          </cell>
        </row>
        <row r="678">
          <cell r="J678">
            <v>1830</v>
          </cell>
          <cell r="K678">
            <v>43213</v>
          </cell>
          <cell r="L678" t="str">
            <v>CAJA DE VIVIENDA POPULAR</v>
          </cell>
          <cell r="M678">
            <v>1</v>
          </cell>
          <cell r="N678" t="str">
            <v>RELACION DE AUTORIZACION</v>
          </cell>
          <cell r="O678">
            <v>32</v>
          </cell>
          <cell r="P678">
            <v>43213</v>
          </cell>
          <cell r="Q678" t="str">
            <v>PAGO SERVICIOS ASOCIADOS A LA NOMINA DEL MES DE ABRIL DE 2018 DE PLANTA FIJA Y CONVENCIONADOS</v>
          </cell>
          <cell r="R678">
            <v>243990935</v>
          </cell>
          <cell r="S678">
            <v>0</v>
          </cell>
          <cell r="T678">
            <v>0</v>
          </cell>
          <cell r="U678">
            <v>243990935</v>
          </cell>
          <cell r="V678">
            <v>243990935</v>
          </cell>
        </row>
        <row r="679">
          <cell r="J679">
            <v>1947</v>
          </cell>
          <cell r="K679">
            <v>43243</v>
          </cell>
          <cell r="L679" t="str">
            <v>CAJA DE VIVIENDA POPULAR</v>
          </cell>
          <cell r="M679">
            <v>1</v>
          </cell>
          <cell r="N679" t="str">
            <v>RELACION DE AUTORIZACION</v>
          </cell>
          <cell r="O679">
            <v>36</v>
          </cell>
          <cell r="P679">
            <v>43243</v>
          </cell>
          <cell r="Q679" t="str">
            <v>PAGO DE LA NOMINA DEL MES DE MAYO DE 2018 DE PLANTA FIJA Y CONVENCIONADOS</v>
          </cell>
          <cell r="R679">
            <v>231186672</v>
          </cell>
          <cell r="S679">
            <v>0</v>
          </cell>
          <cell r="T679">
            <v>0</v>
          </cell>
          <cell r="U679">
            <v>231186672</v>
          </cell>
          <cell r="V679">
            <v>231186672</v>
          </cell>
        </row>
        <row r="680">
          <cell r="J680">
            <v>2053</v>
          </cell>
          <cell r="K680">
            <v>43271</v>
          </cell>
          <cell r="L680" t="str">
            <v>CAJA DE VIVIENDA POPULAR</v>
          </cell>
          <cell r="M680">
            <v>1</v>
          </cell>
          <cell r="N680" t="str">
            <v>RELACION DE AUTORIZACION</v>
          </cell>
          <cell r="O680">
            <v>45</v>
          </cell>
          <cell r="P680">
            <v>43271</v>
          </cell>
          <cell r="Q680" t="str">
            <v>PAGO DE LA NOMINA DEL MES DE JUNIO DE 2018 DE PLANTA FIJA Y CONVENCIONADOS</v>
          </cell>
          <cell r="R680">
            <v>218477295</v>
          </cell>
          <cell r="S680">
            <v>0</v>
          </cell>
          <cell r="T680">
            <v>0</v>
          </cell>
          <cell r="U680">
            <v>218477295</v>
          </cell>
          <cell r="V680">
            <v>218477295</v>
          </cell>
        </row>
        <row r="681">
          <cell r="J681">
            <v>2520</v>
          </cell>
          <cell r="K681">
            <v>43305</v>
          </cell>
          <cell r="L681" t="str">
            <v>CAJA DE VIVIENDA POPULAR</v>
          </cell>
          <cell r="M681">
            <v>1</v>
          </cell>
          <cell r="N681" t="str">
            <v>RELACION DE AUTORIZACION</v>
          </cell>
          <cell r="O681">
            <v>51</v>
          </cell>
          <cell r="P681">
            <v>43305</v>
          </cell>
          <cell r="Q681" t="str">
            <v>PAGO DE LA NOMINA DEL MES DE JULIO DE 2018 DE LA PLANTA FIJA Y CONVENCIONADOS</v>
          </cell>
          <cell r="R681">
            <v>210724823</v>
          </cell>
          <cell r="S681">
            <v>0</v>
          </cell>
          <cell r="T681">
            <v>0</v>
          </cell>
          <cell r="U681">
            <v>210724823</v>
          </cell>
          <cell r="V681">
            <v>210724823</v>
          </cell>
        </row>
        <row r="682">
          <cell r="J682">
            <v>2729</v>
          </cell>
          <cell r="K682">
            <v>43336</v>
          </cell>
          <cell r="L682" t="str">
            <v>CAJA DE VIVIENDA POPULAR</v>
          </cell>
          <cell r="M682">
            <v>1</v>
          </cell>
          <cell r="N682" t="str">
            <v>RELACION DE AUTORIZACION</v>
          </cell>
          <cell r="O682">
            <v>57</v>
          </cell>
          <cell r="P682">
            <v>43335</v>
          </cell>
          <cell r="Q682" t="str">
            <v>PAGO DE LA NOMINA DEL MES DE AGOSTO DE 2018 PLANTA FIJA Y CONVECIONADOS</v>
          </cell>
          <cell r="R682">
            <v>230037518</v>
          </cell>
          <cell r="S682">
            <v>0</v>
          </cell>
          <cell r="T682">
            <v>0</v>
          </cell>
          <cell r="U682">
            <v>230037518</v>
          </cell>
          <cell r="V682">
            <v>230037518</v>
          </cell>
        </row>
        <row r="683">
          <cell r="J683">
            <v>364</v>
          </cell>
          <cell r="K683">
            <v>43124</v>
          </cell>
          <cell r="L683" t="str">
            <v>CAJA DE VIVIENDA POPULAR</v>
          </cell>
          <cell r="M683">
            <v>1</v>
          </cell>
          <cell r="N683" t="str">
            <v>RELACION DE AUTORIZACION</v>
          </cell>
          <cell r="O683">
            <v>4</v>
          </cell>
          <cell r="P683">
            <v>43124</v>
          </cell>
          <cell r="Q683" t="str">
            <v>PAGO DE LA NOMINA DEL MES DE ENERO DE 2018 DE PLANTA FIJA Y CONVENCIONADOS</v>
          </cell>
          <cell r="R683">
            <v>31335457</v>
          </cell>
          <cell r="S683">
            <v>0</v>
          </cell>
          <cell r="T683">
            <v>0</v>
          </cell>
          <cell r="U683">
            <v>31335457</v>
          </cell>
          <cell r="V683">
            <v>31335457</v>
          </cell>
        </row>
        <row r="684">
          <cell r="J684">
            <v>1384</v>
          </cell>
          <cell r="K684">
            <v>43151</v>
          </cell>
          <cell r="L684" t="str">
            <v>CAJA DE VIVIENDA POPULAR</v>
          </cell>
          <cell r="M684">
            <v>1</v>
          </cell>
          <cell r="N684" t="str">
            <v>RELACION DE AUTORIZACION</v>
          </cell>
          <cell r="O684">
            <v>16</v>
          </cell>
          <cell r="P684">
            <v>43151</v>
          </cell>
          <cell r="Q684" t="str">
            <v>PAGO DE LA NOMINA DEL MES DE FEBRERO DE 2018 DE PLANTA FIJA Y CONVENCIONADOS</v>
          </cell>
          <cell r="R684">
            <v>30786173</v>
          </cell>
          <cell r="S684">
            <v>0</v>
          </cell>
          <cell r="T684">
            <v>0</v>
          </cell>
          <cell r="U684">
            <v>30786173</v>
          </cell>
          <cell r="V684">
            <v>30786173</v>
          </cell>
        </row>
        <row r="685">
          <cell r="J685">
            <v>1603</v>
          </cell>
          <cell r="K685">
            <v>43180</v>
          </cell>
          <cell r="L685" t="str">
            <v>CAJA DE VIVIENDA POPULAR</v>
          </cell>
          <cell r="M685">
            <v>1</v>
          </cell>
          <cell r="N685" t="str">
            <v>RELACION DE AUTORIZACION</v>
          </cell>
          <cell r="O685">
            <v>24</v>
          </cell>
          <cell r="P685">
            <v>43180</v>
          </cell>
          <cell r="Q685" t="str">
            <v>PAGO DE LA NOMINA DEL MES DE MARZO DE 2018 DE PLANTA FIJA Y CONVENCIONADOS</v>
          </cell>
          <cell r="R685">
            <v>35552432</v>
          </cell>
          <cell r="S685">
            <v>35552432</v>
          </cell>
          <cell r="T685">
            <v>0</v>
          </cell>
          <cell r="U685">
            <v>0</v>
          </cell>
          <cell r="V685">
            <v>0</v>
          </cell>
        </row>
        <row r="686">
          <cell r="J686">
            <v>1615</v>
          </cell>
          <cell r="K686">
            <v>43181</v>
          </cell>
          <cell r="L686" t="str">
            <v>CAJA DE VIVIENDA POPULAR</v>
          </cell>
          <cell r="M686">
            <v>1</v>
          </cell>
          <cell r="N686" t="str">
            <v>RELACION DE AUTORIZACION</v>
          </cell>
          <cell r="O686">
            <v>24</v>
          </cell>
          <cell r="P686">
            <v>43181</v>
          </cell>
          <cell r="Q686" t="str">
            <v>PAGO DE LA NOMINA DEL MES DE MARZO DE 2018 DE PLANTA FIJA Y CONVENCIONADOS</v>
          </cell>
          <cell r="R686">
            <v>35442602</v>
          </cell>
          <cell r="S686">
            <v>0</v>
          </cell>
          <cell r="T686">
            <v>0</v>
          </cell>
          <cell r="U686">
            <v>35442602</v>
          </cell>
          <cell r="V686">
            <v>35442602</v>
          </cell>
        </row>
        <row r="687">
          <cell r="J687">
            <v>1830</v>
          </cell>
          <cell r="K687">
            <v>43213</v>
          </cell>
          <cell r="L687" t="str">
            <v>CAJA DE VIVIENDA POPULAR</v>
          </cell>
          <cell r="M687">
            <v>1</v>
          </cell>
          <cell r="N687" t="str">
            <v>RELACION DE AUTORIZACION</v>
          </cell>
          <cell r="O687">
            <v>32</v>
          </cell>
          <cell r="P687">
            <v>43213</v>
          </cell>
          <cell r="Q687" t="str">
            <v>PAGO SERVICIOS ASOCIADOS A LA NOMINA DEL MES DE ABRIL DE 2018 DE PLANTA FIJA Y CONVENCIONADOS</v>
          </cell>
          <cell r="R687">
            <v>34396580</v>
          </cell>
          <cell r="S687">
            <v>0</v>
          </cell>
          <cell r="T687">
            <v>0</v>
          </cell>
          <cell r="U687">
            <v>34396580</v>
          </cell>
          <cell r="V687">
            <v>34396580</v>
          </cell>
        </row>
        <row r="688">
          <cell r="J688">
            <v>1947</v>
          </cell>
          <cell r="K688">
            <v>43243</v>
          </cell>
          <cell r="L688" t="str">
            <v>CAJA DE VIVIENDA POPULAR</v>
          </cell>
          <cell r="M688">
            <v>1</v>
          </cell>
          <cell r="N688" t="str">
            <v>RELACION DE AUTORIZACION</v>
          </cell>
          <cell r="O688">
            <v>36</v>
          </cell>
          <cell r="P688">
            <v>43243</v>
          </cell>
          <cell r="Q688" t="str">
            <v>PAGO DE LA NOMINA DEL MES DE MAYO DE 2018 DE PLANTA FIJA Y CONVENCIONADOS</v>
          </cell>
          <cell r="R688">
            <v>33129369</v>
          </cell>
          <cell r="S688">
            <v>0</v>
          </cell>
          <cell r="T688">
            <v>0</v>
          </cell>
          <cell r="U688">
            <v>33129369</v>
          </cell>
          <cell r="V688">
            <v>33129369</v>
          </cell>
        </row>
        <row r="689">
          <cell r="J689">
            <v>2053</v>
          </cell>
          <cell r="K689">
            <v>43271</v>
          </cell>
          <cell r="L689" t="str">
            <v>CAJA DE VIVIENDA POPULAR</v>
          </cell>
          <cell r="M689">
            <v>1</v>
          </cell>
          <cell r="N689" t="str">
            <v>RELACION DE AUTORIZACION</v>
          </cell>
          <cell r="O689">
            <v>45</v>
          </cell>
          <cell r="P689">
            <v>43271</v>
          </cell>
          <cell r="Q689" t="str">
            <v>PAGO DE LA NOMINA DEL MES DE JUNIO DE 2018 DE PLANTA FIJA Y CONVENCIONADOS</v>
          </cell>
          <cell r="R689">
            <v>35009866</v>
          </cell>
          <cell r="S689">
            <v>0</v>
          </cell>
          <cell r="T689">
            <v>0</v>
          </cell>
          <cell r="U689">
            <v>35009866</v>
          </cell>
          <cell r="V689">
            <v>35009866</v>
          </cell>
        </row>
        <row r="690">
          <cell r="J690">
            <v>2520</v>
          </cell>
          <cell r="K690">
            <v>43305</v>
          </cell>
          <cell r="L690" t="str">
            <v>CAJA DE VIVIENDA POPULAR</v>
          </cell>
          <cell r="M690">
            <v>1</v>
          </cell>
          <cell r="N690" t="str">
            <v>RELACION DE AUTORIZACION</v>
          </cell>
          <cell r="O690">
            <v>51</v>
          </cell>
          <cell r="P690">
            <v>43305</v>
          </cell>
          <cell r="Q690" t="str">
            <v>PAGO DE LA NOMINA DEL MES DE JULIO DE 2018 DE LA PLANTA FIJA Y CONVENCIONADOS</v>
          </cell>
          <cell r="R690">
            <v>30736009</v>
          </cell>
          <cell r="S690">
            <v>0</v>
          </cell>
          <cell r="T690">
            <v>0</v>
          </cell>
          <cell r="U690">
            <v>30736009</v>
          </cell>
          <cell r="V690">
            <v>30736009</v>
          </cell>
        </row>
        <row r="691">
          <cell r="J691">
            <v>2729</v>
          </cell>
          <cell r="K691">
            <v>43336</v>
          </cell>
          <cell r="L691" t="str">
            <v>CAJA DE VIVIENDA POPULAR</v>
          </cell>
          <cell r="M691">
            <v>1</v>
          </cell>
          <cell r="N691" t="str">
            <v>RELACION DE AUTORIZACION</v>
          </cell>
          <cell r="O691">
            <v>57</v>
          </cell>
          <cell r="P691">
            <v>43335</v>
          </cell>
          <cell r="Q691" t="str">
            <v>PAGO DE LA NOMINA DEL MES DE AGOSTO DE 2018 PLANTA FIJA Y CONVECIONADOS</v>
          </cell>
          <cell r="R691">
            <v>30811507</v>
          </cell>
          <cell r="S691">
            <v>0</v>
          </cell>
          <cell r="T691">
            <v>0</v>
          </cell>
          <cell r="U691">
            <v>30811507</v>
          </cell>
          <cell r="V691">
            <v>30811507</v>
          </cell>
        </row>
        <row r="692">
          <cell r="J692">
            <v>364</v>
          </cell>
          <cell r="K692">
            <v>43124</v>
          </cell>
          <cell r="L692" t="str">
            <v>CAJA DE VIVIENDA POPULAR</v>
          </cell>
          <cell r="M692">
            <v>1</v>
          </cell>
          <cell r="N692" t="str">
            <v>RELACION DE AUTORIZACION</v>
          </cell>
          <cell r="O692">
            <v>4</v>
          </cell>
          <cell r="P692">
            <v>43124</v>
          </cell>
          <cell r="Q692" t="str">
            <v>PAGO DE LA NOMINA DEL MES DE ENERO DE 2018 DE PLANTA FIJA Y CONVENCIONADOS</v>
          </cell>
          <cell r="R692">
            <v>844048</v>
          </cell>
          <cell r="S692">
            <v>0</v>
          </cell>
          <cell r="T692">
            <v>0</v>
          </cell>
          <cell r="U692">
            <v>844048</v>
          </cell>
          <cell r="V692">
            <v>844048</v>
          </cell>
        </row>
        <row r="693">
          <cell r="J693">
            <v>1384</v>
          </cell>
          <cell r="K693">
            <v>43151</v>
          </cell>
          <cell r="L693" t="str">
            <v>CAJA DE VIVIENDA POPULAR</v>
          </cell>
          <cell r="M693">
            <v>1</v>
          </cell>
          <cell r="N693" t="str">
            <v>RELACION DE AUTORIZACION</v>
          </cell>
          <cell r="O693">
            <v>16</v>
          </cell>
          <cell r="P693">
            <v>43151</v>
          </cell>
          <cell r="Q693" t="str">
            <v>PAGO DE LA NOMINA DEL MES DE FEBRERO DE 2018 DE PLANTA FIJA Y CONVENCIONADOS</v>
          </cell>
          <cell r="R693">
            <v>835105</v>
          </cell>
          <cell r="S693">
            <v>0</v>
          </cell>
          <cell r="T693">
            <v>0</v>
          </cell>
          <cell r="U693">
            <v>835105</v>
          </cell>
          <cell r="V693">
            <v>835105</v>
          </cell>
        </row>
        <row r="694">
          <cell r="J694">
            <v>1603</v>
          </cell>
          <cell r="K694">
            <v>43180</v>
          </cell>
          <cell r="L694" t="str">
            <v>CAJA DE VIVIENDA POPULAR</v>
          </cell>
          <cell r="M694">
            <v>1</v>
          </cell>
          <cell r="N694" t="str">
            <v>RELACION DE AUTORIZACION</v>
          </cell>
          <cell r="O694">
            <v>24</v>
          </cell>
          <cell r="P694">
            <v>43180</v>
          </cell>
          <cell r="Q694" t="str">
            <v>PAGO DE LA NOMINA DEL MES DE MARZO DE 2018 DE PLANTA FIJA Y CONVENCIONADOS</v>
          </cell>
          <cell r="R694">
            <v>916651</v>
          </cell>
          <cell r="S694">
            <v>916651</v>
          </cell>
          <cell r="T694">
            <v>0</v>
          </cell>
          <cell r="U694">
            <v>0</v>
          </cell>
          <cell r="V694">
            <v>0</v>
          </cell>
        </row>
        <row r="695">
          <cell r="J695">
            <v>1615</v>
          </cell>
          <cell r="K695">
            <v>43181</v>
          </cell>
          <cell r="L695" t="str">
            <v>CAJA DE VIVIENDA POPULAR</v>
          </cell>
          <cell r="M695">
            <v>1</v>
          </cell>
          <cell r="N695" t="str">
            <v>RELACION DE AUTORIZACION</v>
          </cell>
          <cell r="O695">
            <v>24</v>
          </cell>
          <cell r="P695">
            <v>43181</v>
          </cell>
          <cell r="Q695" t="str">
            <v>PAGO DE LA NOMINA DEL MES DE MARZO DE 2018 DE PLANTA FIJA Y CONVENCIONADOS</v>
          </cell>
          <cell r="R695">
            <v>916651</v>
          </cell>
          <cell r="S695">
            <v>0</v>
          </cell>
          <cell r="T695">
            <v>0</v>
          </cell>
          <cell r="U695">
            <v>916651</v>
          </cell>
          <cell r="V695">
            <v>916651</v>
          </cell>
        </row>
        <row r="696">
          <cell r="J696">
            <v>1830</v>
          </cell>
          <cell r="K696">
            <v>43213</v>
          </cell>
          <cell r="L696" t="str">
            <v>CAJA DE VIVIENDA POPULAR</v>
          </cell>
          <cell r="M696">
            <v>1</v>
          </cell>
          <cell r="N696" t="str">
            <v>RELACION DE AUTORIZACION</v>
          </cell>
          <cell r="O696">
            <v>32</v>
          </cell>
          <cell r="P696">
            <v>43213</v>
          </cell>
          <cell r="Q696" t="str">
            <v>PAGO SERVICIOS ASOCIADOS A LA NOMINA DEL MES DE ABRIL DE 2018 DE PLANTA FIJA Y CONVENCIONADOS</v>
          </cell>
          <cell r="R696">
            <v>743484</v>
          </cell>
          <cell r="S696">
            <v>0</v>
          </cell>
          <cell r="T696">
            <v>0</v>
          </cell>
          <cell r="U696">
            <v>743484</v>
          </cell>
          <cell r="V696">
            <v>743484</v>
          </cell>
        </row>
        <row r="697">
          <cell r="J697">
            <v>1947</v>
          </cell>
          <cell r="K697">
            <v>43243</v>
          </cell>
          <cell r="L697" t="str">
            <v>CAJA DE VIVIENDA POPULAR</v>
          </cell>
          <cell r="M697">
            <v>1</v>
          </cell>
          <cell r="N697" t="str">
            <v>RELACION DE AUTORIZACION</v>
          </cell>
          <cell r="O697">
            <v>36</v>
          </cell>
          <cell r="P697">
            <v>43243</v>
          </cell>
          <cell r="Q697" t="str">
            <v>PAGO DE LA NOMINA DEL MES DE MAYO DE 2018 DE PLANTA FIJA Y CONVENCIONADOS</v>
          </cell>
          <cell r="R697">
            <v>904619</v>
          </cell>
          <cell r="S697">
            <v>0</v>
          </cell>
          <cell r="T697">
            <v>0</v>
          </cell>
          <cell r="U697">
            <v>904619</v>
          </cell>
          <cell r="V697">
            <v>904619</v>
          </cell>
        </row>
        <row r="698">
          <cell r="J698">
            <v>2053</v>
          </cell>
          <cell r="K698">
            <v>43271</v>
          </cell>
          <cell r="L698" t="str">
            <v>CAJA DE VIVIENDA POPULAR</v>
          </cell>
          <cell r="M698">
            <v>1</v>
          </cell>
          <cell r="N698" t="str">
            <v>RELACION DE AUTORIZACION</v>
          </cell>
          <cell r="O698">
            <v>45</v>
          </cell>
          <cell r="P698">
            <v>43271</v>
          </cell>
          <cell r="Q698" t="str">
            <v>PAGO DE LA NOMINA DEL MES DE JUNIO DE 2018 DE PLANTA FIJA Y CONVENCIONADOS</v>
          </cell>
          <cell r="R698">
            <v>900849</v>
          </cell>
          <cell r="S698">
            <v>0</v>
          </cell>
          <cell r="T698">
            <v>0</v>
          </cell>
          <cell r="U698">
            <v>900849</v>
          </cell>
          <cell r="V698">
            <v>900849</v>
          </cell>
        </row>
        <row r="699">
          <cell r="J699">
            <v>2520</v>
          </cell>
          <cell r="K699">
            <v>43305</v>
          </cell>
          <cell r="L699" t="str">
            <v>CAJA DE VIVIENDA POPULAR</v>
          </cell>
          <cell r="M699">
            <v>1</v>
          </cell>
          <cell r="N699" t="str">
            <v>RELACION DE AUTORIZACION</v>
          </cell>
          <cell r="O699">
            <v>51</v>
          </cell>
          <cell r="P699">
            <v>43305</v>
          </cell>
          <cell r="Q699" t="str">
            <v>PAGO DE LA NOMINA DEL MES DE JULIO DE 2018 DE LA PLANTA FIJA Y CONVENCIONADOS</v>
          </cell>
          <cell r="R699">
            <v>889541</v>
          </cell>
          <cell r="S699">
            <v>0</v>
          </cell>
          <cell r="T699">
            <v>0</v>
          </cell>
          <cell r="U699">
            <v>889541</v>
          </cell>
          <cell r="V699">
            <v>889541</v>
          </cell>
        </row>
        <row r="700">
          <cell r="J700">
            <v>2729</v>
          </cell>
          <cell r="K700">
            <v>43336</v>
          </cell>
          <cell r="L700" t="str">
            <v>CAJA DE VIVIENDA POPULAR</v>
          </cell>
          <cell r="M700">
            <v>1</v>
          </cell>
          <cell r="N700" t="str">
            <v>RELACION DE AUTORIZACION</v>
          </cell>
          <cell r="O700">
            <v>57</v>
          </cell>
          <cell r="P700">
            <v>43335</v>
          </cell>
          <cell r="Q700" t="str">
            <v>PAGO DE LA NOMINA DEL MES DE AGOSTO DE 2018 PLANTA FIJA Y CONVECIONADOS</v>
          </cell>
          <cell r="R700">
            <v>696368</v>
          </cell>
          <cell r="S700">
            <v>0</v>
          </cell>
          <cell r="T700">
            <v>0</v>
          </cell>
          <cell r="U700">
            <v>696368</v>
          </cell>
          <cell r="V700">
            <v>696368</v>
          </cell>
        </row>
        <row r="701">
          <cell r="J701">
            <v>364</v>
          </cell>
          <cell r="K701">
            <v>43124</v>
          </cell>
          <cell r="L701" t="str">
            <v>CAJA DE VIVIENDA POPULAR</v>
          </cell>
          <cell r="M701">
            <v>1</v>
          </cell>
          <cell r="N701" t="str">
            <v>RELACION DE AUTORIZACION</v>
          </cell>
          <cell r="O701">
            <v>4</v>
          </cell>
          <cell r="P701">
            <v>43124</v>
          </cell>
          <cell r="Q701" t="str">
            <v>PAGO DE LA NOMINA DEL MES DE ENERO DE 2018 DE PLANTA FIJA Y CONVENCIONADOS</v>
          </cell>
          <cell r="R701">
            <v>1361390</v>
          </cell>
          <cell r="S701">
            <v>0</v>
          </cell>
          <cell r="T701">
            <v>0</v>
          </cell>
          <cell r="U701">
            <v>1361390</v>
          </cell>
          <cell r="V701">
            <v>1361390</v>
          </cell>
        </row>
        <row r="702">
          <cell r="J702">
            <v>1384</v>
          </cell>
          <cell r="K702">
            <v>43151</v>
          </cell>
          <cell r="L702" t="str">
            <v>CAJA DE VIVIENDA POPULAR</v>
          </cell>
          <cell r="M702">
            <v>1</v>
          </cell>
          <cell r="N702" t="str">
            <v>RELACION DE AUTORIZACION</v>
          </cell>
          <cell r="O702">
            <v>16</v>
          </cell>
          <cell r="P702">
            <v>43151</v>
          </cell>
          <cell r="Q702" t="str">
            <v>PAGO DE LA NOMINA DEL MES DE FEBRERO DE 2018 DE PLANTA FIJA Y CONVENCIONADOS</v>
          </cell>
          <cell r="R702">
            <v>1817147</v>
          </cell>
          <cell r="S702">
            <v>0</v>
          </cell>
          <cell r="T702">
            <v>0</v>
          </cell>
          <cell r="U702">
            <v>1817147</v>
          </cell>
          <cell r="V702">
            <v>1817147</v>
          </cell>
        </row>
        <row r="703">
          <cell r="J703">
            <v>1603</v>
          </cell>
          <cell r="K703">
            <v>43180</v>
          </cell>
          <cell r="L703" t="str">
            <v>CAJA DE VIVIENDA POPULAR</v>
          </cell>
          <cell r="M703">
            <v>1</v>
          </cell>
          <cell r="N703" t="str">
            <v>RELACION DE AUTORIZACION</v>
          </cell>
          <cell r="O703">
            <v>24</v>
          </cell>
          <cell r="P703">
            <v>43180</v>
          </cell>
          <cell r="Q703" t="str">
            <v>PAGO DE LA NOMINA DEL MES DE MARZO DE 2018 DE PLANTA FIJA Y CONVENCIONADOS</v>
          </cell>
          <cell r="R703">
            <v>1972987</v>
          </cell>
          <cell r="S703">
            <v>1972987</v>
          </cell>
          <cell r="T703">
            <v>0</v>
          </cell>
          <cell r="U703">
            <v>0</v>
          </cell>
          <cell r="V703">
            <v>0</v>
          </cell>
        </row>
        <row r="704">
          <cell r="J704">
            <v>1615</v>
          </cell>
          <cell r="K704">
            <v>43181</v>
          </cell>
          <cell r="L704" t="str">
            <v>CAJA DE VIVIENDA POPULAR</v>
          </cell>
          <cell r="M704">
            <v>1</v>
          </cell>
          <cell r="N704" t="str">
            <v>RELACION DE AUTORIZACION</v>
          </cell>
          <cell r="O704">
            <v>24</v>
          </cell>
          <cell r="P704">
            <v>43181</v>
          </cell>
          <cell r="Q704" t="str">
            <v>PAGO DE LA NOMINA DEL MES DE MARZO DE 2018 DE PLANTA FIJA Y CONVENCIONADOS</v>
          </cell>
          <cell r="R704">
            <v>1972987</v>
          </cell>
          <cell r="S704">
            <v>0</v>
          </cell>
          <cell r="T704">
            <v>0</v>
          </cell>
          <cell r="U704">
            <v>1972987</v>
          </cell>
          <cell r="V704">
            <v>1972987</v>
          </cell>
        </row>
        <row r="705">
          <cell r="J705">
            <v>1830</v>
          </cell>
          <cell r="K705">
            <v>43213</v>
          </cell>
          <cell r="L705" t="str">
            <v>CAJA DE VIVIENDA POPULAR</v>
          </cell>
          <cell r="M705">
            <v>1</v>
          </cell>
          <cell r="N705" t="str">
            <v>RELACION DE AUTORIZACION</v>
          </cell>
          <cell r="O705">
            <v>32</v>
          </cell>
          <cell r="P705">
            <v>43213</v>
          </cell>
          <cell r="Q705" t="str">
            <v>PAGO SERVICIOS ASOCIADOS A LA NOMINA DEL MES DE ABRIL DE 2018 DE PLANTA FIJA Y CONVENCIONADOS</v>
          </cell>
          <cell r="R705">
            <v>1752459</v>
          </cell>
          <cell r="S705">
            <v>0</v>
          </cell>
          <cell r="T705">
            <v>0</v>
          </cell>
          <cell r="U705">
            <v>1752459</v>
          </cell>
          <cell r="V705">
            <v>1752459</v>
          </cell>
        </row>
        <row r="706">
          <cell r="J706">
            <v>1947</v>
          </cell>
          <cell r="K706">
            <v>43243</v>
          </cell>
          <cell r="L706" t="str">
            <v>CAJA DE VIVIENDA POPULAR</v>
          </cell>
          <cell r="M706">
            <v>1</v>
          </cell>
          <cell r="N706" t="str">
            <v>RELACION DE AUTORIZACION</v>
          </cell>
          <cell r="O706">
            <v>36</v>
          </cell>
          <cell r="P706">
            <v>43243</v>
          </cell>
          <cell r="Q706" t="str">
            <v>PAGO DE LA NOMINA DEL MES DE MAYO DE 2018 DE PLANTA FIJA Y CONVENCIONADOS</v>
          </cell>
          <cell r="R706">
            <v>1761282</v>
          </cell>
          <cell r="S706">
            <v>0</v>
          </cell>
          <cell r="T706">
            <v>0</v>
          </cell>
          <cell r="U706">
            <v>1761282</v>
          </cell>
          <cell r="V706">
            <v>1761282</v>
          </cell>
        </row>
        <row r="707">
          <cell r="J707">
            <v>2053</v>
          </cell>
          <cell r="K707">
            <v>43271</v>
          </cell>
          <cell r="L707" t="str">
            <v>CAJA DE VIVIENDA POPULAR</v>
          </cell>
          <cell r="M707">
            <v>1</v>
          </cell>
          <cell r="N707" t="str">
            <v>RELACION DE AUTORIZACION</v>
          </cell>
          <cell r="O707">
            <v>45</v>
          </cell>
          <cell r="P707">
            <v>43271</v>
          </cell>
          <cell r="Q707" t="str">
            <v>PAGO DE LA NOMINA DEL MES DE JUNIO DE 2018 DE PLANTA FIJA Y CONVENCIONADOS</v>
          </cell>
          <cell r="R707">
            <v>1746579</v>
          </cell>
          <cell r="S707">
            <v>0</v>
          </cell>
          <cell r="T707">
            <v>0</v>
          </cell>
          <cell r="U707">
            <v>1746579</v>
          </cell>
          <cell r="V707">
            <v>1746579</v>
          </cell>
        </row>
        <row r="708">
          <cell r="J708">
            <v>2520</v>
          </cell>
          <cell r="K708">
            <v>43305</v>
          </cell>
          <cell r="L708" t="str">
            <v>CAJA DE VIVIENDA POPULAR</v>
          </cell>
          <cell r="M708">
            <v>1</v>
          </cell>
          <cell r="N708" t="str">
            <v>RELACION DE AUTORIZACION</v>
          </cell>
          <cell r="O708">
            <v>51</v>
          </cell>
          <cell r="P708">
            <v>43305</v>
          </cell>
          <cell r="Q708" t="str">
            <v>PAGO DE LA NOMINA DEL MES DE JULIO DE 2018 DE LA PLANTA FIJA Y CONVENCIONADOS</v>
          </cell>
          <cell r="R708">
            <v>1784805</v>
          </cell>
          <cell r="S708">
            <v>0</v>
          </cell>
          <cell r="T708">
            <v>0</v>
          </cell>
          <cell r="U708">
            <v>1784805</v>
          </cell>
          <cell r="V708">
            <v>1784805</v>
          </cell>
        </row>
        <row r="709">
          <cell r="J709">
            <v>2729</v>
          </cell>
          <cell r="K709">
            <v>43336</v>
          </cell>
          <cell r="L709" t="str">
            <v>CAJA DE VIVIENDA POPULAR</v>
          </cell>
          <cell r="M709">
            <v>1</v>
          </cell>
          <cell r="N709" t="str">
            <v>RELACION DE AUTORIZACION</v>
          </cell>
          <cell r="O709">
            <v>57</v>
          </cell>
          <cell r="P709">
            <v>43335</v>
          </cell>
          <cell r="Q709" t="str">
            <v>PAGO DE LA NOMINA DEL MES DE AGOSTO DE 2018 PLANTA FIJA Y CONVECIONADOS</v>
          </cell>
          <cell r="R709">
            <v>1825968</v>
          </cell>
          <cell r="S709">
            <v>0</v>
          </cell>
          <cell r="T709">
            <v>0</v>
          </cell>
          <cell r="U709">
            <v>1825968</v>
          </cell>
          <cell r="V709">
            <v>1825968</v>
          </cell>
        </row>
        <row r="710">
          <cell r="J710">
            <v>364</v>
          </cell>
          <cell r="K710">
            <v>43124</v>
          </cell>
          <cell r="L710" t="str">
            <v>CAJA DE VIVIENDA POPULAR</v>
          </cell>
          <cell r="M710">
            <v>1</v>
          </cell>
          <cell r="N710" t="str">
            <v>RELACION DE AUTORIZACION</v>
          </cell>
          <cell r="O710">
            <v>4</v>
          </cell>
          <cell r="P710">
            <v>43124</v>
          </cell>
          <cell r="Q710" t="str">
            <v>PAGO DE LA NOMINA DEL MES DE ENERO DE 2018 DE PLANTA FIJA Y CONVENCIONADOS</v>
          </cell>
          <cell r="R710">
            <v>2288178</v>
          </cell>
          <cell r="S710">
            <v>0</v>
          </cell>
          <cell r="T710">
            <v>0</v>
          </cell>
          <cell r="U710">
            <v>2288178</v>
          </cell>
          <cell r="V710">
            <v>2288178</v>
          </cell>
        </row>
        <row r="711">
          <cell r="J711">
            <v>1384</v>
          </cell>
          <cell r="K711">
            <v>43151</v>
          </cell>
          <cell r="L711" t="str">
            <v>CAJA DE VIVIENDA POPULAR</v>
          </cell>
          <cell r="M711">
            <v>1</v>
          </cell>
          <cell r="N711" t="str">
            <v>RELACION DE AUTORIZACION</v>
          </cell>
          <cell r="O711">
            <v>16</v>
          </cell>
          <cell r="P711">
            <v>43151</v>
          </cell>
          <cell r="Q711" t="str">
            <v>PAGO DE LA NOMINA DEL MES DE FEBRERO DE 2018 DE PLANTA FIJA Y CONVENCIONADOS</v>
          </cell>
          <cell r="R711">
            <v>3227632</v>
          </cell>
          <cell r="S711">
            <v>0</v>
          </cell>
          <cell r="T711">
            <v>0</v>
          </cell>
          <cell r="U711">
            <v>3227632</v>
          </cell>
          <cell r="V711">
            <v>3227632</v>
          </cell>
        </row>
        <row r="712">
          <cell r="J712">
            <v>1603</v>
          </cell>
          <cell r="K712">
            <v>43180</v>
          </cell>
          <cell r="L712" t="str">
            <v>CAJA DE VIVIENDA POPULAR</v>
          </cell>
          <cell r="M712">
            <v>1</v>
          </cell>
          <cell r="N712" t="str">
            <v>RELACION DE AUTORIZACION</v>
          </cell>
          <cell r="O712">
            <v>24</v>
          </cell>
          <cell r="P712">
            <v>43180</v>
          </cell>
          <cell r="Q712" t="str">
            <v>PAGO DE LA NOMINA DEL MES DE MARZO DE 2018 DE PLANTA FIJA Y CONVENCIONADOS</v>
          </cell>
          <cell r="R712">
            <v>3484915</v>
          </cell>
          <cell r="S712">
            <v>3484915</v>
          </cell>
          <cell r="T712">
            <v>0</v>
          </cell>
          <cell r="U712">
            <v>0</v>
          </cell>
          <cell r="V712">
            <v>0</v>
          </cell>
        </row>
        <row r="713">
          <cell r="J713">
            <v>1615</v>
          </cell>
          <cell r="K713">
            <v>43181</v>
          </cell>
          <cell r="L713" t="str">
            <v>CAJA DE VIVIENDA POPULAR</v>
          </cell>
          <cell r="M713">
            <v>1</v>
          </cell>
          <cell r="N713" t="str">
            <v>RELACION DE AUTORIZACION</v>
          </cell>
          <cell r="O713">
            <v>24</v>
          </cell>
          <cell r="P713">
            <v>43181</v>
          </cell>
          <cell r="Q713" t="str">
            <v>PAGO DE LA NOMINA DEL MES DE MARZO DE 2018 DE PLANTA FIJA Y CONVENCIONADOS</v>
          </cell>
          <cell r="R713">
            <v>3484915</v>
          </cell>
          <cell r="S713">
            <v>0</v>
          </cell>
          <cell r="T713">
            <v>0</v>
          </cell>
          <cell r="U713">
            <v>3484915</v>
          </cell>
          <cell r="V713">
            <v>3484915</v>
          </cell>
        </row>
        <row r="714">
          <cell r="J714">
            <v>1830</v>
          </cell>
          <cell r="K714">
            <v>43213</v>
          </cell>
          <cell r="L714" t="str">
            <v>CAJA DE VIVIENDA POPULAR</v>
          </cell>
          <cell r="M714">
            <v>1</v>
          </cell>
          <cell r="N714" t="str">
            <v>RELACION DE AUTORIZACION</v>
          </cell>
          <cell r="O714">
            <v>32</v>
          </cell>
          <cell r="P714">
            <v>43213</v>
          </cell>
          <cell r="Q714" t="str">
            <v>PAGO SERVICIOS ASOCIADOS A LA NOMINA DEL MES DE ABRIL DE 2018 DE PLANTA FIJA Y CONVENCIONADOS</v>
          </cell>
          <cell r="R714">
            <v>2716790</v>
          </cell>
          <cell r="S714">
            <v>0</v>
          </cell>
          <cell r="T714">
            <v>0</v>
          </cell>
          <cell r="U714">
            <v>2716790</v>
          </cell>
          <cell r="V714">
            <v>2716790</v>
          </cell>
        </row>
        <row r="715">
          <cell r="J715">
            <v>1947</v>
          </cell>
          <cell r="K715">
            <v>43243</v>
          </cell>
          <cell r="L715" t="str">
            <v>CAJA DE VIVIENDA POPULAR</v>
          </cell>
          <cell r="M715">
            <v>1</v>
          </cell>
          <cell r="N715" t="str">
            <v>RELACION DE AUTORIZACION</v>
          </cell>
          <cell r="O715">
            <v>36</v>
          </cell>
          <cell r="P715">
            <v>43243</v>
          </cell>
          <cell r="Q715" t="str">
            <v>PAGO DE LA NOMINA DEL MES DE MAYO DE 2018 DE PLANTA FIJA Y CONVENCIONADOS</v>
          </cell>
          <cell r="R715">
            <v>2741812</v>
          </cell>
          <cell r="S715">
            <v>0</v>
          </cell>
          <cell r="T715">
            <v>0</v>
          </cell>
          <cell r="U715">
            <v>2741812</v>
          </cell>
          <cell r="V715">
            <v>2741812</v>
          </cell>
        </row>
        <row r="716">
          <cell r="J716">
            <v>2053</v>
          </cell>
          <cell r="K716">
            <v>43271</v>
          </cell>
          <cell r="L716" t="str">
            <v>CAJA DE VIVIENDA POPULAR</v>
          </cell>
          <cell r="M716">
            <v>1</v>
          </cell>
          <cell r="N716" t="str">
            <v>RELACION DE AUTORIZACION</v>
          </cell>
          <cell r="O716">
            <v>45</v>
          </cell>
          <cell r="P716">
            <v>43271</v>
          </cell>
          <cell r="Q716" t="str">
            <v>PAGO DE LA NOMINA DEL MES DE JUNIO DE 2018 DE PLANTA FIJA Y CONVENCIONADOS</v>
          </cell>
          <cell r="R716">
            <v>2554611</v>
          </cell>
          <cell r="S716">
            <v>0</v>
          </cell>
          <cell r="T716">
            <v>0</v>
          </cell>
          <cell r="U716">
            <v>2554611</v>
          </cell>
          <cell r="V716">
            <v>2554611</v>
          </cell>
        </row>
        <row r="717">
          <cell r="J717">
            <v>2520</v>
          </cell>
          <cell r="K717">
            <v>43305</v>
          </cell>
          <cell r="L717" t="str">
            <v>CAJA DE VIVIENDA POPULAR</v>
          </cell>
          <cell r="M717">
            <v>1</v>
          </cell>
          <cell r="N717" t="str">
            <v>RELACION DE AUTORIZACION</v>
          </cell>
          <cell r="O717">
            <v>51</v>
          </cell>
          <cell r="P717">
            <v>43305</v>
          </cell>
          <cell r="Q717" t="str">
            <v>PAGO DE LA NOMINA DEL MES DE JULIO DE 2018 DE LA PLANTA FIJA Y CONVENCIONADOS</v>
          </cell>
          <cell r="R717">
            <v>2607713</v>
          </cell>
          <cell r="S717">
            <v>0</v>
          </cell>
          <cell r="T717">
            <v>0</v>
          </cell>
          <cell r="U717">
            <v>2607713</v>
          </cell>
          <cell r="V717">
            <v>2607713</v>
          </cell>
        </row>
        <row r="718">
          <cell r="J718">
            <v>2729</v>
          </cell>
          <cell r="K718">
            <v>43336</v>
          </cell>
          <cell r="L718" t="str">
            <v>CAJA DE VIVIENDA POPULAR</v>
          </cell>
          <cell r="M718">
            <v>1</v>
          </cell>
          <cell r="N718" t="str">
            <v>RELACION DE AUTORIZACION</v>
          </cell>
          <cell r="O718">
            <v>57</v>
          </cell>
          <cell r="P718">
            <v>43335</v>
          </cell>
          <cell r="Q718" t="str">
            <v>PAGO DE LA NOMINA DEL MES DE AGOSTO DE 2018 PLANTA FIJA Y CONVECIONADOS</v>
          </cell>
          <cell r="R718">
            <v>3382805</v>
          </cell>
          <cell r="S718">
            <v>0</v>
          </cell>
          <cell r="T718">
            <v>0</v>
          </cell>
          <cell r="U718">
            <v>3382805</v>
          </cell>
          <cell r="V718">
            <v>3382805</v>
          </cell>
        </row>
        <row r="719">
          <cell r="J719">
            <v>364</v>
          </cell>
          <cell r="K719">
            <v>43124</v>
          </cell>
          <cell r="L719" t="str">
            <v>CAJA DE VIVIENDA POPULAR</v>
          </cell>
          <cell r="M719">
            <v>1</v>
          </cell>
          <cell r="N719" t="str">
            <v>RELACION DE AUTORIZACION</v>
          </cell>
          <cell r="O719">
            <v>4</v>
          </cell>
          <cell r="P719">
            <v>43124</v>
          </cell>
          <cell r="Q719" t="str">
            <v>PAGO DE LA NOMINA DEL MES DE ENERO DE 2018 DE PLANTA FIJA Y CONVENCIONADOS</v>
          </cell>
          <cell r="R719">
            <v>1719388</v>
          </cell>
          <cell r="S719">
            <v>0</v>
          </cell>
          <cell r="T719">
            <v>0</v>
          </cell>
          <cell r="U719">
            <v>1719388</v>
          </cell>
          <cell r="V719">
            <v>1719388</v>
          </cell>
        </row>
        <row r="720">
          <cell r="J720">
            <v>1384</v>
          </cell>
          <cell r="K720">
            <v>43151</v>
          </cell>
          <cell r="L720" t="str">
            <v>CAJA DE VIVIENDA POPULAR</v>
          </cell>
          <cell r="M720">
            <v>1</v>
          </cell>
          <cell r="N720" t="str">
            <v>RELACION DE AUTORIZACION</v>
          </cell>
          <cell r="O720">
            <v>16</v>
          </cell>
          <cell r="P720">
            <v>43151</v>
          </cell>
          <cell r="Q720" t="str">
            <v>PAGO DE LA NOMINA DEL MES DE FEBRERO DE 2018 DE PLANTA FIJA Y CONVENCIONADOS</v>
          </cell>
          <cell r="R720">
            <v>11334502</v>
          </cell>
          <cell r="S720">
            <v>0</v>
          </cell>
          <cell r="T720">
            <v>0</v>
          </cell>
          <cell r="U720">
            <v>11334502</v>
          </cell>
          <cell r="V720">
            <v>11334502</v>
          </cell>
        </row>
        <row r="721">
          <cell r="J721">
            <v>1603</v>
          </cell>
          <cell r="K721">
            <v>43180</v>
          </cell>
          <cell r="L721" t="str">
            <v>CAJA DE VIVIENDA POPULAR</v>
          </cell>
          <cell r="M721">
            <v>1</v>
          </cell>
          <cell r="N721" t="str">
            <v>RELACION DE AUTORIZACION</v>
          </cell>
          <cell r="O721">
            <v>24</v>
          </cell>
          <cell r="P721">
            <v>43180</v>
          </cell>
          <cell r="Q721" t="str">
            <v>PAGO DE LA NOMINA DEL MES DE MARZO DE 2018 DE PLANTA FIJA Y CONVENCIONADOS</v>
          </cell>
          <cell r="R721">
            <v>14254976</v>
          </cell>
          <cell r="S721">
            <v>14254976</v>
          </cell>
          <cell r="T721">
            <v>0</v>
          </cell>
          <cell r="U721">
            <v>0</v>
          </cell>
          <cell r="V721">
            <v>0</v>
          </cell>
        </row>
        <row r="722">
          <cell r="J722">
            <v>1615</v>
          </cell>
          <cell r="K722">
            <v>43181</v>
          </cell>
          <cell r="L722" t="str">
            <v>CAJA DE VIVIENDA POPULAR</v>
          </cell>
          <cell r="M722">
            <v>1</v>
          </cell>
          <cell r="N722" t="str">
            <v>RELACION DE AUTORIZACION</v>
          </cell>
          <cell r="O722">
            <v>24</v>
          </cell>
          <cell r="P722">
            <v>43181</v>
          </cell>
          <cell r="Q722" t="str">
            <v>PAGO DE LA NOMINA DEL MES DE MARZO DE 2018 DE PLANTA FIJA Y CONVENCIONADOS</v>
          </cell>
          <cell r="R722">
            <v>14254976</v>
          </cell>
          <cell r="S722">
            <v>0</v>
          </cell>
          <cell r="T722">
            <v>0</v>
          </cell>
          <cell r="U722">
            <v>14254976</v>
          </cell>
          <cell r="V722">
            <v>14254976</v>
          </cell>
        </row>
        <row r="723">
          <cell r="J723">
            <v>1830</v>
          </cell>
          <cell r="K723">
            <v>43213</v>
          </cell>
          <cell r="L723" t="str">
            <v>CAJA DE VIVIENDA POPULAR</v>
          </cell>
          <cell r="M723">
            <v>1</v>
          </cell>
          <cell r="N723" t="str">
            <v>RELACION DE AUTORIZACION</v>
          </cell>
          <cell r="O723">
            <v>32</v>
          </cell>
          <cell r="P723">
            <v>43213</v>
          </cell>
          <cell r="Q723" t="str">
            <v>PAGO SERVICIOS ASOCIADOS A LA NOMINA DEL MES DE ABRIL DE 2018 DE PLANTA FIJA Y CONVENCIONADOS</v>
          </cell>
          <cell r="R723">
            <v>6927597</v>
          </cell>
          <cell r="S723">
            <v>0</v>
          </cell>
          <cell r="T723">
            <v>0</v>
          </cell>
          <cell r="U723">
            <v>6927597</v>
          </cell>
          <cell r="V723">
            <v>6927597</v>
          </cell>
        </row>
        <row r="724">
          <cell r="J724">
            <v>1947</v>
          </cell>
          <cell r="K724">
            <v>43243</v>
          </cell>
          <cell r="L724" t="str">
            <v>CAJA DE VIVIENDA POPULAR</v>
          </cell>
          <cell r="M724">
            <v>1</v>
          </cell>
          <cell r="N724" t="str">
            <v>RELACION DE AUTORIZACION</v>
          </cell>
          <cell r="O724">
            <v>36</v>
          </cell>
          <cell r="P724">
            <v>43243</v>
          </cell>
          <cell r="Q724" t="str">
            <v>PAGO DE LA NOMINA DEL MES DE MAYO DE 2018 DE PLANTA FIJA Y CONVENCIONADOS</v>
          </cell>
          <cell r="R724">
            <v>3393386</v>
          </cell>
          <cell r="S724">
            <v>0</v>
          </cell>
          <cell r="T724">
            <v>0</v>
          </cell>
          <cell r="U724">
            <v>3393386</v>
          </cell>
          <cell r="V724">
            <v>3393386</v>
          </cell>
        </row>
        <row r="725">
          <cell r="J725">
            <v>2053</v>
          </cell>
          <cell r="K725">
            <v>43271</v>
          </cell>
          <cell r="L725" t="str">
            <v>CAJA DE VIVIENDA POPULAR</v>
          </cell>
          <cell r="M725">
            <v>1</v>
          </cell>
          <cell r="N725" t="str">
            <v>RELACION DE AUTORIZACION</v>
          </cell>
          <cell r="O725">
            <v>45</v>
          </cell>
          <cell r="P725">
            <v>43271</v>
          </cell>
          <cell r="Q725" t="str">
            <v>PAGO DE LA NOMINA DEL MES DE JUNIO DE 2018 DE PLANTA FIJA Y CONVENCIONADOS</v>
          </cell>
          <cell r="R725">
            <v>4371106</v>
          </cell>
          <cell r="S725">
            <v>0</v>
          </cell>
          <cell r="T725">
            <v>0</v>
          </cell>
          <cell r="U725">
            <v>4371106</v>
          </cell>
          <cell r="V725">
            <v>4371106</v>
          </cell>
        </row>
        <row r="726">
          <cell r="J726">
            <v>2520</v>
          </cell>
          <cell r="K726">
            <v>43305</v>
          </cell>
          <cell r="L726" t="str">
            <v>CAJA DE VIVIENDA POPULAR</v>
          </cell>
          <cell r="M726">
            <v>1</v>
          </cell>
          <cell r="N726" t="str">
            <v>RELACION DE AUTORIZACION</v>
          </cell>
          <cell r="O726">
            <v>51</v>
          </cell>
          <cell r="P726">
            <v>43305</v>
          </cell>
          <cell r="Q726" t="str">
            <v>PAGO DE LA NOMINA DEL MES DE JULIO DE 2018 DE LA PLANTA FIJA Y CONVENCIONADOS</v>
          </cell>
          <cell r="R726">
            <v>8620929</v>
          </cell>
          <cell r="S726">
            <v>0</v>
          </cell>
          <cell r="T726">
            <v>0</v>
          </cell>
          <cell r="U726">
            <v>8620929</v>
          </cell>
          <cell r="V726">
            <v>8620929</v>
          </cell>
        </row>
        <row r="727">
          <cell r="J727">
            <v>2729</v>
          </cell>
          <cell r="K727">
            <v>43336</v>
          </cell>
          <cell r="L727" t="str">
            <v>CAJA DE VIVIENDA POPULAR</v>
          </cell>
          <cell r="M727">
            <v>1</v>
          </cell>
          <cell r="N727" t="str">
            <v>RELACION DE AUTORIZACION</v>
          </cell>
          <cell r="O727">
            <v>57</v>
          </cell>
          <cell r="P727">
            <v>43335</v>
          </cell>
          <cell r="Q727" t="str">
            <v>PAGO DE LA NOMINA DEL MES DE AGOSTO DE 2018 PLANTA FIJA Y CONVECIONADOS</v>
          </cell>
          <cell r="R727">
            <v>13006913</v>
          </cell>
          <cell r="S727">
            <v>0</v>
          </cell>
          <cell r="T727">
            <v>0</v>
          </cell>
          <cell r="U727">
            <v>13006913</v>
          </cell>
          <cell r="V727">
            <v>13006913</v>
          </cell>
        </row>
        <row r="728">
          <cell r="J728">
            <v>1977</v>
          </cell>
          <cell r="K728">
            <v>43252</v>
          </cell>
          <cell r="L728" t="str">
            <v>CAJA DE VIVIENDA POPULAR</v>
          </cell>
          <cell r="M728">
            <v>1</v>
          </cell>
          <cell r="N728" t="str">
            <v>RELACION DE AUTORIZACION</v>
          </cell>
          <cell r="O728">
            <v>39</v>
          </cell>
          <cell r="P728">
            <v>43252</v>
          </cell>
          <cell r="Q728" t="str">
            <v>PAGO DE LA PRIMA DE SERVICIOS Y SEMESTRAL 2018 DE PLANTA FIJA Y CONVENCIONADOS</v>
          </cell>
          <cell r="R728">
            <v>34318975</v>
          </cell>
          <cell r="S728">
            <v>0</v>
          </cell>
          <cell r="T728">
            <v>0</v>
          </cell>
          <cell r="U728">
            <v>34318975</v>
          </cell>
          <cell r="V728">
            <v>34318975</v>
          </cell>
        </row>
        <row r="729">
          <cell r="J729">
            <v>2520</v>
          </cell>
          <cell r="K729">
            <v>43305</v>
          </cell>
          <cell r="L729" t="str">
            <v>CAJA DE VIVIENDA POPULAR</v>
          </cell>
          <cell r="M729">
            <v>1</v>
          </cell>
          <cell r="N729" t="str">
            <v>RELACION DE AUTORIZACION</v>
          </cell>
          <cell r="O729">
            <v>51</v>
          </cell>
          <cell r="P729">
            <v>43305</v>
          </cell>
          <cell r="Q729" t="str">
            <v>PAGO DE LA NOMINA DEL MES DE JULIO DE 2018 DE LA PLANTA FIJA Y CONVENCIONADOS</v>
          </cell>
          <cell r="R729">
            <v>2717717</v>
          </cell>
          <cell r="S729">
            <v>0</v>
          </cell>
          <cell r="T729">
            <v>0</v>
          </cell>
          <cell r="U729">
            <v>2717717</v>
          </cell>
          <cell r="V729">
            <v>2717717</v>
          </cell>
        </row>
        <row r="730">
          <cell r="J730">
            <v>2729</v>
          </cell>
          <cell r="K730">
            <v>43336</v>
          </cell>
          <cell r="L730" t="str">
            <v>CAJA DE VIVIENDA POPULAR</v>
          </cell>
          <cell r="M730">
            <v>1</v>
          </cell>
          <cell r="N730" t="str">
            <v>RELACION DE AUTORIZACION</v>
          </cell>
          <cell r="O730">
            <v>57</v>
          </cell>
          <cell r="P730">
            <v>43335</v>
          </cell>
          <cell r="Q730" t="str">
            <v>PAGO DE LA NOMINA DEL MES DE AGOSTO DE 2018 PLANTA FIJA Y CONVECIONADOS</v>
          </cell>
          <cell r="R730">
            <v>1438296</v>
          </cell>
          <cell r="S730">
            <v>0</v>
          </cell>
          <cell r="T730">
            <v>0</v>
          </cell>
          <cell r="U730">
            <v>1438296</v>
          </cell>
          <cell r="V730">
            <v>1438296</v>
          </cell>
        </row>
        <row r="731">
          <cell r="J731">
            <v>1977</v>
          </cell>
          <cell r="K731">
            <v>43252</v>
          </cell>
          <cell r="L731" t="str">
            <v>CAJA DE VIVIENDA POPULAR</v>
          </cell>
          <cell r="M731">
            <v>1</v>
          </cell>
          <cell r="N731" t="str">
            <v>RELACION DE AUTORIZACION</v>
          </cell>
          <cell r="O731">
            <v>39</v>
          </cell>
          <cell r="P731">
            <v>43252</v>
          </cell>
          <cell r="Q731" t="str">
            <v>PAGO DE LA PRIMA DE SERVICIOS Y SEMESTRAL 2018 DE PLANTA FIJA Y CONVENCIONADOS</v>
          </cell>
          <cell r="R731">
            <v>372926566</v>
          </cell>
          <cell r="S731">
            <v>0</v>
          </cell>
          <cell r="T731">
            <v>0</v>
          </cell>
          <cell r="U731">
            <v>372926566</v>
          </cell>
          <cell r="V731">
            <v>372926566</v>
          </cell>
        </row>
        <row r="732">
          <cell r="J732">
            <v>2520</v>
          </cell>
          <cell r="K732">
            <v>43305</v>
          </cell>
          <cell r="L732" t="str">
            <v>CAJA DE VIVIENDA POPULAR</v>
          </cell>
          <cell r="M732">
            <v>1</v>
          </cell>
          <cell r="N732" t="str">
            <v>RELACION DE AUTORIZACION</v>
          </cell>
          <cell r="O732">
            <v>51</v>
          </cell>
          <cell r="P732">
            <v>43305</v>
          </cell>
          <cell r="Q732" t="str">
            <v>PAGO DE LA NOMINA DEL MES DE JULIO DE 2018 DE LA PLANTA FIJA Y CONVENCIONADOS</v>
          </cell>
          <cell r="R732">
            <v>460667</v>
          </cell>
          <cell r="S732">
            <v>0</v>
          </cell>
          <cell r="T732">
            <v>0</v>
          </cell>
          <cell r="U732">
            <v>460667</v>
          </cell>
          <cell r="V732">
            <v>460667</v>
          </cell>
        </row>
        <row r="733">
          <cell r="J733">
            <v>364</v>
          </cell>
          <cell r="K733">
            <v>43124</v>
          </cell>
          <cell r="L733" t="str">
            <v>CAJA DE VIVIENDA POPULAR</v>
          </cell>
          <cell r="M733">
            <v>1</v>
          </cell>
          <cell r="N733" t="str">
            <v>RELACION DE AUTORIZACION</v>
          </cell>
          <cell r="O733">
            <v>4</v>
          </cell>
          <cell r="P733">
            <v>43124</v>
          </cell>
          <cell r="Q733" t="str">
            <v>PAGO DE LA NOMINA DEL MES DE ENERO DE 2018 DE PLANTA FIJA Y CONVENCIONADOS</v>
          </cell>
          <cell r="R733">
            <v>2671684</v>
          </cell>
          <cell r="S733">
            <v>0</v>
          </cell>
          <cell r="T733">
            <v>0</v>
          </cell>
          <cell r="U733">
            <v>2671684</v>
          </cell>
          <cell r="V733">
            <v>2671684</v>
          </cell>
        </row>
        <row r="734">
          <cell r="J734">
            <v>1384</v>
          </cell>
          <cell r="K734">
            <v>43151</v>
          </cell>
          <cell r="L734" t="str">
            <v>CAJA DE VIVIENDA POPULAR</v>
          </cell>
          <cell r="M734">
            <v>1</v>
          </cell>
          <cell r="N734" t="str">
            <v>RELACION DE AUTORIZACION</v>
          </cell>
          <cell r="O734">
            <v>16</v>
          </cell>
          <cell r="P734">
            <v>43151</v>
          </cell>
          <cell r="Q734" t="str">
            <v>PAGO DE LA NOMINA DEL MES DE FEBRERO DE 2018 DE PLANTA FIJA Y CONVENCIONADOS</v>
          </cell>
          <cell r="R734">
            <v>4794918</v>
          </cell>
          <cell r="S734">
            <v>0</v>
          </cell>
          <cell r="T734">
            <v>0</v>
          </cell>
          <cell r="U734">
            <v>4794918</v>
          </cell>
          <cell r="V734">
            <v>4794918</v>
          </cell>
        </row>
        <row r="735">
          <cell r="J735">
            <v>1603</v>
          </cell>
          <cell r="K735">
            <v>43180</v>
          </cell>
          <cell r="L735" t="str">
            <v>CAJA DE VIVIENDA POPULAR</v>
          </cell>
          <cell r="M735">
            <v>1</v>
          </cell>
          <cell r="N735" t="str">
            <v>RELACION DE AUTORIZACION</v>
          </cell>
          <cell r="O735">
            <v>24</v>
          </cell>
          <cell r="P735">
            <v>43180</v>
          </cell>
          <cell r="Q735" t="str">
            <v>PAGO DE LA NOMINA DEL MES DE MARZO DE 2018 DE PLANTA FIJA Y CONVENCIONADOS</v>
          </cell>
          <cell r="R735">
            <v>1306101</v>
          </cell>
          <cell r="S735">
            <v>1306101</v>
          </cell>
          <cell r="T735">
            <v>0</v>
          </cell>
          <cell r="U735">
            <v>0</v>
          </cell>
          <cell r="V735">
            <v>0</v>
          </cell>
        </row>
        <row r="736">
          <cell r="J736">
            <v>1615</v>
          </cell>
          <cell r="K736">
            <v>43181</v>
          </cell>
          <cell r="L736" t="str">
            <v>CAJA DE VIVIENDA POPULAR</v>
          </cell>
          <cell r="M736">
            <v>1</v>
          </cell>
          <cell r="N736" t="str">
            <v>RELACION DE AUTORIZACION</v>
          </cell>
          <cell r="O736">
            <v>24</v>
          </cell>
          <cell r="P736">
            <v>43181</v>
          </cell>
          <cell r="Q736" t="str">
            <v>PAGO DE LA NOMINA DEL MES DE MARZO DE 2018 DE PLANTA FIJA Y CONVENCIONADOS</v>
          </cell>
          <cell r="R736">
            <v>1306101</v>
          </cell>
          <cell r="S736">
            <v>0</v>
          </cell>
          <cell r="T736">
            <v>0</v>
          </cell>
          <cell r="U736">
            <v>1306101</v>
          </cell>
          <cell r="V736">
            <v>1306101</v>
          </cell>
        </row>
        <row r="737">
          <cell r="J737">
            <v>1830</v>
          </cell>
          <cell r="K737">
            <v>43213</v>
          </cell>
          <cell r="L737" t="str">
            <v>CAJA DE VIVIENDA POPULAR</v>
          </cell>
          <cell r="M737">
            <v>1</v>
          </cell>
          <cell r="N737" t="str">
            <v>RELACION DE AUTORIZACION</v>
          </cell>
          <cell r="O737">
            <v>32</v>
          </cell>
          <cell r="P737">
            <v>43213</v>
          </cell>
          <cell r="Q737" t="str">
            <v>PAGO SERVICIOS ASOCIADOS A LA NOMINA DEL MES DE ABRIL DE 2018 DE PLANTA FIJA Y CONVENCIONADOS</v>
          </cell>
          <cell r="R737">
            <v>18763293</v>
          </cell>
          <cell r="S737">
            <v>0</v>
          </cell>
          <cell r="T737">
            <v>0</v>
          </cell>
          <cell r="U737">
            <v>18763293</v>
          </cell>
          <cell r="V737">
            <v>18763293</v>
          </cell>
        </row>
        <row r="738">
          <cell r="J738">
            <v>1947</v>
          </cell>
          <cell r="K738">
            <v>43243</v>
          </cell>
          <cell r="L738" t="str">
            <v>CAJA DE VIVIENDA POPULAR</v>
          </cell>
          <cell r="M738">
            <v>1</v>
          </cell>
          <cell r="N738" t="str">
            <v>RELACION DE AUTORIZACION</v>
          </cell>
          <cell r="O738">
            <v>36</v>
          </cell>
          <cell r="P738">
            <v>43243</v>
          </cell>
          <cell r="Q738" t="str">
            <v>PAGO DE LA NOMINA DEL MES DE MAYO DE 2018 DE PLANTA FIJA Y CONVENCIONADOS</v>
          </cell>
          <cell r="R738">
            <v>14055471</v>
          </cell>
          <cell r="S738">
            <v>0</v>
          </cell>
          <cell r="T738">
            <v>0</v>
          </cell>
          <cell r="U738">
            <v>14055471</v>
          </cell>
          <cell r="V738">
            <v>14055471</v>
          </cell>
        </row>
        <row r="739">
          <cell r="J739">
            <v>2053</v>
          </cell>
          <cell r="K739">
            <v>43271</v>
          </cell>
          <cell r="L739" t="str">
            <v>CAJA DE VIVIENDA POPULAR</v>
          </cell>
          <cell r="M739">
            <v>1</v>
          </cell>
          <cell r="N739" t="str">
            <v>RELACION DE AUTORIZACION</v>
          </cell>
          <cell r="O739">
            <v>45</v>
          </cell>
          <cell r="P739">
            <v>43271</v>
          </cell>
          <cell r="Q739" t="str">
            <v>PAGO DE LA NOMINA DEL MES DE JUNIO DE 2018 DE PLANTA FIJA Y CONVENCIONADOS</v>
          </cell>
          <cell r="R739">
            <v>7835117</v>
          </cell>
          <cell r="S739">
            <v>0</v>
          </cell>
          <cell r="T739">
            <v>0</v>
          </cell>
          <cell r="U739">
            <v>7835117</v>
          </cell>
          <cell r="V739">
            <v>7835117</v>
          </cell>
        </row>
        <row r="740">
          <cell r="J740">
            <v>2520</v>
          </cell>
          <cell r="K740">
            <v>43305</v>
          </cell>
          <cell r="L740" t="str">
            <v>CAJA DE VIVIENDA POPULAR</v>
          </cell>
          <cell r="M740">
            <v>1</v>
          </cell>
          <cell r="N740" t="str">
            <v>RELACION DE AUTORIZACION</v>
          </cell>
          <cell r="O740">
            <v>51</v>
          </cell>
          <cell r="P740">
            <v>43305</v>
          </cell>
          <cell r="Q740" t="str">
            <v>PAGO DE LA NOMINA DEL MES DE JULIO DE 2018 DE LA PLANTA FIJA Y CONVENCIONADOS</v>
          </cell>
          <cell r="R740">
            <v>8722895</v>
          </cell>
          <cell r="S740">
            <v>0</v>
          </cell>
          <cell r="T740">
            <v>0</v>
          </cell>
          <cell r="U740">
            <v>8722895</v>
          </cell>
          <cell r="V740">
            <v>8722895</v>
          </cell>
        </row>
        <row r="741">
          <cell r="J741">
            <v>2729</v>
          </cell>
          <cell r="K741">
            <v>43336</v>
          </cell>
          <cell r="L741" t="str">
            <v>CAJA DE VIVIENDA POPULAR</v>
          </cell>
          <cell r="M741">
            <v>1</v>
          </cell>
          <cell r="N741" t="str">
            <v>RELACION DE AUTORIZACION</v>
          </cell>
          <cell r="O741">
            <v>57</v>
          </cell>
          <cell r="P741">
            <v>43335</v>
          </cell>
          <cell r="Q741" t="str">
            <v>PAGO DE LA NOMINA DEL MES DE AGOSTO DE 2018 PLANTA FIJA Y CONVECIONADOS</v>
          </cell>
          <cell r="R741">
            <v>16696152</v>
          </cell>
          <cell r="S741">
            <v>0</v>
          </cell>
          <cell r="T741">
            <v>0</v>
          </cell>
          <cell r="U741">
            <v>16696152</v>
          </cell>
          <cell r="V741">
            <v>16696152</v>
          </cell>
        </row>
        <row r="742">
          <cell r="J742">
            <v>364</v>
          </cell>
          <cell r="K742">
            <v>43124</v>
          </cell>
          <cell r="L742" t="str">
            <v>CAJA DE VIVIENDA POPULAR</v>
          </cell>
          <cell r="M742">
            <v>1</v>
          </cell>
          <cell r="N742" t="str">
            <v>RELACION DE AUTORIZACION</v>
          </cell>
          <cell r="O742">
            <v>4</v>
          </cell>
          <cell r="P742">
            <v>43124</v>
          </cell>
          <cell r="Q742" t="str">
            <v>PAGO DE LA NOMINA DEL MES DE ENERO DE 2018 DE PLANTA FIJA Y CONVENCIONADOS</v>
          </cell>
          <cell r="R742">
            <v>60390946</v>
          </cell>
          <cell r="S742">
            <v>0</v>
          </cell>
          <cell r="T742">
            <v>0</v>
          </cell>
          <cell r="U742">
            <v>60390946</v>
          </cell>
          <cell r="V742">
            <v>60390946</v>
          </cell>
        </row>
        <row r="743">
          <cell r="J743">
            <v>1384</v>
          </cell>
          <cell r="K743">
            <v>43151</v>
          </cell>
          <cell r="L743" t="str">
            <v>CAJA DE VIVIENDA POPULAR</v>
          </cell>
          <cell r="M743">
            <v>1</v>
          </cell>
          <cell r="N743" t="str">
            <v>RELACION DE AUTORIZACION</v>
          </cell>
          <cell r="O743">
            <v>16</v>
          </cell>
          <cell r="P743">
            <v>43151</v>
          </cell>
          <cell r="Q743" t="str">
            <v>PAGO DE LA NOMINA DEL MES DE FEBRERO DE 2018 DE PLANTA FIJA Y CONVENCIONADOS</v>
          </cell>
          <cell r="R743">
            <v>61116751</v>
          </cell>
          <cell r="S743">
            <v>0</v>
          </cell>
          <cell r="T743">
            <v>0</v>
          </cell>
          <cell r="U743">
            <v>61116751</v>
          </cell>
          <cell r="V743">
            <v>61116751</v>
          </cell>
        </row>
        <row r="744">
          <cell r="J744">
            <v>1603</v>
          </cell>
          <cell r="K744">
            <v>43180</v>
          </cell>
          <cell r="L744" t="str">
            <v>CAJA DE VIVIENDA POPULAR</v>
          </cell>
          <cell r="M744">
            <v>1</v>
          </cell>
          <cell r="N744" t="str">
            <v>RELACION DE AUTORIZACION</v>
          </cell>
          <cell r="O744">
            <v>24</v>
          </cell>
          <cell r="P744">
            <v>43180</v>
          </cell>
          <cell r="Q744" t="str">
            <v>PAGO DE LA NOMINA DEL MES DE MARZO DE 2018 DE PLANTA FIJA Y CONVENCIONADOS</v>
          </cell>
          <cell r="R744">
            <v>69875520</v>
          </cell>
          <cell r="S744">
            <v>69875520</v>
          </cell>
          <cell r="T744">
            <v>0</v>
          </cell>
          <cell r="U744">
            <v>0</v>
          </cell>
          <cell r="V744">
            <v>0</v>
          </cell>
        </row>
        <row r="745">
          <cell r="J745">
            <v>1615</v>
          </cell>
          <cell r="K745">
            <v>43181</v>
          </cell>
          <cell r="L745" t="str">
            <v>CAJA DE VIVIENDA POPULAR</v>
          </cell>
          <cell r="M745">
            <v>1</v>
          </cell>
          <cell r="N745" t="str">
            <v>RELACION DE AUTORIZACION</v>
          </cell>
          <cell r="O745">
            <v>24</v>
          </cell>
          <cell r="P745">
            <v>43181</v>
          </cell>
          <cell r="Q745" t="str">
            <v>PAGO DE LA NOMINA DEL MES DE MARZO DE 2018 DE PLANTA FIJA Y CONVENCIONADOS</v>
          </cell>
          <cell r="R745">
            <v>69970778</v>
          </cell>
          <cell r="S745">
            <v>0</v>
          </cell>
          <cell r="T745">
            <v>0</v>
          </cell>
          <cell r="U745">
            <v>69970778</v>
          </cell>
          <cell r="V745">
            <v>69970778</v>
          </cell>
        </row>
        <row r="746">
          <cell r="J746">
            <v>1830</v>
          </cell>
          <cell r="K746">
            <v>43213</v>
          </cell>
          <cell r="L746" t="str">
            <v>CAJA DE VIVIENDA POPULAR</v>
          </cell>
          <cell r="M746">
            <v>1</v>
          </cell>
          <cell r="N746" t="str">
            <v>RELACION DE AUTORIZACION</v>
          </cell>
          <cell r="O746">
            <v>32</v>
          </cell>
          <cell r="P746">
            <v>43213</v>
          </cell>
          <cell r="Q746" t="str">
            <v>PAGO SERVICIOS ASOCIADOS A LA NOMINA DEL MES DE ABRIL DE 2018 DE PLANTA FIJA Y CONVENCIONADOS</v>
          </cell>
          <cell r="R746">
            <v>67276699</v>
          </cell>
          <cell r="S746">
            <v>0</v>
          </cell>
          <cell r="T746">
            <v>0</v>
          </cell>
          <cell r="U746">
            <v>67276699</v>
          </cell>
          <cell r="V746">
            <v>67276699</v>
          </cell>
        </row>
        <row r="747">
          <cell r="J747">
            <v>1947</v>
          </cell>
          <cell r="K747">
            <v>43243</v>
          </cell>
          <cell r="L747" t="str">
            <v>CAJA DE VIVIENDA POPULAR</v>
          </cell>
          <cell r="M747">
            <v>1</v>
          </cell>
          <cell r="N747" t="str">
            <v>RELACION DE AUTORIZACION</v>
          </cell>
          <cell r="O747">
            <v>36</v>
          </cell>
          <cell r="P747">
            <v>43243</v>
          </cell>
          <cell r="Q747" t="str">
            <v>PAGO DE LA NOMINA DEL MES DE MAYO DE 2018 DE PLANTA FIJA Y CONVENCIONADOS</v>
          </cell>
          <cell r="R747">
            <v>64442102</v>
          </cell>
          <cell r="S747">
            <v>0</v>
          </cell>
          <cell r="T747">
            <v>0</v>
          </cell>
          <cell r="U747">
            <v>64442102</v>
          </cell>
          <cell r="V747">
            <v>64442102</v>
          </cell>
        </row>
        <row r="748">
          <cell r="J748">
            <v>2053</v>
          </cell>
          <cell r="K748">
            <v>43271</v>
          </cell>
          <cell r="L748" t="str">
            <v>CAJA DE VIVIENDA POPULAR</v>
          </cell>
          <cell r="M748">
            <v>1</v>
          </cell>
          <cell r="N748" t="str">
            <v>RELACION DE AUTORIZACION</v>
          </cell>
          <cell r="O748">
            <v>45</v>
          </cell>
          <cell r="P748">
            <v>43271</v>
          </cell>
          <cell r="Q748" t="str">
            <v>PAGO DE LA NOMINA DEL MES DE JUNIO DE 2018 DE PLANTA FIJA Y CONVENCIONADOS</v>
          </cell>
          <cell r="R748">
            <v>64265843</v>
          </cell>
          <cell r="S748">
            <v>0</v>
          </cell>
          <cell r="T748">
            <v>0</v>
          </cell>
          <cell r="U748">
            <v>64265843</v>
          </cell>
          <cell r="V748">
            <v>64265843</v>
          </cell>
        </row>
        <row r="749">
          <cell r="J749">
            <v>2520</v>
          </cell>
          <cell r="K749">
            <v>43305</v>
          </cell>
          <cell r="L749" t="str">
            <v>CAJA DE VIVIENDA POPULAR</v>
          </cell>
          <cell r="M749">
            <v>1</v>
          </cell>
          <cell r="N749" t="str">
            <v>RELACION DE AUTORIZACION</v>
          </cell>
          <cell r="O749">
            <v>51</v>
          </cell>
          <cell r="P749">
            <v>43305</v>
          </cell>
          <cell r="Q749" t="str">
            <v>PAGO DE LA NOMINA DEL MES DE JULIO DE 2018 DE LA PLANTA FIJA Y CONVENCIONADOS</v>
          </cell>
          <cell r="R749">
            <v>60530347</v>
          </cell>
          <cell r="S749">
            <v>0</v>
          </cell>
          <cell r="T749">
            <v>0</v>
          </cell>
          <cell r="U749">
            <v>60530347</v>
          </cell>
          <cell r="V749">
            <v>60530347</v>
          </cell>
        </row>
        <row r="750">
          <cell r="J750">
            <v>2729</v>
          </cell>
          <cell r="K750">
            <v>43336</v>
          </cell>
          <cell r="L750" t="str">
            <v>CAJA DE VIVIENDA POPULAR</v>
          </cell>
          <cell r="M750">
            <v>1</v>
          </cell>
          <cell r="N750" t="str">
            <v>RELACION DE AUTORIZACION</v>
          </cell>
          <cell r="O750">
            <v>57</v>
          </cell>
          <cell r="P750">
            <v>43335</v>
          </cell>
          <cell r="Q750" t="str">
            <v>PAGO DE LA NOMINA DEL MES DE AGOSTO DE 2018 PLANTA FIJA Y CONVECIONADOS</v>
          </cell>
          <cell r="R750">
            <v>62985795</v>
          </cell>
          <cell r="S750">
            <v>0</v>
          </cell>
          <cell r="T750">
            <v>0</v>
          </cell>
          <cell r="U750">
            <v>62985795</v>
          </cell>
          <cell r="V750">
            <v>62985795</v>
          </cell>
        </row>
        <row r="751">
          <cell r="J751">
            <v>364</v>
          </cell>
          <cell r="K751">
            <v>43124</v>
          </cell>
          <cell r="L751" t="str">
            <v>CAJA DE VIVIENDA POPULAR</v>
          </cell>
          <cell r="M751">
            <v>1</v>
          </cell>
          <cell r="N751" t="str">
            <v>RELACION DE AUTORIZACION</v>
          </cell>
          <cell r="O751">
            <v>4</v>
          </cell>
          <cell r="P751">
            <v>43124</v>
          </cell>
          <cell r="Q751" t="str">
            <v>PAGO DE LA NOMINA DEL MES DE ENERO DE 2018 DE PLANTA FIJA Y CONVENCIONADOS</v>
          </cell>
          <cell r="R751">
            <v>3781853</v>
          </cell>
          <cell r="S751">
            <v>0</v>
          </cell>
          <cell r="T751">
            <v>0</v>
          </cell>
          <cell r="U751">
            <v>3781853</v>
          </cell>
          <cell r="V751">
            <v>3781853</v>
          </cell>
        </row>
        <row r="752">
          <cell r="J752">
            <v>1384</v>
          </cell>
          <cell r="K752">
            <v>43151</v>
          </cell>
          <cell r="L752" t="str">
            <v>CAJA DE VIVIENDA POPULAR</v>
          </cell>
          <cell r="M752">
            <v>1</v>
          </cell>
          <cell r="N752" t="str">
            <v>RELACION DE AUTORIZACION</v>
          </cell>
          <cell r="O752">
            <v>16</v>
          </cell>
          <cell r="P752">
            <v>43151</v>
          </cell>
          <cell r="Q752" t="str">
            <v>PAGO DE LA NOMINA DEL MES DE FEBRERO DE 2018 DE PLANTA FIJA Y CONVENCIONADOS</v>
          </cell>
          <cell r="R752">
            <v>4823290</v>
          </cell>
          <cell r="S752">
            <v>0</v>
          </cell>
          <cell r="T752">
            <v>0</v>
          </cell>
          <cell r="U752">
            <v>4823290</v>
          </cell>
          <cell r="V752">
            <v>4823290</v>
          </cell>
        </row>
        <row r="753">
          <cell r="J753">
            <v>1603</v>
          </cell>
          <cell r="K753">
            <v>43180</v>
          </cell>
          <cell r="L753" t="str">
            <v>CAJA DE VIVIENDA POPULAR</v>
          </cell>
          <cell r="M753">
            <v>1</v>
          </cell>
          <cell r="N753" t="str">
            <v>RELACION DE AUTORIZACION</v>
          </cell>
          <cell r="O753">
            <v>24</v>
          </cell>
          <cell r="P753">
            <v>43180</v>
          </cell>
          <cell r="Q753" t="str">
            <v>PAGO DE LA NOMINA DEL MES DE MARZO DE 2018 DE PLANTA FIJA Y CONVENCIONADOS</v>
          </cell>
          <cell r="R753">
            <v>5443576</v>
          </cell>
          <cell r="S753">
            <v>5443576</v>
          </cell>
          <cell r="T753">
            <v>0</v>
          </cell>
          <cell r="U753">
            <v>0</v>
          </cell>
          <cell r="V753">
            <v>0</v>
          </cell>
        </row>
        <row r="754">
          <cell r="J754">
            <v>1615</v>
          </cell>
          <cell r="K754">
            <v>43181</v>
          </cell>
          <cell r="L754" t="str">
            <v>CAJA DE VIVIENDA POPULAR</v>
          </cell>
          <cell r="M754">
            <v>1</v>
          </cell>
          <cell r="N754" t="str">
            <v>RELACION DE AUTORIZACION</v>
          </cell>
          <cell r="O754">
            <v>24</v>
          </cell>
          <cell r="P754">
            <v>43181</v>
          </cell>
          <cell r="Q754" t="str">
            <v>PAGO DE LA NOMINA DEL MES DE MARZO DE 2018 DE PLANTA FIJA Y CONVENCIONADOS</v>
          </cell>
          <cell r="R754">
            <v>5443576</v>
          </cell>
          <cell r="S754">
            <v>0</v>
          </cell>
          <cell r="T754">
            <v>0</v>
          </cell>
          <cell r="U754">
            <v>5443576</v>
          </cell>
          <cell r="V754">
            <v>5443576</v>
          </cell>
        </row>
        <row r="755">
          <cell r="J755">
            <v>1830</v>
          </cell>
          <cell r="K755">
            <v>43213</v>
          </cell>
          <cell r="L755" t="str">
            <v>CAJA DE VIVIENDA POPULAR</v>
          </cell>
          <cell r="M755">
            <v>1</v>
          </cell>
          <cell r="N755" t="str">
            <v>RELACION DE AUTORIZACION</v>
          </cell>
          <cell r="O755">
            <v>32</v>
          </cell>
          <cell r="P755">
            <v>43213</v>
          </cell>
          <cell r="Q755" t="str">
            <v>PAGO SERVICIOS ASOCIADOS A LA NOMINA DEL MES DE ABRIL DE 2018 DE PLANTA FIJA Y CONVENCIONADOS</v>
          </cell>
          <cell r="R755">
            <v>5160716</v>
          </cell>
          <cell r="S755">
            <v>0</v>
          </cell>
          <cell r="T755">
            <v>0</v>
          </cell>
          <cell r="U755">
            <v>5160716</v>
          </cell>
          <cell r="V755">
            <v>5160716</v>
          </cell>
        </row>
        <row r="756">
          <cell r="J756">
            <v>1947</v>
          </cell>
          <cell r="K756">
            <v>43243</v>
          </cell>
          <cell r="L756" t="str">
            <v>CAJA DE VIVIENDA POPULAR</v>
          </cell>
          <cell r="M756">
            <v>1</v>
          </cell>
          <cell r="N756" t="str">
            <v>RELACION DE AUTORIZACION</v>
          </cell>
          <cell r="O756">
            <v>36</v>
          </cell>
          <cell r="P756">
            <v>43243</v>
          </cell>
          <cell r="Q756" t="str">
            <v>PAGO DE LA NOMINA DEL MES DE MAYO DE 2018 DE PLANTA FIJA Y CONVENCIONADOS</v>
          </cell>
          <cell r="R756">
            <v>4899221</v>
          </cell>
          <cell r="S756">
            <v>0</v>
          </cell>
          <cell r="T756">
            <v>0</v>
          </cell>
          <cell r="U756">
            <v>4899221</v>
          </cell>
          <cell r="V756">
            <v>4899221</v>
          </cell>
        </row>
        <row r="757">
          <cell r="J757">
            <v>2053</v>
          </cell>
          <cell r="K757">
            <v>43271</v>
          </cell>
          <cell r="L757" t="str">
            <v>CAJA DE VIVIENDA POPULAR</v>
          </cell>
          <cell r="M757">
            <v>1</v>
          </cell>
          <cell r="N757" t="str">
            <v>RELACION DE AUTORIZACION</v>
          </cell>
          <cell r="O757">
            <v>45</v>
          </cell>
          <cell r="P757">
            <v>43271</v>
          </cell>
          <cell r="Q757" t="str">
            <v>PAGO DE LA NOMINA DEL MES DE JUNIO DE 2018 DE PLANTA FIJA Y CONVENCIONADOS</v>
          </cell>
          <cell r="R757">
            <v>4485367</v>
          </cell>
          <cell r="S757">
            <v>0</v>
          </cell>
          <cell r="T757">
            <v>0</v>
          </cell>
          <cell r="U757">
            <v>4485367</v>
          </cell>
          <cell r="V757">
            <v>4485367</v>
          </cell>
        </row>
        <row r="758">
          <cell r="J758">
            <v>2520</v>
          </cell>
          <cell r="K758">
            <v>43305</v>
          </cell>
          <cell r="L758" t="str">
            <v>CAJA DE VIVIENDA POPULAR</v>
          </cell>
          <cell r="M758">
            <v>1</v>
          </cell>
          <cell r="N758" t="str">
            <v>RELACION DE AUTORIZACION</v>
          </cell>
          <cell r="O758">
            <v>51</v>
          </cell>
          <cell r="P758">
            <v>43305</v>
          </cell>
          <cell r="Q758" t="str">
            <v>PAGO DE LA NOMINA DEL MES DE JULIO DE 2018 DE LA PLANTA FIJA Y CONVENCIONADOS</v>
          </cell>
          <cell r="R758">
            <v>4844707</v>
          </cell>
          <cell r="S758">
            <v>0</v>
          </cell>
          <cell r="T758">
            <v>0</v>
          </cell>
          <cell r="U758">
            <v>4844707</v>
          </cell>
          <cell r="V758">
            <v>4844707</v>
          </cell>
        </row>
        <row r="759">
          <cell r="J759">
            <v>2729</v>
          </cell>
          <cell r="K759">
            <v>43336</v>
          </cell>
          <cell r="L759" t="str">
            <v>CAJA DE VIVIENDA POPULAR</v>
          </cell>
          <cell r="M759">
            <v>1</v>
          </cell>
          <cell r="N759" t="str">
            <v>RELACION DE AUTORIZACION</v>
          </cell>
          <cell r="O759">
            <v>57</v>
          </cell>
          <cell r="P759">
            <v>43335</v>
          </cell>
          <cell r="Q759" t="str">
            <v>PAGO DE LA NOMINA DEL MES DE AGOSTO DE 2018 PLANTA FIJA Y CONVECIONADOS</v>
          </cell>
          <cell r="R759">
            <v>5320383</v>
          </cell>
          <cell r="S759">
            <v>0</v>
          </cell>
          <cell r="T759">
            <v>0</v>
          </cell>
          <cell r="U759">
            <v>5320383</v>
          </cell>
          <cell r="V759">
            <v>5320383</v>
          </cell>
        </row>
        <row r="760">
          <cell r="J760">
            <v>364</v>
          </cell>
          <cell r="K760">
            <v>43124</v>
          </cell>
          <cell r="L760" t="str">
            <v>CAJA DE VIVIENDA POPULAR</v>
          </cell>
          <cell r="M760">
            <v>1</v>
          </cell>
          <cell r="N760" t="str">
            <v>RELACION DE AUTORIZACION</v>
          </cell>
          <cell r="O760">
            <v>4</v>
          </cell>
          <cell r="P760">
            <v>43124</v>
          </cell>
          <cell r="Q760" t="str">
            <v>PAGO DE LA NOMINA DEL MES DE ENERO DE 2018 DE PLANTA FIJA Y CONVENCIONADOS</v>
          </cell>
          <cell r="R760">
            <v>135400</v>
          </cell>
          <cell r="S760">
            <v>0</v>
          </cell>
          <cell r="T760">
            <v>0</v>
          </cell>
          <cell r="U760">
            <v>135400</v>
          </cell>
          <cell r="V760">
            <v>135400</v>
          </cell>
        </row>
        <row r="761">
          <cell r="J761">
            <v>1384</v>
          </cell>
          <cell r="K761">
            <v>43151</v>
          </cell>
          <cell r="L761" t="str">
            <v>CAJA DE VIVIENDA POPULAR</v>
          </cell>
          <cell r="M761">
            <v>1</v>
          </cell>
          <cell r="N761" t="str">
            <v>RELACION DE AUTORIZACION</v>
          </cell>
          <cell r="O761">
            <v>16</v>
          </cell>
          <cell r="P761">
            <v>43151</v>
          </cell>
          <cell r="Q761" t="str">
            <v>PAGO DE LA NOMINA DEL MES DE FEBRERO DE 2018 DE PLANTA FIJA Y CONVENCIONADOS</v>
          </cell>
          <cell r="R761">
            <v>271410</v>
          </cell>
          <cell r="S761">
            <v>0</v>
          </cell>
          <cell r="T761">
            <v>0</v>
          </cell>
          <cell r="U761">
            <v>271410</v>
          </cell>
          <cell r="V761">
            <v>271410</v>
          </cell>
        </row>
        <row r="762">
          <cell r="J762">
            <v>1603</v>
          </cell>
          <cell r="K762">
            <v>43180</v>
          </cell>
          <cell r="L762" t="str">
            <v>CAJA DE VIVIENDA POPULAR</v>
          </cell>
          <cell r="M762">
            <v>1</v>
          </cell>
          <cell r="N762" t="str">
            <v>RELACION DE AUTORIZACION</v>
          </cell>
          <cell r="O762">
            <v>24</v>
          </cell>
          <cell r="P762">
            <v>43180</v>
          </cell>
          <cell r="Q762" t="str">
            <v>PAGO DE LA NOMINA DEL MES DE MARZO DE 2018 DE PLANTA FIJA Y CONVENCIONADOS</v>
          </cell>
          <cell r="R762">
            <v>309965</v>
          </cell>
          <cell r="S762">
            <v>309965</v>
          </cell>
          <cell r="T762">
            <v>0</v>
          </cell>
          <cell r="U762">
            <v>0</v>
          </cell>
          <cell r="V762">
            <v>0</v>
          </cell>
        </row>
        <row r="763">
          <cell r="J763">
            <v>1615</v>
          </cell>
          <cell r="K763">
            <v>43181</v>
          </cell>
          <cell r="L763" t="str">
            <v>CAJA DE VIVIENDA POPULAR</v>
          </cell>
          <cell r="M763">
            <v>1</v>
          </cell>
          <cell r="N763" t="str">
            <v>RELACION DE AUTORIZACION</v>
          </cell>
          <cell r="O763">
            <v>24</v>
          </cell>
          <cell r="P763">
            <v>43181</v>
          </cell>
          <cell r="Q763" t="str">
            <v>PAGO DE LA NOMINA DEL MES DE MARZO DE 2018 DE PLANTA FIJA Y CONVENCIONADOS</v>
          </cell>
          <cell r="R763">
            <v>309965</v>
          </cell>
          <cell r="S763">
            <v>0</v>
          </cell>
          <cell r="T763">
            <v>0</v>
          </cell>
          <cell r="U763">
            <v>309965</v>
          </cell>
          <cell r="V763">
            <v>309965</v>
          </cell>
        </row>
        <row r="764">
          <cell r="J764">
            <v>1830</v>
          </cell>
          <cell r="K764">
            <v>43213</v>
          </cell>
          <cell r="L764" t="str">
            <v>CAJA DE VIVIENDA POPULAR</v>
          </cell>
          <cell r="M764">
            <v>1</v>
          </cell>
          <cell r="N764" t="str">
            <v>RELACION DE AUTORIZACION</v>
          </cell>
          <cell r="O764">
            <v>32</v>
          </cell>
          <cell r="P764">
            <v>43213</v>
          </cell>
          <cell r="Q764" t="str">
            <v>PAGO SERVICIOS ASOCIADOS A LA NOMINA DEL MES DE ABRIL DE 2018 DE PLANTA FIJA Y CONVENCIONADOS</v>
          </cell>
          <cell r="R764">
            <v>289434</v>
          </cell>
          <cell r="S764">
            <v>0</v>
          </cell>
          <cell r="T764">
            <v>0</v>
          </cell>
          <cell r="U764">
            <v>289434</v>
          </cell>
          <cell r="V764">
            <v>289434</v>
          </cell>
        </row>
        <row r="765">
          <cell r="J765">
            <v>1947</v>
          </cell>
          <cell r="K765">
            <v>43243</v>
          </cell>
          <cell r="L765" t="str">
            <v>CAJA DE VIVIENDA POPULAR</v>
          </cell>
          <cell r="M765">
            <v>1</v>
          </cell>
          <cell r="N765" t="str">
            <v>RELACION DE AUTORIZACION</v>
          </cell>
          <cell r="O765">
            <v>36</v>
          </cell>
          <cell r="P765">
            <v>43243</v>
          </cell>
          <cell r="Q765" t="str">
            <v>PAGO DE LA NOMINA DEL MES DE MAYO DE 2018 DE PLANTA FIJA Y CONVENCIONADOS</v>
          </cell>
          <cell r="R765">
            <v>289434</v>
          </cell>
          <cell r="S765">
            <v>0</v>
          </cell>
          <cell r="T765">
            <v>0</v>
          </cell>
          <cell r="U765">
            <v>289434</v>
          </cell>
          <cell r="V765">
            <v>289434</v>
          </cell>
        </row>
        <row r="766">
          <cell r="J766">
            <v>2053</v>
          </cell>
          <cell r="K766">
            <v>43271</v>
          </cell>
          <cell r="L766" t="str">
            <v>CAJA DE VIVIENDA POPULAR</v>
          </cell>
          <cell r="M766">
            <v>1</v>
          </cell>
          <cell r="N766" t="str">
            <v>RELACION DE AUTORIZACION</v>
          </cell>
          <cell r="O766">
            <v>45</v>
          </cell>
          <cell r="P766">
            <v>43271</v>
          </cell>
          <cell r="Q766" t="str">
            <v>PAGO DE LA NOMINA DEL MES DE JUNIO DE 2018 DE PLANTA FIJA Y CONVENCIONADOS</v>
          </cell>
          <cell r="R766">
            <v>253774</v>
          </cell>
          <cell r="S766">
            <v>0</v>
          </cell>
          <cell r="T766">
            <v>0</v>
          </cell>
          <cell r="U766">
            <v>253774</v>
          </cell>
          <cell r="V766">
            <v>253774</v>
          </cell>
        </row>
        <row r="767">
          <cell r="J767">
            <v>2520</v>
          </cell>
          <cell r="K767">
            <v>43305</v>
          </cell>
          <cell r="L767" t="str">
            <v>CAJA DE VIVIENDA POPULAR</v>
          </cell>
          <cell r="M767">
            <v>1</v>
          </cell>
          <cell r="N767" t="str">
            <v>RELACION DE AUTORIZACION</v>
          </cell>
          <cell r="O767">
            <v>51</v>
          </cell>
          <cell r="P767">
            <v>43305</v>
          </cell>
          <cell r="Q767" t="str">
            <v>PAGO DE LA NOMINA DEL MES DE JULIO DE 2018 DE LA PLANTA FIJA Y CONVENCIONADOS</v>
          </cell>
          <cell r="R767">
            <v>289434</v>
          </cell>
          <cell r="S767">
            <v>0</v>
          </cell>
          <cell r="T767">
            <v>0</v>
          </cell>
          <cell r="U767">
            <v>289434</v>
          </cell>
          <cell r="V767">
            <v>289434</v>
          </cell>
        </row>
        <row r="768">
          <cell r="J768">
            <v>2729</v>
          </cell>
          <cell r="K768">
            <v>43336</v>
          </cell>
          <cell r="L768" t="str">
            <v>CAJA DE VIVIENDA POPULAR</v>
          </cell>
          <cell r="M768">
            <v>1</v>
          </cell>
          <cell r="N768" t="str">
            <v>RELACION DE AUTORIZACION</v>
          </cell>
          <cell r="O768">
            <v>57</v>
          </cell>
          <cell r="P768">
            <v>43335</v>
          </cell>
          <cell r="Q768" t="str">
            <v>PAGO DE LA NOMINA DEL MES DE AGOSTO DE 2018 PLANTA FIJA Y CONVECIONADOS</v>
          </cell>
          <cell r="R768">
            <v>298922</v>
          </cell>
          <cell r="S768">
            <v>0</v>
          </cell>
          <cell r="T768">
            <v>0</v>
          </cell>
          <cell r="U768">
            <v>298922</v>
          </cell>
          <cell r="V768">
            <v>298922</v>
          </cell>
        </row>
        <row r="769">
          <cell r="J769">
            <v>1603</v>
          </cell>
          <cell r="K769">
            <v>43180</v>
          </cell>
          <cell r="L769" t="str">
            <v>CAJA DE VIVIENDA POPULAR</v>
          </cell>
          <cell r="M769">
            <v>1</v>
          </cell>
          <cell r="N769" t="str">
            <v>RELACION DE AUTORIZACION</v>
          </cell>
          <cell r="O769">
            <v>24</v>
          </cell>
          <cell r="P769">
            <v>43180</v>
          </cell>
          <cell r="Q769" t="str">
            <v>PAGO DE LA NOMINA DEL MES DE MARZO DE 2018 DE PLANTA FIJA Y CONVENCIONADOS</v>
          </cell>
          <cell r="R769">
            <v>22855797</v>
          </cell>
          <cell r="S769">
            <v>22855797</v>
          </cell>
          <cell r="T769">
            <v>0</v>
          </cell>
          <cell r="U769">
            <v>0</v>
          </cell>
          <cell r="V769">
            <v>0</v>
          </cell>
        </row>
        <row r="770">
          <cell r="J770">
            <v>1615</v>
          </cell>
          <cell r="K770">
            <v>43181</v>
          </cell>
          <cell r="L770" t="str">
            <v>CAJA DE VIVIENDA POPULAR</v>
          </cell>
          <cell r="M770">
            <v>1</v>
          </cell>
          <cell r="N770" t="str">
            <v>RELACION DE AUTORIZACION</v>
          </cell>
          <cell r="O770">
            <v>24</v>
          </cell>
          <cell r="P770">
            <v>43181</v>
          </cell>
          <cell r="Q770" t="str">
            <v>PAGO DE LA NOMINA DEL MES DE MARZO DE 2018 DE PLANTA FIJA Y CONVENCIONADOS</v>
          </cell>
          <cell r="R770">
            <v>22855797</v>
          </cell>
          <cell r="S770">
            <v>0</v>
          </cell>
          <cell r="T770">
            <v>0</v>
          </cell>
          <cell r="U770">
            <v>22855797</v>
          </cell>
          <cell r="V770">
            <v>22855797</v>
          </cell>
        </row>
        <row r="771">
          <cell r="J771">
            <v>1832</v>
          </cell>
          <cell r="K771">
            <v>43213</v>
          </cell>
          <cell r="L771" t="str">
            <v>CAJA DE VIVIENDA POPULAR</v>
          </cell>
          <cell r="M771">
            <v>1</v>
          </cell>
          <cell r="N771" t="str">
            <v>RELACION DE AUTORIZACION</v>
          </cell>
          <cell r="O771">
            <v>32</v>
          </cell>
          <cell r="P771">
            <v>43213</v>
          </cell>
          <cell r="Q771" t="str">
            <v>PAGO DE LA NOMINA DEL MES DE ABRIL DE 2018 DE PLANTA FIJA Y CONVENCIONADOS</v>
          </cell>
          <cell r="R771">
            <v>15039051</v>
          </cell>
          <cell r="S771">
            <v>0</v>
          </cell>
          <cell r="T771">
            <v>0</v>
          </cell>
          <cell r="U771">
            <v>15039051</v>
          </cell>
          <cell r="V771">
            <v>15039051</v>
          </cell>
        </row>
        <row r="772">
          <cell r="J772">
            <v>364</v>
          </cell>
          <cell r="K772">
            <v>43124</v>
          </cell>
          <cell r="L772" t="str">
            <v>CAJA DE VIVIENDA POPULAR</v>
          </cell>
          <cell r="M772">
            <v>1</v>
          </cell>
          <cell r="N772" t="str">
            <v>RELACION DE AUTORIZACION</v>
          </cell>
          <cell r="O772">
            <v>4</v>
          </cell>
          <cell r="P772">
            <v>43124</v>
          </cell>
          <cell r="Q772" t="str">
            <v>PAGO DE LA NOMINA DEL MES DE ENERO DE 2018 DE PLANTA FIJA Y CONVENCIONADOS</v>
          </cell>
          <cell r="R772">
            <v>90025</v>
          </cell>
          <cell r="S772">
            <v>0</v>
          </cell>
          <cell r="T772">
            <v>0</v>
          </cell>
          <cell r="U772">
            <v>90025</v>
          </cell>
          <cell r="V772">
            <v>90025</v>
          </cell>
        </row>
        <row r="773">
          <cell r="J773">
            <v>1384</v>
          </cell>
          <cell r="K773">
            <v>43151</v>
          </cell>
          <cell r="L773" t="str">
            <v>CAJA DE VIVIENDA POPULAR</v>
          </cell>
          <cell r="M773">
            <v>1</v>
          </cell>
          <cell r="N773" t="str">
            <v>RELACION DE AUTORIZACION</v>
          </cell>
          <cell r="O773">
            <v>16</v>
          </cell>
          <cell r="P773">
            <v>43151</v>
          </cell>
          <cell r="Q773" t="str">
            <v>PAGO DE LA NOMINA DEL MES DE FEBRERO DE 2018 DE PLANTA FIJA Y CONVENCIONADOS</v>
          </cell>
          <cell r="R773">
            <v>438788</v>
          </cell>
          <cell r="S773">
            <v>0</v>
          </cell>
          <cell r="T773">
            <v>0</v>
          </cell>
          <cell r="U773">
            <v>438788</v>
          </cell>
          <cell r="V773">
            <v>438788</v>
          </cell>
        </row>
        <row r="774">
          <cell r="J774">
            <v>1603</v>
          </cell>
          <cell r="K774">
            <v>43180</v>
          </cell>
          <cell r="L774" t="str">
            <v>CAJA DE VIVIENDA POPULAR</v>
          </cell>
          <cell r="M774">
            <v>1</v>
          </cell>
          <cell r="N774" t="str">
            <v>RELACION DE AUTORIZACION</v>
          </cell>
          <cell r="O774">
            <v>24</v>
          </cell>
          <cell r="P774">
            <v>43180</v>
          </cell>
          <cell r="Q774" t="str">
            <v>PAGO DE LA NOMINA DEL MES DE MARZO DE 2018 DE PLANTA FIJA Y CONVENCIONADOS</v>
          </cell>
          <cell r="R774">
            <v>63639</v>
          </cell>
          <cell r="S774">
            <v>63639</v>
          </cell>
          <cell r="T774">
            <v>0</v>
          </cell>
          <cell r="U774">
            <v>0</v>
          </cell>
          <cell r="V774">
            <v>0</v>
          </cell>
        </row>
        <row r="775">
          <cell r="J775">
            <v>1615</v>
          </cell>
          <cell r="K775">
            <v>43181</v>
          </cell>
          <cell r="L775" t="str">
            <v>CAJA DE VIVIENDA POPULAR</v>
          </cell>
          <cell r="M775">
            <v>1</v>
          </cell>
          <cell r="N775" t="str">
            <v>RELACION DE AUTORIZACION</v>
          </cell>
          <cell r="O775">
            <v>24</v>
          </cell>
          <cell r="P775">
            <v>43181</v>
          </cell>
          <cell r="Q775" t="str">
            <v>PAGO DE LA NOMINA DEL MES DE MARZO DE 2018 DE PLANTA FIJA Y CONVENCIONADOS</v>
          </cell>
          <cell r="R775">
            <v>63639</v>
          </cell>
          <cell r="S775">
            <v>0</v>
          </cell>
          <cell r="T775">
            <v>0</v>
          </cell>
          <cell r="U775">
            <v>63639</v>
          </cell>
          <cell r="V775">
            <v>63639</v>
          </cell>
        </row>
        <row r="776">
          <cell r="J776">
            <v>1830</v>
          </cell>
          <cell r="K776">
            <v>43213</v>
          </cell>
          <cell r="L776" t="str">
            <v>CAJA DE VIVIENDA POPULAR</v>
          </cell>
          <cell r="M776">
            <v>1</v>
          </cell>
          <cell r="N776" t="str">
            <v>RELACION DE AUTORIZACION</v>
          </cell>
          <cell r="O776">
            <v>32</v>
          </cell>
          <cell r="P776">
            <v>43213</v>
          </cell>
          <cell r="Q776" t="str">
            <v>PAGO SERVICIOS ASOCIADOS A LA NOMINA DEL MES DE ABRIL DE 2018 DE PLANTA FIJA Y CONVENCIONADOS</v>
          </cell>
          <cell r="R776">
            <v>1135656</v>
          </cell>
          <cell r="S776">
            <v>0</v>
          </cell>
          <cell r="T776">
            <v>0</v>
          </cell>
          <cell r="U776">
            <v>1135656</v>
          </cell>
          <cell r="V776">
            <v>1135656</v>
          </cell>
        </row>
        <row r="777">
          <cell r="J777">
            <v>1947</v>
          </cell>
          <cell r="K777">
            <v>43243</v>
          </cell>
          <cell r="L777" t="str">
            <v>CAJA DE VIVIENDA POPULAR</v>
          </cell>
          <cell r="M777">
            <v>1</v>
          </cell>
          <cell r="N777" t="str">
            <v>RELACION DE AUTORIZACION</v>
          </cell>
          <cell r="O777">
            <v>36</v>
          </cell>
          <cell r="P777">
            <v>43243</v>
          </cell>
          <cell r="Q777" t="str">
            <v>PAGO DE LA NOMINA DEL MES DE MAYO DE 2018 DE PLANTA FIJA Y CONVENCIONADOS</v>
          </cell>
          <cell r="R777">
            <v>1241569</v>
          </cell>
          <cell r="S777">
            <v>0</v>
          </cell>
          <cell r="T777">
            <v>0</v>
          </cell>
          <cell r="U777">
            <v>1241569</v>
          </cell>
          <cell r="V777">
            <v>1241569</v>
          </cell>
        </row>
        <row r="778">
          <cell r="J778">
            <v>2053</v>
          </cell>
          <cell r="K778">
            <v>43271</v>
          </cell>
          <cell r="L778" t="str">
            <v>CAJA DE VIVIENDA POPULAR</v>
          </cell>
          <cell r="M778">
            <v>1</v>
          </cell>
          <cell r="N778" t="str">
            <v>RELACION DE AUTORIZACION</v>
          </cell>
          <cell r="O778">
            <v>45</v>
          </cell>
          <cell r="P778">
            <v>43271</v>
          </cell>
          <cell r="Q778" t="str">
            <v>PAGO DE LA NOMINA DEL MES DE JUNIO DE 2018 DE PLANTA FIJA Y CONVENCIONADOS</v>
          </cell>
          <cell r="R778">
            <v>672890</v>
          </cell>
          <cell r="S778">
            <v>0</v>
          </cell>
          <cell r="T778">
            <v>0</v>
          </cell>
          <cell r="U778">
            <v>672890</v>
          </cell>
          <cell r="V778">
            <v>672890</v>
          </cell>
        </row>
        <row r="779">
          <cell r="J779">
            <v>2520</v>
          </cell>
          <cell r="K779">
            <v>43305</v>
          </cell>
          <cell r="L779" t="str">
            <v>CAJA DE VIVIENDA POPULAR</v>
          </cell>
          <cell r="M779">
            <v>1</v>
          </cell>
          <cell r="N779" t="str">
            <v>RELACION DE AUTORIZACION</v>
          </cell>
          <cell r="O779">
            <v>51</v>
          </cell>
          <cell r="P779">
            <v>43305</v>
          </cell>
          <cell r="Q779" t="str">
            <v>PAGO DE LA NOMINA DEL MES DE JULIO DE 2018 DE LA PLANTA FIJA Y CONVENCIONADOS</v>
          </cell>
          <cell r="R779">
            <v>348217</v>
          </cell>
          <cell r="S779">
            <v>0</v>
          </cell>
          <cell r="T779">
            <v>0</v>
          </cell>
          <cell r="U779">
            <v>348217</v>
          </cell>
          <cell r="V779">
            <v>348217</v>
          </cell>
        </row>
        <row r="780">
          <cell r="J780">
            <v>2729</v>
          </cell>
          <cell r="K780">
            <v>43336</v>
          </cell>
          <cell r="L780" t="str">
            <v>CAJA DE VIVIENDA POPULAR</v>
          </cell>
          <cell r="M780">
            <v>1</v>
          </cell>
          <cell r="N780" t="str">
            <v>RELACION DE AUTORIZACION</v>
          </cell>
          <cell r="O780">
            <v>57</v>
          </cell>
          <cell r="P780">
            <v>43335</v>
          </cell>
          <cell r="Q780" t="str">
            <v>PAGO DE LA NOMINA DEL MES DE AGOSTO DE 2018 PLANTA FIJA Y CONVECIONADOS</v>
          </cell>
          <cell r="R780">
            <v>1097126</v>
          </cell>
          <cell r="S780">
            <v>0</v>
          </cell>
          <cell r="T780">
            <v>0</v>
          </cell>
          <cell r="U780">
            <v>1097126</v>
          </cell>
          <cell r="V780">
            <v>1097126</v>
          </cell>
        </row>
        <row r="781">
          <cell r="J781">
            <v>364</v>
          </cell>
          <cell r="K781">
            <v>43124</v>
          </cell>
          <cell r="L781" t="str">
            <v>CAJA DE VIVIENDA POPULAR</v>
          </cell>
          <cell r="M781">
            <v>1</v>
          </cell>
          <cell r="N781" t="str">
            <v>RELACION DE AUTORIZACION</v>
          </cell>
          <cell r="O781">
            <v>4</v>
          </cell>
          <cell r="P781">
            <v>43124</v>
          </cell>
          <cell r="Q781" t="str">
            <v>PAGO DE LA NOMINA DEL MES DE ENERO DE 2018 DE PLANTA FIJA Y CONVENCIONADOS</v>
          </cell>
          <cell r="R781">
            <v>28007247</v>
          </cell>
          <cell r="S781">
            <v>0</v>
          </cell>
          <cell r="T781">
            <v>0</v>
          </cell>
          <cell r="U781">
            <v>28007247</v>
          </cell>
          <cell r="V781">
            <v>28007247</v>
          </cell>
        </row>
        <row r="782">
          <cell r="J782">
            <v>368</v>
          </cell>
          <cell r="K782">
            <v>43124</v>
          </cell>
          <cell r="L782" t="str">
            <v>CAJA DE VIVIENDA POPULAR</v>
          </cell>
          <cell r="M782">
            <v>1</v>
          </cell>
          <cell r="N782" t="str">
            <v>RELACION DE AUTORIZACION</v>
          </cell>
          <cell r="O782">
            <v>5</v>
          </cell>
          <cell r="P782">
            <v>43124</v>
          </cell>
          <cell r="Q782" t="str">
            <v>PAGO DE LA NOMINA DEL MES DE ENERO DE 2018 DE PLANTA FIJA Y CONVENCIONADOS</v>
          </cell>
          <cell r="R782">
            <v>32325820</v>
          </cell>
          <cell r="S782">
            <v>0</v>
          </cell>
          <cell r="T782">
            <v>0</v>
          </cell>
          <cell r="U782">
            <v>32325820</v>
          </cell>
          <cell r="V782">
            <v>32325820</v>
          </cell>
        </row>
        <row r="783">
          <cell r="J783">
            <v>756</v>
          </cell>
          <cell r="K783">
            <v>43137</v>
          </cell>
          <cell r="L783" t="str">
            <v>CAJA DE VIVIENDA POPULAR</v>
          </cell>
          <cell r="M783">
            <v>1</v>
          </cell>
          <cell r="N783" t="str">
            <v>RELACION DE AUTORIZACION</v>
          </cell>
          <cell r="O783">
            <v>11</v>
          </cell>
          <cell r="P783">
            <v>43137</v>
          </cell>
          <cell r="Q783" t="str">
            <v>PAGO DE LAS CESANTIAS DEL AÑO 2017 DE LA PLANTA FIJA FONDOS PUBLICOS Y PRIVADOS</v>
          </cell>
          <cell r="R783">
            <v>135188433</v>
          </cell>
          <cell r="S783">
            <v>0</v>
          </cell>
          <cell r="T783">
            <v>0</v>
          </cell>
          <cell r="U783">
            <v>135188433</v>
          </cell>
          <cell r="V783">
            <v>135188433</v>
          </cell>
        </row>
        <row r="784">
          <cell r="J784">
            <v>3</v>
          </cell>
          <cell r="K784">
            <v>43111</v>
          </cell>
          <cell r="L784" t="str">
            <v>CAJA DE VIVIENDA POPULAR</v>
          </cell>
          <cell r="M784">
            <v>1</v>
          </cell>
          <cell r="N784" t="str">
            <v>RELACION DE AUTORIZACION</v>
          </cell>
          <cell r="O784">
            <v>1</v>
          </cell>
          <cell r="P784">
            <v>43111</v>
          </cell>
          <cell r="Q784" t="str">
            <v>PAGO DE APORTES PATRONALES AL SECTOR PRIVADO Y  PÚBLICO DE FUNCIONARIOS DE PLANTA FIJA DE LA CAJA DE LA VIVIENDA POPULAR VIGENCIA MES DE DICIEMBRE 2017</v>
          </cell>
          <cell r="R784">
            <v>22028900</v>
          </cell>
          <cell r="S784">
            <v>0</v>
          </cell>
          <cell r="T784">
            <v>0</v>
          </cell>
          <cell r="U784">
            <v>22028900</v>
          </cell>
          <cell r="V784">
            <v>22028900</v>
          </cell>
        </row>
        <row r="785">
          <cell r="J785">
            <v>366</v>
          </cell>
          <cell r="K785">
            <v>43124</v>
          </cell>
          <cell r="L785" t="str">
            <v>CAJA DE VIVIENDA POPULAR</v>
          </cell>
          <cell r="M785">
            <v>1</v>
          </cell>
          <cell r="N785" t="str">
            <v>RELACION DE AUTORIZACION</v>
          </cell>
          <cell r="O785">
            <v>5</v>
          </cell>
          <cell r="P785">
            <v>43124</v>
          </cell>
          <cell r="Q785" t="str">
            <v>PAGO DE LA NOMINA DEL MES DE ENERO DE 2018 DE PLANTA FIJA Y CONVENCIONADOS</v>
          </cell>
          <cell r="R785">
            <v>32325820</v>
          </cell>
          <cell r="S785">
            <v>32325820</v>
          </cell>
          <cell r="T785">
            <v>0</v>
          </cell>
          <cell r="U785">
            <v>0</v>
          </cell>
          <cell r="V785">
            <v>0</v>
          </cell>
        </row>
        <row r="786">
          <cell r="J786">
            <v>1019</v>
          </cell>
          <cell r="K786">
            <v>43140</v>
          </cell>
          <cell r="L786" t="str">
            <v>CAJA DE VIVIENDA POPULAR</v>
          </cell>
          <cell r="M786">
            <v>1</v>
          </cell>
          <cell r="N786" t="str">
            <v>RELACION DE AUTORIZACION</v>
          </cell>
          <cell r="O786">
            <v>12</v>
          </cell>
          <cell r="P786">
            <v>43140</v>
          </cell>
          <cell r="Q786" t="str">
            <v>PAGO DE MI PLANILLA SEGURIDAD SOCIAL Y PARAFISCALES DE LA PLANTA FIJA Y CONVENCIONADOS DE LA ENTIDAD DEL MES DE ENERO DE 2018</v>
          </cell>
          <cell r="R786">
            <v>19609500</v>
          </cell>
          <cell r="S786">
            <v>0</v>
          </cell>
          <cell r="T786">
            <v>0</v>
          </cell>
          <cell r="U786">
            <v>19609500</v>
          </cell>
          <cell r="V786">
            <v>19609500</v>
          </cell>
        </row>
        <row r="787">
          <cell r="J787">
            <v>1534</v>
          </cell>
          <cell r="K787">
            <v>43165</v>
          </cell>
          <cell r="L787" t="str">
            <v>CAJA DE VIVIENDA POPULAR</v>
          </cell>
          <cell r="M787">
            <v>1</v>
          </cell>
          <cell r="N787" t="str">
            <v>RELACION DE AUTORIZACION</v>
          </cell>
          <cell r="O787">
            <v>20</v>
          </cell>
          <cell r="P787">
            <v>43165</v>
          </cell>
          <cell r="Q787" t="str">
            <v>PAGO DE MI PLANILLA SEGURIDAD SOCIAL Y PARAFISCALES DE LA PLANTA FIJA Y CONVENCIONADOS DE LA ENTIDAD DEL MES DE FEBRERO DE 2018.</v>
          </cell>
          <cell r="R787">
            <v>19774200</v>
          </cell>
          <cell r="S787">
            <v>0</v>
          </cell>
          <cell r="T787">
            <v>0</v>
          </cell>
          <cell r="U787">
            <v>19774200</v>
          </cell>
          <cell r="V787">
            <v>19774200</v>
          </cell>
        </row>
        <row r="788">
          <cell r="J788">
            <v>1794</v>
          </cell>
          <cell r="K788">
            <v>43203</v>
          </cell>
          <cell r="L788" t="str">
            <v>CAJA DE VIVIENDA POPULAR</v>
          </cell>
          <cell r="M788">
            <v>1</v>
          </cell>
          <cell r="N788" t="str">
            <v>RELACION DE AUTORIZACION</v>
          </cell>
          <cell r="O788">
            <v>27</v>
          </cell>
          <cell r="P788">
            <v>43203</v>
          </cell>
          <cell r="Q788" t="str">
            <v>PAGO DE MI PLANILLA SEGURIDAD SOCIAL Y PARAFISCALES DE LA PLANTA FIJA Y CONVENCIONADOS DE LA ENTIDAD DEL MES DE MARZO DE 2018</v>
          </cell>
          <cell r="R788">
            <v>20424400</v>
          </cell>
          <cell r="S788">
            <v>0</v>
          </cell>
          <cell r="T788">
            <v>0</v>
          </cell>
          <cell r="U788">
            <v>20424400</v>
          </cell>
          <cell r="V788">
            <v>20424400</v>
          </cell>
        </row>
        <row r="789">
          <cell r="J789">
            <v>1904</v>
          </cell>
          <cell r="K789">
            <v>43235</v>
          </cell>
          <cell r="L789" t="str">
            <v>CAJA DE VIVIENDA POPULAR</v>
          </cell>
          <cell r="M789">
            <v>1</v>
          </cell>
          <cell r="N789" t="str">
            <v>RELACION DE AUTORIZACION</v>
          </cell>
          <cell r="O789">
            <v>33</v>
          </cell>
          <cell r="P789">
            <v>43235</v>
          </cell>
          <cell r="Q789" t="str">
            <v>PAGO DE MI PLANILLA SEGURIDAD SOCIAL Y PARAFISCALES DE LA PLANTA FIJA Y CONVENCIONADOS DE LA ENTIDAD DEL MES DE ABRIL DE 2018</v>
          </cell>
          <cell r="R789">
            <v>21337000</v>
          </cell>
          <cell r="S789">
            <v>0</v>
          </cell>
          <cell r="T789">
            <v>0</v>
          </cell>
          <cell r="U789">
            <v>21337000</v>
          </cell>
          <cell r="V789">
            <v>21337000</v>
          </cell>
        </row>
        <row r="790">
          <cell r="J790">
            <v>2017</v>
          </cell>
          <cell r="K790">
            <v>43266</v>
          </cell>
          <cell r="L790" t="str">
            <v>CAJA DE VIVIENDA POPULAR</v>
          </cell>
          <cell r="M790">
            <v>1</v>
          </cell>
          <cell r="N790" t="str">
            <v>RELACION DE AUTORIZACION</v>
          </cell>
          <cell r="O790">
            <v>42</v>
          </cell>
          <cell r="P790">
            <v>43266</v>
          </cell>
          <cell r="Q790" t="str">
            <v>PAGO DE MI PLANILLA SEGURIDAD SOCIAL Y PARAFISCALES DE LA PLANTA FIJA Y CONVENCIONADOS DE LA ENTIDAD DEL MES DE MAYO DE 2018</v>
          </cell>
          <cell r="R790">
            <v>20207600</v>
          </cell>
          <cell r="S790">
            <v>0</v>
          </cell>
          <cell r="T790">
            <v>0</v>
          </cell>
          <cell r="U790">
            <v>20207600</v>
          </cell>
          <cell r="V790">
            <v>20207600</v>
          </cell>
        </row>
        <row r="791">
          <cell r="J791">
            <v>2489</v>
          </cell>
          <cell r="K791">
            <v>43298</v>
          </cell>
          <cell r="L791" t="str">
            <v>CAJA DE VIVIENDA POPULAR</v>
          </cell>
          <cell r="M791">
            <v>1</v>
          </cell>
          <cell r="N791" t="str">
            <v>RELACION DE AUTORIZACION</v>
          </cell>
          <cell r="O791">
            <v>48</v>
          </cell>
          <cell r="P791">
            <v>43298</v>
          </cell>
          <cell r="Q791" t="str">
            <v>PAGO DE MI PLANILLA SEGURIDAD SOCIAL Y PARAFISCALES DE LA PLANTA FIJA Y CONVENCIONADOS DE LA ENTIDAD DEL MES DE JUNIO DE 2018</v>
          </cell>
          <cell r="R791">
            <v>20136200</v>
          </cell>
          <cell r="S791">
            <v>0</v>
          </cell>
          <cell r="T791">
            <v>0</v>
          </cell>
          <cell r="U791">
            <v>20136200</v>
          </cell>
          <cell r="V791">
            <v>20136200</v>
          </cell>
        </row>
        <row r="792">
          <cell r="J792">
            <v>2638</v>
          </cell>
          <cell r="K792">
            <v>43326</v>
          </cell>
          <cell r="L792" t="str">
            <v>CAJA DE VIVIENDA POPULAR</v>
          </cell>
          <cell r="M792">
            <v>1</v>
          </cell>
          <cell r="N792" t="str">
            <v>RELACION DE AUTORIZACION</v>
          </cell>
          <cell r="O792">
            <v>54</v>
          </cell>
          <cell r="P792">
            <v>43326</v>
          </cell>
          <cell r="Q792" t="str">
            <v>PAGO DE MI PLANILLA SEGURIDAD SOCIAL Y PARAFISCALES DE LA PLANTA FIJA Y CONVENCIONADOS DE LA ENTIDAD DEL MES DE JULIO DE 2018</v>
          </cell>
          <cell r="R792">
            <v>16849400</v>
          </cell>
          <cell r="S792">
            <v>0</v>
          </cell>
          <cell r="T792">
            <v>0</v>
          </cell>
          <cell r="U792">
            <v>16849400</v>
          </cell>
          <cell r="V792">
            <v>16849400</v>
          </cell>
        </row>
        <row r="793">
          <cell r="J793">
            <v>3</v>
          </cell>
          <cell r="K793">
            <v>43111</v>
          </cell>
          <cell r="L793" t="str">
            <v>CAJA DE VIVIENDA POPULAR</v>
          </cell>
          <cell r="M793">
            <v>1</v>
          </cell>
          <cell r="N793" t="str">
            <v>RELACION DE AUTORIZACION</v>
          </cell>
          <cell r="O793">
            <v>1</v>
          </cell>
          <cell r="P793">
            <v>43111</v>
          </cell>
          <cell r="Q793" t="str">
            <v>PAGO DE APORTES PATRONALES AL SECTOR PRIVADO Y  PÚBLICO DE FUNCIONARIOS DE PLANTA FIJA DE LA CAJA DE LA VIVIENDA POPULAR VIGENCIA MES DE DICIEMBRE 2017</v>
          </cell>
          <cell r="R793">
            <v>27111800</v>
          </cell>
          <cell r="S793">
            <v>0</v>
          </cell>
          <cell r="T793">
            <v>0</v>
          </cell>
          <cell r="U793">
            <v>27111800</v>
          </cell>
          <cell r="V793">
            <v>27111800</v>
          </cell>
        </row>
        <row r="794">
          <cell r="J794">
            <v>1019</v>
          </cell>
          <cell r="K794">
            <v>43140</v>
          </cell>
          <cell r="L794" t="str">
            <v>CAJA DE VIVIENDA POPULAR</v>
          </cell>
          <cell r="M794">
            <v>1</v>
          </cell>
          <cell r="N794" t="str">
            <v>RELACION DE AUTORIZACION</v>
          </cell>
          <cell r="O794">
            <v>12</v>
          </cell>
          <cell r="P794">
            <v>43140</v>
          </cell>
          <cell r="Q794" t="str">
            <v>PAGO DE MI PLANILLA SEGURIDAD SOCIAL Y PARAFISCALES DE LA PLANTA FIJA Y CONVENCIONADOS DE LA ENTIDAD DEL MES DE ENERO DE 2018</v>
          </cell>
          <cell r="R794">
            <v>26105000</v>
          </cell>
          <cell r="S794">
            <v>0</v>
          </cell>
          <cell r="T794">
            <v>0</v>
          </cell>
          <cell r="U794">
            <v>26105000</v>
          </cell>
          <cell r="V794">
            <v>26105000</v>
          </cell>
        </row>
        <row r="795">
          <cell r="J795">
            <v>1534</v>
          </cell>
          <cell r="K795">
            <v>43165</v>
          </cell>
          <cell r="L795" t="str">
            <v>CAJA DE VIVIENDA POPULAR</v>
          </cell>
          <cell r="M795">
            <v>1</v>
          </cell>
          <cell r="N795" t="str">
            <v>RELACION DE AUTORIZACION</v>
          </cell>
          <cell r="O795">
            <v>20</v>
          </cell>
          <cell r="P795">
            <v>43165</v>
          </cell>
          <cell r="Q795" t="str">
            <v>PAGO DE MI PLANILLA SEGURIDAD SOCIAL Y PARAFISCALES DE LA PLANTA FIJA Y CONVENCIONADOS DE LA ENTIDAD DEL MES DE FEBRERO DE 2018.</v>
          </cell>
          <cell r="R795">
            <v>26366600</v>
          </cell>
          <cell r="S795">
            <v>0</v>
          </cell>
          <cell r="T795">
            <v>0</v>
          </cell>
          <cell r="U795">
            <v>26366600</v>
          </cell>
          <cell r="V795">
            <v>26366600</v>
          </cell>
        </row>
        <row r="796">
          <cell r="J796">
            <v>1794</v>
          </cell>
          <cell r="K796">
            <v>43203</v>
          </cell>
          <cell r="L796" t="str">
            <v>CAJA DE VIVIENDA POPULAR</v>
          </cell>
          <cell r="M796">
            <v>1</v>
          </cell>
          <cell r="N796" t="str">
            <v>RELACION DE AUTORIZACION</v>
          </cell>
          <cell r="O796">
            <v>27</v>
          </cell>
          <cell r="P796">
            <v>43203</v>
          </cell>
          <cell r="Q796" t="str">
            <v>PAGO DE MI PLANILLA SEGURIDAD SOCIAL Y PARAFISCALES DE LA PLANTA FIJA Y CONVENCIONADOS DE LA ENTIDAD DEL MES DE MARZO DE 2018</v>
          </cell>
          <cell r="R796">
            <v>27341500</v>
          </cell>
          <cell r="S796">
            <v>0</v>
          </cell>
          <cell r="T796">
            <v>0</v>
          </cell>
          <cell r="U796">
            <v>27341500</v>
          </cell>
          <cell r="V796">
            <v>27341500</v>
          </cell>
        </row>
        <row r="797">
          <cell r="J797">
            <v>1904</v>
          </cell>
          <cell r="K797">
            <v>43235</v>
          </cell>
          <cell r="L797" t="str">
            <v>CAJA DE VIVIENDA POPULAR</v>
          </cell>
          <cell r="M797">
            <v>1</v>
          </cell>
          <cell r="N797" t="str">
            <v>RELACION DE AUTORIZACION</v>
          </cell>
          <cell r="O797">
            <v>33</v>
          </cell>
          <cell r="P797">
            <v>43235</v>
          </cell>
          <cell r="Q797" t="str">
            <v>PAGO DE MI PLANILLA SEGURIDAD SOCIAL Y PARAFISCALES DE LA PLANTA FIJA Y CONVENCIONADOS DE LA ENTIDAD DEL MES DE ABRIL DE 2018</v>
          </cell>
          <cell r="R797">
            <v>28221700</v>
          </cell>
          <cell r="S797">
            <v>0</v>
          </cell>
          <cell r="T797">
            <v>0</v>
          </cell>
          <cell r="U797">
            <v>28221700</v>
          </cell>
          <cell r="V797">
            <v>28221700</v>
          </cell>
        </row>
        <row r="798">
          <cell r="J798">
            <v>2017</v>
          </cell>
          <cell r="K798">
            <v>43266</v>
          </cell>
          <cell r="L798" t="str">
            <v>CAJA DE VIVIENDA POPULAR</v>
          </cell>
          <cell r="M798">
            <v>1</v>
          </cell>
          <cell r="N798" t="str">
            <v>RELACION DE AUTORIZACION</v>
          </cell>
          <cell r="O798">
            <v>42</v>
          </cell>
          <cell r="P798">
            <v>43266</v>
          </cell>
          <cell r="Q798" t="str">
            <v>PAGO DE MI PLANILLA SEGURIDAD SOCIAL Y PARAFISCALES DE LA PLANTA FIJA Y CONVENCIONADOS DE LA ENTIDAD DEL MES DE MAYO DE 2018</v>
          </cell>
          <cell r="R798">
            <v>28355200</v>
          </cell>
          <cell r="S798">
            <v>0</v>
          </cell>
          <cell r="T798">
            <v>0</v>
          </cell>
          <cell r="U798">
            <v>28355200</v>
          </cell>
          <cell r="V798">
            <v>28355200</v>
          </cell>
        </row>
        <row r="799">
          <cell r="J799">
            <v>2489</v>
          </cell>
          <cell r="K799">
            <v>43298</v>
          </cell>
          <cell r="L799" t="str">
            <v>CAJA DE VIVIENDA POPULAR</v>
          </cell>
          <cell r="M799">
            <v>1</v>
          </cell>
          <cell r="N799" t="str">
            <v>RELACION DE AUTORIZACION</v>
          </cell>
          <cell r="O799">
            <v>48</v>
          </cell>
          <cell r="P799">
            <v>43298</v>
          </cell>
          <cell r="Q799" t="str">
            <v>PAGO DE MI PLANILLA SEGURIDAD SOCIAL Y PARAFISCALES DE LA PLANTA FIJA Y CONVENCIONADOS DE LA ENTIDAD DEL MES DE JUNIO DE 2018</v>
          </cell>
          <cell r="R799">
            <v>28219900</v>
          </cell>
          <cell r="S799">
            <v>0</v>
          </cell>
          <cell r="T799">
            <v>0</v>
          </cell>
          <cell r="U799">
            <v>28219900</v>
          </cell>
          <cell r="V799">
            <v>28219900</v>
          </cell>
        </row>
        <row r="800">
          <cell r="J800">
            <v>2638</v>
          </cell>
          <cell r="K800">
            <v>43326</v>
          </cell>
          <cell r="L800" t="str">
            <v>CAJA DE VIVIENDA POPULAR</v>
          </cell>
          <cell r="M800">
            <v>1</v>
          </cell>
          <cell r="N800" t="str">
            <v>RELACION DE AUTORIZACION</v>
          </cell>
          <cell r="O800">
            <v>54</v>
          </cell>
          <cell r="P800">
            <v>43326</v>
          </cell>
          <cell r="Q800" t="str">
            <v>PAGO DE MI PLANILLA SEGURIDAD SOCIAL Y PARAFISCALES DE LA PLANTA FIJA Y CONVENCIONADOS DE LA ENTIDAD DEL MES DE JULIO DE 2018</v>
          </cell>
          <cell r="R800">
            <v>26718900</v>
          </cell>
          <cell r="S800">
            <v>0</v>
          </cell>
          <cell r="T800">
            <v>0</v>
          </cell>
          <cell r="U800">
            <v>26718900</v>
          </cell>
          <cell r="V800">
            <v>26718900</v>
          </cell>
        </row>
        <row r="801">
          <cell r="J801">
            <v>3</v>
          </cell>
          <cell r="K801">
            <v>43111</v>
          </cell>
          <cell r="L801" t="str">
            <v>CAJA DE VIVIENDA POPULAR</v>
          </cell>
          <cell r="M801">
            <v>1</v>
          </cell>
          <cell r="N801" t="str">
            <v>RELACION DE AUTORIZACION</v>
          </cell>
          <cell r="O801">
            <v>1</v>
          </cell>
          <cell r="P801">
            <v>43111</v>
          </cell>
          <cell r="Q801" t="str">
            <v>PAGO DE APORTES PATRONALES AL SECTOR PRIVADO Y  PÚBLICO DE FUNCIONARIOS DE PLANTA FIJA DE LA CAJA DE LA VIVIENDA POPULAR VIGENCIA MES DE DICIEMBRE 2017</v>
          </cell>
          <cell r="R801">
            <v>3050200</v>
          </cell>
          <cell r="S801">
            <v>0</v>
          </cell>
          <cell r="T801">
            <v>0</v>
          </cell>
          <cell r="U801">
            <v>3050200</v>
          </cell>
          <cell r="V801">
            <v>3050200</v>
          </cell>
        </row>
        <row r="802">
          <cell r="J802">
            <v>1019</v>
          </cell>
          <cell r="K802">
            <v>43140</v>
          </cell>
          <cell r="L802" t="str">
            <v>CAJA DE VIVIENDA POPULAR</v>
          </cell>
          <cell r="M802">
            <v>1</v>
          </cell>
          <cell r="N802" t="str">
            <v>RELACION DE AUTORIZACION</v>
          </cell>
          <cell r="O802">
            <v>12</v>
          </cell>
          <cell r="P802">
            <v>43140</v>
          </cell>
          <cell r="Q802" t="str">
            <v>PAGO DE MI PLANILLA SEGURIDAD SOCIAL Y PARAFISCALES DE LA PLANTA FIJA Y CONVENCIONADOS DE LA ENTIDAD DEL MES DE ENERO DE 2018</v>
          </cell>
          <cell r="R802">
            <v>2783700</v>
          </cell>
          <cell r="S802">
            <v>0</v>
          </cell>
          <cell r="T802">
            <v>0</v>
          </cell>
          <cell r="U802">
            <v>2783700</v>
          </cell>
          <cell r="V802">
            <v>2783700</v>
          </cell>
        </row>
        <row r="803">
          <cell r="J803">
            <v>1534</v>
          </cell>
          <cell r="K803">
            <v>43165</v>
          </cell>
          <cell r="L803" t="str">
            <v>CAJA DE VIVIENDA POPULAR</v>
          </cell>
          <cell r="M803">
            <v>1</v>
          </cell>
          <cell r="N803" t="str">
            <v>RELACION DE AUTORIZACION</v>
          </cell>
          <cell r="O803">
            <v>20</v>
          </cell>
          <cell r="P803">
            <v>43165</v>
          </cell>
          <cell r="Q803" t="str">
            <v>PAGO DE MI PLANILLA SEGURIDAD SOCIAL Y PARAFISCALES DE LA PLANTA FIJA Y CONVENCIONADOS DE LA ENTIDAD DEL MES DE FEBRERO DE 2018.</v>
          </cell>
          <cell r="R803">
            <v>2814900</v>
          </cell>
          <cell r="S803">
            <v>0</v>
          </cell>
          <cell r="T803">
            <v>0</v>
          </cell>
          <cell r="U803">
            <v>2814900</v>
          </cell>
          <cell r="V803">
            <v>2814900</v>
          </cell>
        </row>
        <row r="804">
          <cell r="J804">
            <v>1794</v>
          </cell>
          <cell r="K804">
            <v>43203</v>
          </cell>
          <cell r="L804" t="str">
            <v>CAJA DE VIVIENDA POPULAR</v>
          </cell>
          <cell r="M804">
            <v>1</v>
          </cell>
          <cell r="N804" t="str">
            <v>RELACION DE AUTORIZACION</v>
          </cell>
          <cell r="O804">
            <v>27</v>
          </cell>
          <cell r="P804">
            <v>43203</v>
          </cell>
          <cell r="Q804" t="str">
            <v>PAGO DE MI PLANILLA SEGURIDAD SOCIAL Y PARAFISCALES DE LA PLANTA FIJA Y CONVENCIONADOS DE LA ENTIDAD DEL MES DE MARZO DE 2018</v>
          </cell>
          <cell r="R804">
            <v>2971200</v>
          </cell>
          <cell r="S804">
            <v>0</v>
          </cell>
          <cell r="T804">
            <v>0</v>
          </cell>
          <cell r="U804">
            <v>2971200</v>
          </cell>
          <cell r="V804">
            <v>2971200</v>
          </cell>
        </row>
        <row r="805">
          <cell r="J805">
            <v>1904</v>
          </cell>
          <cell r="K805">
            <v>43235</v>
          </cell>
          <cell r="L805" t="str">
            <v>CAJA DE VIVIENDA POPULAR</v>
          </cell>
          <cell r="M805">
            <v>1</v>
          </cell>
          <cell r="N805" t="str">
            <v>RELACION DE AUTORIZACION</v>
          </cell>
          <cell r="O805">
            <v>33</v>
          </cell>
          <cell r="P805">
            <v>43235</v>
          </cell>
          <cell r="Q805" t="str">
            <v>PAGO DE MI PLANILLA SEGURIDAD SOCIAL Y PARAFISCALES DE LA PLANTA FIJA Y CONVENCIONADOS DE LA ENTIDAD DEL MES DE ABRIL DE 2018</v>
          </cell>
          <cell r="R805">
            <v>2983900</v>
          </cell>
          <cell r="S805">
            <v>0</v>
          </cell>
          <cell r="T805">
            <v>0</v>
          </cell>
          <cell r="U805">
            <v>2983900</v>
          </cell>
          <cell r="V805">
            <v>2983900</v>
          </cell>
        </row>
        <row r="806">
          <cell r="J806">
            <v>2017</v>
          </cell>
          <cell r="K806">
            <v>43266</v>
          </cell>
          <cell r="L806" t="str">
            <v>CAJA DE VIVIENDA POPULAR</v>
          </cell>
          <cell r="M806">
            <v>1</v>
          </cell>
          <cell r="N806" t="str">
            <v>RELACION DE AUTORIZACION</v>
          </cell>
          <cell r="O806">
            <v>42</v>
          </cell>
          <cell r="P806">
            <v>43266</v>
          </cell>
          <cell r="Q806" t="str">
            <v>PAGO DE MI PLANILLA SEGURIDAD SOCIAL Y PARAFISCALES DE LA PLANTA FIJA Y CONVENCIONADOS DE LA ENTIDAD DEL MES DE MAYO DE 2018</v>
          </cell>
          <cell r="R806">
            <v>2863500</v>
          </cell>
          <cell r="S806">
            <v>0</v>
          </cell>
          <cell r="T806">
            <v>0</v>
          </cell>
          <cell r="U806">
            <v>2863500</v>
          </cell>
          <cell r="V806">
            <v>2863500</v>
          </cell>
        </row>
        <row r="807">
          <cell r="J807">
            <v>2489</v>
          </cell>
          <cell r="K807">
            <v>43298</v>
          </cell>
          <cell r="L807" t="str">
            <v>CAJA DE VIVIENDA POPULAR</v>
          </cell>
          <cell r="M807">
            <v>1</v>
          </cell>
          <cell r="N807" t="str">
            <v>RELACION DE AUTORIZACION</v>
          </cell>
          <cell r="O807">
            <v>48</v>
          </cell>
          <cell r="P807">
            <v>43298</v>
          </cell>
          <cell r="Q807" t="str">
            <v>PAGO DE MI PLANILLA SEGURIDAD SOCIAL Y PARAFISCALES DE LA PLANTA FIJA Y CONVENCIONADOS DE LA ENTIDAD DEL MES DE JUNIO DE 2018</v>
          </cell>
          <cell r="R807">
            <v>2778500</v>
          </cell>
          <cell r="S807">
            <v>0</v>
          </cell>
          <cell r="T807">
            <v>0</v>
          </cell>
          <cell r="U807">
            <v>2778500</v>
          </cell>
          <cell r="V807">
            <v>2778500</v>
          </cell>
        </row>
        <row r="808">
          <cell r="J808">
            <v>2638</v>
          </cell>
          <cell r="K808">
            <v>43326</v>
          </cell>
          <cell r="L808" t="str">
            <v>CAJA DE VIVIENDA POPULAR</v>
          </cell>
          <cell r="M808">
            <v>1</v>
          </cell>
          <cell r="N808" t="str">
            <v>RELACION DE AUTORIZACION</v>
          </cell>
          <cell r="O808">
            <v>54</v>
          </cell>
          <cell r="P808">
            <v>43326</v>
          </cell>
          <cell r="Q808" t="str">
            <v>PAGO DE MI PLANILLA SEGURIDAD SOCIAL Y PARAFISCALES DE LA PLANTA FIJA Y CONVENCIONADOS DE LA ENTIDAD DEL MES DE JULIO DE 2018</v>
          </cell>
          <cell r="R808">
            <v>2908900</v>
          </cell>
          <cell r="S808">
            <v>0</v>
          </cell>
          <cell r="T808">
            <v>0</v>
          </cell>
          <cell r="U808">
            <v>2908900</v>
          </cell>
          <cell r="V808">
            <v>2908900</v>
          </cell>
        </row>
        <row r="809">
          <cell r="J809">
            <v>3</v>
          </cell>
          <cell r="K809">
            <v>43111</v>
          </cell>
          <cell r="L809" t="str">
            <v>CAJA DE VIVIENDA POPULAR</v>
          </cell>
          <cell r="M809">
            <v>1</v>
          </cell>
          <cell r="N809" t="str">
            <v>RELACION DE AUTORIZACION</v>
          </cell>
          <cell r="O809">
            <v>1</v>
          </cell>
          <cell r="P809">
            <v>43111</v>
          </cell>
          <cell r="Q809" t="str">
            <v>PAGO DE APORTES PATRONALES AL SECTOR PRIVADO Y  PÚBLICO DE FUNCIONARIOS DE PLANTA FIJA DE LA CAJA DE LA VIVIENDA POPULAR VIGENCIA MES DE DICIEMBRE 2017</v>
          </cell>
          <cell r="R809">
            <v>25793200</v>
          </cell>
          <cell r="S809">
            <v>0</v>
          </cell>
          <cell r="T809">
            <v>0</v>
          </cell>
          <cell r="U809">
            <v>25793200</v>
          </cell>
          <cell r="V809">
            <v>25793200</v>
          </cell>
        </row>
        <row r="810">
          <cell r="J810">
            <v>365</v>
          </cell>
          <cell r="K810">
            <v>43124</v>
          </cell>
          <cell r="L810" t="str">
            <v>CAJA DE VIVIENDA POPULAR</v>
          </cell>
          <cell r="M810">
            <v>1</v>
          </cell>
          <cell r="N810" t="str">
            <v>RELACION DE AUTORIZACION</v>
          </cell>
          <cell r="O810">
            <v>4</v>
          </cell>
          <cell r="P810">
            <v>43124</v>
          </cell>
          <cell r="Q810" t="str">
            <v>PAGO DE LA NOMINA DEL MES DE ENERO DE 2018 DE PLANTA FIJA Y CONVENCIONADOS</v>
          </cell>
          <cell r="R810">
            <v>2879968</v>
          </cell>
          <cell r="S810">
            <v>0</v>
          </cell>
          <cell r="T810">
            <v>0</v>
          </cell>
          <cell r="U810">
            <v>2879968</v>
          </cell>
          <cell r="V810">
            <v>2879968</v>
          </cell>
        </row>
        <row r="811">
          <cell r="J811">
            <v>1019</v>
          </cell>
          <cell r="K811">
            <v>43140</v>
          </cell>
          <cell r="L811" t="str">
            <v>CAJA DE VIVIENDA POPULAR</v>
          </cell>
          <cell r="M811">
            <v>1</v>
          </cell>
          <cell r="N811" t="str">
            <v>RELACION DE AUTORIZACION</v>
          </cell>
          <cell r="O811">
            <v>12</v>
          </cell>
          <cell r="P811">
            <v>43140</v>
          </cell>
          <cell r="Q811" t="str">
            <v>PAGO DE MI PLANILLA SEGURIDAD SOCIAL Y PARAFISCALES DE LA PLANTA FIJA Y CONVENCIONADOS DE LA ENTIDAD DEL MES DE ENERO DE 2018</v>
          </cell>
          <cell r="R811">
            <v>11868200</v>
          </cell>
          <cell r="S811">
            <v>0</v>
          </cell>
          <cell r="T811">
            <v>0</v>
          </cell>
          <cell r="U811">
            <v>11868200</v>
          </cell>
          <cell r="V811">
            <v>11868200</v>
          </cell>
        </row>
        <row r="812">
          <cell r="J812">
            <v>1385</v>
          </cell>
          <cell r="K812">
            <v>43151</v>
          </cell>
          <cell r="L812" t="str">
            <v>CAJA DE VIVIENDA POPULAR</v>
          </cell>
          <cell r="M812">
            <v>1</v>
          </cell>
          <cell r="N812" t="str">
            <v>RELACION DE AUTORIZACION</v>
          </cell>
          <cell r="O812">
            <v>16</v>
          </cell>
          <cell r="P812">
            <v>43151</v>
          </cell>
          <cell r="Q812" t="str">
            <v>PAGO DE LA NOMINA DEL MES DE FEBRERO DE 2018 DE PLANTA FIJA Y CONVENCIONADOS</v>
          </cell>
          <cell r="R812">
            <v>249592</v>
          </cell>
          <cell r="S812">
            <v>0</v>
          </cell>
          <cell r="T812">
            <v>0</v>
          </cell>
          <cell r="U812">
            <v>249592</v>
          </cell>
          <cell r="V812">
            <v>249592</v>
          </cell>
        </row>
        <row r="813">
          <cell r="J813">
            <v>1534</v>
          </cell>
          <cell r="K813">
            <v>43165</v>
          </cell>
          <cell r="L813" t="str">
            <v>CAJA DE VIVIENDA POPULAR</v>
          </cell>
          <cell r="M813">
            <v>1</v>
          </cell>
          <cell r="N813" t="str">
            <v>RELACION DE AUTORIZACION</v>
          </cell>
          <cell r="O813">
            <v>20</v>
          </cell>
          <cell r="P813">
            <v>43165</v>
          </cell>
          <cell r="Q813" t="str">
            <v>PAGO DE MI PLANILLA SEGURIDAD SOCIAL Y PARAFISCALES DE LA PLANTA FIJA Y CONVENCIONADOS DE LA ENTIDAD DEL MES DE FEBRERO DE 2018.</v>
          </cell>
          <cell r="R813">
            <v>11845200</v>
          </cell>
          <cell r="S813">
            <v>0</v>
          </cell>
          <cell r="T813">
            <v>0</v>
          </cell>
          <cell r="U813">
            <v>11845200</v>
          </cell>
          <cell r="V813">
            <v>11845200</v>
          </cell>
        </row>
        <row r="814">
          <cell r="J814">
            <v>1602</v>
          </cell>
          <cell r="K814">
            <v>43180</v>
          </cell>
          <cell r="L814" t="str">
            <v>CAJA DE VIVIENDA POPULAR</v>
          </cell>
          <cell r="M814">
            <v>1</v>
          </cell>
          <cell r="N814" t="str">
            <v>RELACION DE AUTORIZACION</v>
          </cell>
          <cell r="O814">
            <v>24</v>
          </cell>
          <cell r="P814">
            <v>43180</v>
          </cell>
          <cell r="Q814" t="str">
            <v>PAGO DE LA NOMINA DEL MES DE MARZO DE 2018 DE PLANTA FIJA Y CONVENCIONADOS</v>
          </cell>
          <cell r="R814">
            <v>565293</v>
          </cell>
          <cell r="S814">
            <v>0</v>
          </cell>
          <cell r="T814">
            <v>0</v>
          </cell>
          <cell r="U814">
            <v>565293</v>
          </cell>
          <cell r="V814">
            <v>565293</v>
          </cell>
        </row>
        <row r="815">
          <cell r="J815">
            <v>1794</v>
          </cell>
          <cell r="K815">
            <v>43203</v>
          </cell>
          <cell r="L815" t="str">
            <v>CAJA DE VIVIENDA POPULAR</v>
          </cell>
          <cell r="M815">
            <v>1</v>
          </cell>
          <cell r="N815" t="str">
            <v>RELACION DE AUTORIZACION</v>
          </cell>
          <cell r="O815">
            <v>27</v>
          </cell>
          <cell r="P815">
            <v>43203</v>
          </cell>
          <cell r="Q815" t="str">
            <v>PAGO DE MI PLANILLA SEGURIDAD SOCIAL Y PARAFISCALES DE LA PLANTA FIJA Y CONVENCIONADOS DE LA ENTIDAD DEL MES DE MARZO DE 2018</v>
          </cell>
          <cell r="R815">
            <v>12280500</v>
          </cell>
          <cell r="S815">
            <v>0</v>
          </cell>
          <cell r="T815">
            <v>0</v>
          </cell>
          <cell r="U815">
            <v>12280500</v>
          </cell>
          <cell r="V815">
            <v>12280500</v>
          </cell>
        </row>
        <row r="816">
          <cell r="J816">
            <v>1831</v>
          </cell>
          <cell r="K816">
            <v>43213</v>
          </cell>
          <cell r="L816" t="str">
            <v>CAJA DE VIVIENDA POPULAR</v>
          </cell>
          <cell r="M816">
            <v>1</v>
          </cell>
          <cell r="N816" t="str">
            <v>RELACION DE AUTORIZACION</v>
          </cell>
          <cell r="O816">
            <v>32</v>
          </cell>
          <cell r="P816">
            <v>43213</v>
          </cell>
          <cell r="Q816" t="str">
            <v>PAGO DE LA NOMINA DEL MES DE ABRIL DE 2018 DE PLANTA FIJA Y CONVENCIONADOS</v>
          </cell>
          <cell r="R816">
            <v>449406</v>
          </cell>
          <cell r="S816">
            <v>0</v>
          </cell>
          <cell r="T816">
            <v>0</v>
          </cell>
          <cell r="U816">
            <v>449406</v>
          </cell>
          <cell r="V816">
            <v>449406</v>
          </cell>
        </row>
        <row r="817">
          <cell r="J817">
            <v>1904</v>
          </cell>
          <cell r="K817">
            <v>43235</v>
          </cell>
          <cell r="L817" t="str">
            <v>CAJA DE VIVIENDA POPULAR</v>
          </cell>
          <cell r="M817">
            <v>1</v>
          </cell>
          <cell r="N817" t="str">
            <v>RELACION DE AUTORIZACION</v>
          </cell>
          <cell r="O817">
            <v>33</v>
          </cell>
          <cell r="P817">
            <v>43235</v>
          </cell>
          <cell r="Q817" t="str">
            <v>PAGO DE MI PLANILLA SEGURIDAD SOCIAL Y PARAFISCALES DE LA PLANTA FIJA Y CONVENCIONADOS DE LA ENTIDAD DEL MES DE ABRIL DE 2018</v>
          </cell>
          <cell r="R817">
            <v>13211800</v>
          </cell>
          <cell r="S817">
            <v>0</v>
          </cell>
          <cell r="T817">
            <v>0</v>
          </cell>
          <cell r="U817">
            <v>13211800</v>
          </cell>
          <cell r="V817">
            <v>13211800</v>
          </cell>
        </row>
        <row r="818">
          <cell r="J818">
            <v>1949</v>
          </cell>
          <cell r="K818">
            <v>43243</v>
          </cell>
          <cell r="L818" t="str">
            <v>CAJA DE VIVIENDA POPULAR</v>
          </cell>
          <cell r="M818">
            <v>1</v>
          </cell>
          <cell r="N818" t="str">
            <v>RELACION DE AUTORIZACION</v>
          </cell>
          <cell r="O818">
            <v>36</v>
          </cell>
          <cell r="P818">
            <v>43243</v>
          </cell>
          <cell r="Q818" t="str">
            <v>PAGO DE LA NOMINA DEL MES DE MAYO DE 2018 PLANTA FIJA Y CONVENCIONADOS</v>
          </cell>
          <cell r="R818">
            <v>1464228</v>
          </cell>
          <cell r="S818">
            <v>0</v>
          </cell>
          <cell r="T818">
            <v>0</v>
          </cell>
          <cell r="U818">
            <v>1464228</v>
          </cell>
          <cell r="V818">
            <v>1464228</v>
          </cell>
        </row>
        <row r="819">
          <cell r="J819">
            <v>2017</v>
          </cell>
          <cell r="K819">
            <v>43266</v>
          </cell>
          <cell r="L819" t="str">
            <v>CAJA DE VIVIENDA POPULAR</v>
          </cell>
          <cell r="M819">
            <v>1</v>
          </cell>
          <cell r="N819" t="str">
            <v>RELACION DE AUTORIZACION</v>
          </cell>
          <cell r="O819">
            <v>42</v>
          </cell>
          <cell r="P819">
            <v>43266</v>
          </cell>
          <cell r="Q819" t="str">
            <v>PAGO DE MI PLANILLA SEGURIDAD SOCIAL Y PARAFISCALES DE LA PLANTA FIJA Y CONVENCIONADOS DE LA ENTIDAD DEL MES DE MAYO DE 2018</v>
          </cell>
          <cell r="R819">
            <v>13273400</v>
          </cell>
          <cell r="S819">
            <v>0</v>
          </cell>
          <cell r="T819">
            <v>0</v>
          </cell>
          <cell r="U819">
            <v>13273400</v>
          </cell>
          <cell r="V819">
            <v>13273400</v>
          </cell>
        </row>
        <row r="820">
          <cell r="J820">
            <v>2054</v>
          </cell>
          <cell r="K820">
            <v>43271</v>
          </cell>
          <cell r="L820" t="str">
            <v>CAJA DE VIVIENDA POPULAR</v>
          </cell>
          <cell r="M820">
            <v>1</v>
          </cell>
          <cell r="N820" t="str">
            <v>RELACION DE AUTORIZACION</v>
          </cell>
          <cell r="O820">
            <v>45</v>
          </cell>
          <cell r="P820">
            <v>43271</v>
          </cell>
          <cell r="Q820" t="str">
            <v>PAGO DE LA NOMINA DEL MES DE JUNIO DE 2018 PLANTA FIJA Y CONVENCIONADOS</v>
          </cell>
          <cell r="R820">
            <v>357078</v>
          </cell>
          <cell r="S820">
            <v>0</v>
          </cell>
          <cell r="T820">
            <v>0</v>
          </cell>
          <cell r="U820">
            <v>357078</v>
          </cell>
          <cell r="V820">
            <v>357078</v>
          </cell>
        </row>
        <row r="821">
          <cell r="J821">
            <v>2489</v>
          </cell>
          <cell r="K821">
            <v>43298</v>
          </cell>
          <cell r="L821" t="str">
            <v>CAJA DE VIVIENDA POPULAR</v>
          </cell>
          <cell r="M821">
            <v>1</v>
          </cell>
          <cell r="N821" t="str">
            <v>RELACION DE AUTORIZACION</v>
          </cell>
          <cell r="O821">
            <v>48</v>
          </cell>
          <cell r="P821">
            <v>43298</v>
          </cell>
          <cell r="Q821" t="str">
            <v>PAGO DE MI PLANILLA SEGURIDAD SOCIAL Y PARAFISCALES DE LA PLANTA FIJA Y CONVENCIONADOS DE LA ENTIDAD DEL MES DE JUNIO DE 2018</v>
          </cell>
          <cell r="R821">
            <v>28125700</v>
          </cell>
          <cell r="S821">
            <v>0</v>
          </cell>
          <cell r="T821">
            <v>0</v>
          </cell>
          <cell r="U821">
            <v>28125700</v>
          </cell>
          <cell r="V821">
            <v>28125700</v>
          </cell>
        </row>
        <row r="822">
          <cell r="J822">
            <v>2521</v>
          </cell>
          <cell r="K822">
            <v>43305</v>
          </cell>
          <cell r="L822" t="str">
            <v>CAJA DE VIVIENDA POPULAR</v>
          </cell>
          <cell r="M822">
            <v>1</v>
          </cell>
          <cell r="N822" t="str">
            <v>RELACION DE AUTORIZACION</v>
          </cell>
          <cell r="O822">
            <v>51</v>
          </cell>
          <cell r="P822">
            <v>43305</v>
          </cell>
          <cell r="Q822" t="str">
            <v>PAGO DE LA NOMINA DEL MES DE JULIO DE 2018 DE PLANTA FIJA Y CONVENCIONADOS</v>
          </cell>
          <cell r="R822">
            <v>1275600</v>
          </cell>
          <cell r="S822">
            <v>0</v>
          </cell>
          <cell r="T822">
            <v>0</v>
          </cell>
          <cell r="U822">
            <v>1275600</v>
          </cell>
          <cell r="V822">
            <v>1275600</v>
          </cell>
        </row>
        <row r="823">
          <cell r="J823">
            <v>2638</v>
          </cell>
          <cell r="K823">
            <v>43326</v>
          </cell>
          <cell r="L823" t="str">
            <v>CAJA DE VIVIENDA POPULAR</v>
          </cell>
          <cell r="M823">
            <v>1</v>
          </cell>
          <cell r="N823" t="str">
            <v>RELACION DE AUTORIZACION</v>
          </cell>
          <cell r="O823">
            <v>54</v>
          </cell>
          <cell r="P823">
            <v>43326</v>
          </cell>
          <cell r="Q823" t="str">
            <v>PAGO DE MI PLANILLA SEGURIDAD SOCIAL Y PARAFISCALES DE LA PLANTA FIJA Y CONVENCIONADOS DE LA ENTIDAD DEL MES DE JULIO DE 2018</v>
          </cell>
          <cell r="R823">
            <v>12485400</v>
          </cell>
          <cell r="S823">
            <v>0</v>
          </cell>
          <cell r="T823">
            <v>0</v>
          </cell>
          <cell r="U823">
            <v>12485400</v>
          </cell>
          <cell r="V823">
            <v>12485400</v>
          </cell>
        </row>
        <row r="824">
          <cell r="J824">
            <v>2730</v>
          </cell>
          <cell r="K824">
            <v>43336</v>
          </cell>
          <cell r="L824" t="str">
            <v>CAJA DE VIVIENDA POPULAR</v>
          </cell>
          <cell r="M824">
            <v>1</v>
          </cell>
          <cell r="N824" t="str">
            <v>RELACION DE AUTORIZACION</v>
          </cell>
          <cell r="O824">
            <v>57</v>
          </cell>
          <cell r="P824">
            <v>43335</v>
          </cell>
          <cell r="Q824" t="str">
            <v>PAGO DE LA NOMINA DEL MES DE AGOSTO DE 2018 PLANTA FIJA Y CONVENCIONADOS</v>
          </cell>
          <cell r="R824">
            <v>651680</v>
          </cell>
          <cell r="S824">
            <v>0</v>
          </cell>
          <cell r="T824">
            <v>0</v>
          </cell>
          <cell r="U824">
            <v>651680</v>
          </cell>
          <cell r="V824">
            <v>651680</v>
          </cell>
        </row>
        <row r="825">
          <cell r="J825">
            <v>366</v>
          </cell>
          <cell r="K825">
            <v>43124</v>
          </cell>
          <cell r="L825" t="str">
            <v>CAJA DE VIVIENDA POPULAR</v>
          </cell>
          <cell r="M825">
            <v>1</v>
          </cell>
          <cell r="N825" t="str">
            <v>RELACION DE AUTORIZACION</v>
          </cell>
          <cell r="O825">
            <v>5</v>
          </cell>
          <cell r="P825">
            <v>43124</v>
          </cell>
          <cell r="Q825" t="str">
            <v>PAGO DE LA NOMINA DEL MES DE ENERO DE 2018 DE PLANTA FIJA Y CONVENCIONADOS</v>
          </cell>
          <cell r="R825">
            <v>5456178</v>
          </cell>
          <cell r="S825">
            <v>5456178</v>
          </cell>
          <cell r="T825">
            <v>0</v>
          </cell>
          <cell r="U825">
            <v>0</v>
          </cell>
          <cell r="V825">
            <v>0</v>
          </cell>
        </row>
        <row r="826">
          <cell r="J826">
            <v>368</v>
          </cell>
          <cell r="K826">
            <v>43124</v>
          </cell>
          <cell r="L826" t="str">
            <v>CAJA DE VIVIENDA POPULAR</v>
          </cell>
          <cell r="M826">
            <v>1</v>
          </cell>
          <cell r="N826" t="str">
            <v>RELACION DE AUTORIZACION</v>
          </cell>
          <cell r="O826">
            <v>5</v>
          </cell>
          <cell r="P826">
            <v>43124</v>
          </cell>
          <cell r="Q826" t="str">
            <v>PAGO DE LA NOMINA DEL MES DE ENERO DE 2018 DE PLANTA FIJA Y CONVENCIONADOS</v>
          </cell>
          <cell r="R826">
            <v>5456178</v>
          </cell>
          <cell r="S826">
            <v>0</v>
          </cell>
          <cell r="T826">
            <v>0</v>
          </cell>
          <cell r="U826">
            <v>5456178</v>
          </cell>
          <cell r="V826">
            <v>5456178</v>
          </cell>
        </row>
        <row r="827">
          <cell r="J827">
            <v>756</v>
          </cell>
          <cell r="K827">
            <v>43137</v>
          </cell>
          <cell r="L827" t="str">
            <v>CAJA DE VIVIENDA POPULAR</v>
          </cell>
          <cell r="M827">
            <v>1</v>
          </cell>
          <cell r="N827" t="str">
            <v>RELACION DE AUTORIZACION</v>
          </cell>
          <cell r="O827">
            <v>11</v>
          </cell>
          <cell r="P827">
            <v>43137</v>
          </cell>
          <cell r="Q827" t="str">
            <v>PAGO DE LAS CESANTIAS DEL AÑO 2017 DE LA PLANTA FIJA FONDOS PUBLICOS Y PRIVADOS</v>
          </cell>
          <cell r="R827">
            <v>144665875</v>
          </cell>
          <cell r="S827">
            <v>0</v>
          </cell>
          <cell r="T827">
            <v>0</v>
          </cell>
          <cell r="U827">
            <v>144665875</v>
          </cell>
          <cell r="V827">
            <v>144665875</v>
          </cell>
        </row>
        <row r="828">
          <cell r="J828">
            <v>1387</v>
          </cell>
          <cell r="K828">
            <v>43151</v>
          </cell>
          <cell r="L828" t="str">
            <v>CAJA DE VIVIENDA POPULAR</v>
          </cell>
          <cell r="M828">
            <v>1</v>
          </cell>
          <cell r="N828" t="str">
            <v>RELACION DE AUTORIZACION</v>
          </cell>
          <cell r="O828">
            <v>18</v>
          </cell>
          <cell r="P828">
            <v>43151</v>
          </cell>
          <cell r="Q828" t="str">
            <v>PAGO DE INTERESES DE CESANTIAS 2018 DE UN FUNCIONARIO CONVENCIONADO- FONDOS PUBLICOS</v>
          </cell>
          <cell r="R828">
            <v>554686</v>
          </cell>
          <cell r="S828">
            <v>0</v>
          </cell>
          <cell r="T828">
            <v>0</v>
          </cell>
          <cell r="U828">
            <v>554686</v>
          </cell>
          <cell r="V828">
            <v>554686</v>
          </cell>
        </row>
        <row r="829">
          <cell r="J829">
            <v>3</v>
          </cell>
          <cell r="K829">
            <v>43111</v>
          </cell>
          <cell r="L829" t="str">
            <v>CAJA DE VIVIENDA POPULAR</v>
          </cell>
          <cell r="M829">
            <v>1</v>
          </cell>
          <cell r="N829" t="str">
            <v>RELACION DE AUTORIZACION</v>
          </cell>
          <cell r="O829">
            <v>1</v>
          </cell>
          <cell r="P829">
            <v>43111</v>
          </cell>
          <cell r="Q829" t="str">
            <v>PAGO DE APORTES PATRONALES AL SECTOR PRIVADO Y  PÚBLICO DE FUNCIONARIOS DE PLANTA FIJA DE LA CAJA DE LA VIVIENDA POPULAR VIGENCIA MES DE DICIEMBRE 2017</v>
          </cell>
          <cell r="R829">
            <v>16247600</v>
          </cell>
          <cell r="S829">
            <v>0</v>
          </cell>
          <cell r="T829">
            <v>0</v>
          </cell>
          <cell r="U829">
            <v>16247600</v>
          </cell>
          <cell r="V829">
            <v>16247600</v>
          </cell>
        </row>
        <row r="830">
          <cell r="J830">
            <v>1019</v>
          </cell>
          <cell r="K830">
            <v>43140</v>
          </cell>
          <cell r="L830" t="str">
            <v>CAJA DE VIVIENDA POPULAR</v>
          </cell>
          <cell r="M830">
            <v>1</v>
          </cell>
          <cell r="N830" t="str">
            <v>RELACION DE AUTORIZACION</v>
          </cell>
          <cell r="O830">
            <v>12</v>
          </cell>
          <cell r="P830">
            <v>43140</v>
          </cell>
          <cell r="Q830" t="str">
            <v>PAGO DE MI PLANILLA SEGURIDAD SOCIAL Y PARAFISCALES DE LA PLANTA FIJA Y CONVENCIONADOS DE LA ENTIDAD DEL MES DE ENERO DE 2018</v>
          </cell>
          <cell r="R830">
            <v>17246900</v>
          </cell>
          <cell r="S830">
            <v>0</v>
          </cell>
          <cell r="T830">
            <v>0</v>
          </cell>
          <cell r="U830">
            <v>17246900</v>
          </cell>
          <cell r="V830">
            <v>17246900</v>
          </cell>
        </row>
        <row r="831">
          <cell r="J831">
            <v>1534</v>
          </cell>
          <cell r="K831">
            <v>43165</v>
          </cell>
          <cell r="L831" t="str">
            <v>CAJA DE VIVIENDA POPULAR</v>
          </cell>
          <cell r="M831">
            <v>1</v>
          </cell>
          <cell r="N831" t="str">
            <v>RELACION DE AUTORIZACION</v>
          </cell>
          <cell r="O831">
            <v>20</v>
          </cell>
          <cell r="P831">
            <v>43165</v>
          </cell>
          <cell r="Q831" t="str">
            <v>PAGO DE MI PLANILLA SEGURIDAD SOCIAL Y PARAFISCALES DE LA PLANTA FIJA Y CONVENCIONADOS DE LA ENTIDAD DEL MES DE FEBRERO DE 2018.</v>
          </cell>
          <cell r="R831">
            <v>17450200</v>
          </cell>
          <cell r="S831">
            <v>0</v>
          </cell>
          <cell r="T831">
            <v>0</v>
          </cell>
          <cell r="U831">
            <v>17450200</v>
          </cell>
          <cell r="V831">
            <v>17450200</v>
          </cell>
        </row>
        <row r="832">
          <cell r="J832">
            <v>1794</v>
          </cell>
          <cell r="K832">
            <v>43203</v>
          </cell>
          <cell r="L832" t="str">
            <v>CAJA DE VIVIENDA POPULAR</v>
          </cell>
          <cell r="M832">
            <v>1</v>
          </cell>
          <cell r="N832" t="str">
            <v>RELACION DE AUTORIZACION</v>
          </cell>
          <cell r="O832">
            <v>27</v>
          </cell>
          <cell r="P832">
            <v>43203</v>
          </cell>
          <cell r="Q832" t="str">
            <v>PAGO DE MI PLANILLA SEGURIDAD SOCIAL Y PARAFISCALES DE LA PLANTA FIJA Y CONVENCIONADOS DE LA ENTIDAD DEL MES DE MARZO DE 2018</v>
          </cell>
          <cell r="R832">
            <v>18175500</v>
          </cell>
          <cell r="S832">
            <v>0</v>
          </cell>
          <cell r="T832">
            <v>0</v>
          </cell>
          <cell r="U832">
            <v>18175500</v>
          </cell>
          <cell r="V832">
            <v>18175500</v>
          </cell>
        </row>
        <row r="833">
          <cell r="J833">
            <v>1904</v>
          </cell>
          <cell r="K833">
            <v>43235</v>
          </cell>
          <cell r="L833" t="str">
            <v>CAJA DE VIVIENDA POPULAR</v>
          </cell>
          <cell r="M833">
            <v>1</v>
          </cell>
          <cell r="N833" t="str">
            <v>RELACION DE AUTORIZACION</v>
          </cell>
          <cell r="O833">
            <v>33</v>
          </cell>
          <cell r="P833">
            <v>43235</v>
          </cell>
          <cell r="Q833" t="str">
            <v>PAGO DE MI PLANILLA SEGURIDAD SOCIAL Y PARAFISCALES DE LA PLANTA FIJA Y CONVENCIONADOS DE LA ENTIDAD DEL MES DE ABRIL DE 2018</v>
          </cell>
          <cell r="R833">
            <v>18505500</v>
          </cell>
          <cell r="S833">
            <v>0</v>
          </cell>
          <cell r="T833">
            <v>0</v>
          </cell>
          <cell r="U833">
            <v>18505500</v>
          </cell>
          <cell r="V833">
            <v>18505500</v>
          </cell>
        </row>
        <row r="834">
          <cell r="J834">
            <v>2017</v>
          </cell>
          <cell r="K834">
            <v>43266</v>
          </cell>
          <cell r="L834" t="str">
            <v>CAJA DE VIVIENDA POPULAR</v>
          </cell>
          <cell r="M834">
            <v>1</v>
          </cell>
          <cell r="N834" t="str">
            <v>RELACION DE AUTORIZACION</v>
          </cell>
          <cell r="O834">
            <v>42</v>
          </cell>
          <cell r="P834">
            <v>43266</v>
          </cell>
          <cell r="Q834" t="str">
            <v>PAGO DE MI PLANILLA SEGURIDAD SOCIAL Y PARAFISCALES DE LA PLANTA FIJA Y CONVENCIONADOS DE LA ENTIDAD DEL MES DE MAYO DE 2018</v>
          </cell>
          <cell r="R834">
            <v>19823700</v>
          </cell>
          <cell r="S834">
            <v>0</v>
          </cell>
          <cell r="T834">
            <v>0</v>
          </cell>
          <cell r="U834">
            <v>19823700</v>
          </cell>
          <cell r="V834">
            <v>19823700</v>
          </cell>
        </row>
        <row r="835">
          <cell r="J835">
            <v>2489</v>
          </cell>
          <cell r="K835">
            <v>43298</v>
          </cell>
          <cell r="L835" t="str">
            <v>CAJA DE VIVIENDA POPULAR</v>
          </cell>
          <cell r="M835">
            <v>1</v>
          </cell>
          <cell r="N835" t="str">
            <v>RELACION DE AUTORIZACION</v>
          </cell>
          <cell r="O835">
            <v>48</v>
          </cell>
          <cell r="P835">
            <v>43298</v>
          </cell>
          <cell r="Q835" t="str">
            <v>PAGO DE MI PLANILLA SEGURIDAD SOCIAL Y PARAFISCALES DE LA PLANTA FIJA Y CONVENCIONADOS DE LA ENTIDAD DEL MES DE JUNIO DE 2018</v>
          </cell>
          <cell r="R835">
            <v>19704000</v>
          </cell>
          <cell r="S835">
            <v>0</v>
          </cell>
          <cell r="T835">
            <v>0</v>
          </cell>
          <cell r="U835">
            <v>19704000</v>
          </cell>
          <cell r="V835">
            <v>19704000</v>
          </cell>
        </row>
        <row r="836">
          <cell r="J836">
            <v>2638</v>
          </cell>
          <cell r="K836">
            <v>43326</v>
          </cell>
          <cell r="L836" t="str">
            <v>CAJA DE VIVIENDA POPULAR</v>
          </cell>
          <cell r="M836">
            <v>1</v>
          </cell>
          <cell r="N836" t="str">
            <v>RELACION DE AUTORIZACION</v>
          </cell>
          <cell r="O836">
            <v>54</v>
          </cell>
          <cell r="P836">
            <v>43326</v>
          </cell>
          <cell r="Q836" t="str">
            <v>PAGO DE MI PLANILLA SEGURIDAD SOCIAL Y PARAFISCALES DE LA PLANTA FIJA Y CONVENCIONADOS DE LA ENTIDAD DEL MES DE JULIO DE 2018</v>
          </cell>
          <cell r="R836">
            <v>20871600</v>
          </cell>
          <cell r="S836">
            <v>0</v>
          </cell>
          <cell r="T836">
            <v>0</v>
          </cell>
          <cell r="U836">
            <v>20871600</v>
          </cell>
          <cell r="V836">
            <v>20871600</v>
          </cell>
        </row>
        <row r="837">
          <cell r="J837">
            <v>3</v>
          </cell>
          <cell r="K837">
            <v>43111</v>
          </cell>
          <cell r="L837" t="str">
            <v>CAJA DE VIVIENDA POPULAR</v>
          </cell>
          <cell r="M837">
            <v>1</v>
          </cell>
          <cell r="N837" t="str">
            <v>RELACION DE AUTORIZACION</v>
          </cell>
          <cell r="O837">
            <v>1</v>
          </cell>
          <cell r="P837">
            <v>43111</v>
          </cell>
          <cell r="Q837" t="str">
            <v>PAGO DE APORTES PATRONALES AL SECTOR PRIVADO Y  PÚBLICO DE FUNCIONARIOS DE PLANTA FIJA DE LA CAJA DE LA VIVIENDA POPULAR VIGENCIA MES DE DICIEMBRE 2017</v>
          </cell>
          <cell r="R837">
            <v>21294300</v>
          </cell>
          <cell r="S837">
            <v>0</v>
          </cell>
          <cell r="T837">
            <v>0</v>
          </cell>
          <cell r="U837">
            <v>21294300</v>
          </cell>
          <cell r="V837">
            <v>21294300</v>
          </cell>
        </row>
        <row r="838">
          <cell r="J838">
            <v>1019</v>
          </cell>
          <cell r="K838">
            <v>43140</v>
          </cell>
          <cell r="L838" t="str">
            <v>CAJA DE VIVIENDA POPULAR</v>
          </cell>
          <cell r="M838">
            <v>1</v>
          </cell>
          <cell r="N838" t="str">
            <v>RELACION DE AUTORIZACION</v>
          </cell>
          <cell r="O838">
            <v>12</v>
          </cell>
          <cell r="P838">
            <v>43140</v>
          </cell>
          <cell r="Q838" t="str">
            <v>PAGO DE MI PLANILLA SEGURIDAD SOCIAL Y PARAFISCALES DE LA PLANTA FIJA Y CONVENCIONADOS DE LA ENTIDAD DEL MES DE ENERO DE 2018</v>
          </cell>
          <cell r="R838">
            <v>9288300</v>
          </cell>
          <cell r="S838">
            <v>0</v>
          </cell>
          <cell r="T838">
            <v>0</v>
          </cell>
          <cell r="U838">
            <v>9288300</v>
          </cell>
          <cell r="V838">
            <v>9288300</v>
          </cell>
        </row>
        <row r="839">
          <cell r="J839">
            <v>1534</v>
          </cell>
          <cell r="K839">
            <v>43165</v>
          </cell>
          <cell r="L839" t="str">
            <v>CAJA DE VIVIENDA POPULAR</v>
          </cell>
          <cell r="M839">
            <v>1</v>
          </cell>
          <cell r="N839" t="str">
            <v>RELACION DE AUTORIZACION</v>
          </cell>
          <cell r="O839">
            <v>20</v>
          </cell>
          <cell r="P839">
            <v>43165</v>
          </cell>
          <cell r="Q839" t="str">
            <v>PAGO DE MI PLANILLA SEGURIDAD SOCIAL Y PARAFISCALES DE LA PLANTA FIJA Y CONVENCIONADOS DE LA ENTIDAD DEL MES DE FEBRERO DE 2018.</v>
          </cell>
          <cell r="R839">
            <v>9298800</v>
          </cell>
          <cell r="S839">
            <v>0</v>
          </cell>
          <cell r="T839">
            <v>0</v>
          </cell>
          <cell r="U839">
            <v>9298800</v>
          </cell>
          <cell r="V839">
            <v>9298800</v>
          </cell>
        </row>
        <row r="840">
          <cell r="J840">
            <v>1794</v>
          </cell>
          <cell r="K840">
            <v>43203</v>
          </cell>
          <cell r="L840" t="str">
            <v>CAJA DE VIVIENDA POPULAR</v>
          </cell>
          <cell r="M840">
            <v>1</v>
          </cell>
          <cell r="N840" t="str">
            <v>RELACION DE AUTORIZACION</v>
          </cell>
          <cell r="O840">
            <v>27</v>
          </cell>
          <cell r="P840">
            <v>43203</v>
          </cell>
          <cell r="Q840" t="str">
            <v>PAGO DE MI PLANILLA SEGURIDAD SOCIAL Y PARAFISCALES DE LA PLANTA FIJA Y CONVENCIONADOS DE LA ENTIDAD DEL MES DE MARZO DE 2018</v>
          </cell>
          <cell r="R840">
            <v>9639100</v>
          </cell>
          <cell r="S840">
            <v>0</v>
          </cell>
          <cell r="T840">
            <v>0</v>
          </cell>
          <cell r="U840">
            <v>9639100</v>
          </cell>
          <cell r="V840">
            <v>9639100</v>
          </cell>
        </row>
        <row r="841">
          <cell r="J841">
            <v>1904</v>
          </cell>
          <cell r="K841">
            <v>43235</v>
          </cell>
          <cell r="L841" t="str">
            <v>CAJA DE VIVIENDA POPULAR</v>
          </cell>
          <cell r="M841">
            <v>1</v>
          </cell>
          <cell r="N841" t="str">
            <v>RELACION DE AUTORIZACION</v>
          </cell>
          <cell r="O841">
            <v>33</v>
          </cell>
          <cell r="P841">
            <v>43235</v>
          </cell>
          <cell r="Q841" t="str">
            <v>PAGO DE MI PLANILLA SEGURIDAD SOCIAL Y PARAFISCALES DE LA PLANTA FIJA Y CONVENCIONADOS DE LA ENTIDAD DEL MES DE ABRIL DE 2018</v>
          </cell>
          <cell r="R841">
            <v>10474300</v>
          </cell>
          <cell r="S841">
            <v>0</v>
          </cell>
          <cell r="T841">
            <v>0</v>
          </cell>
          <cell r="U841">
            <v>10474300</v>
          </cell>
          <cell r="V841">
            <v>10474300</v>
          </cell>
        </row>
        <row r="842">
          <cell r="J842">
            <v>2017</v>
          </cell>
          <cell r="K842">
            <v>43266</v>
          </cell>
          <cell r="L842" t="str">
            <v>CAJA DE VIVIENDA POPULAR</v>
          </cell>
          <cell r="M842">
            <v>1</v>
          </cell>
          <cell r="N842" t="str">
            <v>RELACION DE AUTORIZACION</v>
          </cell>
          <cell r="O842">
            <v>42</v>
          </cell>
          <cell r="P842">
            <v>43266</v>
          </cell>
          <cell r="Q842" t="str">
            <v>PAGO DE MI PLANILLA SEGURIDAD SOCIAL Y PARAFISCALES DE LA PLANTA FIJA Y CONVENCIONADOS DE LA ENTIDAD DEL MES DE MAYO DE 2018</v>
          </cell>
          <cell r="R842">
            <v>10280500</v>
          </cell>
          <cell r="S842">
            <v>0</v>
          </cell>
          <cell r="T842">
            <v>0</v>
          </cell>
          <cell r="U842">
            <v>10280500</v>
          </cell>
          <cell r="V842">
            <v>10280500</v>
          </cell>
        </row>
        <row r="843">
          <cell r="J843">
            <v>2489</v>
          </cell>
          <cell r="K843">
            <v>43298</v>
          </cell>
          <cell r="L843" t="str">
            <v>CAJA DE VIVIENDA POPULAR</v>
          </cell>
          <cell r="M843">
            <v>1</v>
          </cell>
          <cell r="N843" t="str">
            <v>RELACION DE AUTORIZACION</v>
          </cell>
          <cell r="O843">
            <v>48</v>
          </cell>
          <cell r="P843">
            <v>43298</v>
          </cell>
          <cell r="Q843" t="str">
            <v>PAGO DE MI PLANILLA SEGURIDAD SOCIAL Y PARAFISCALES DE LA PLANTA FIJA Y CONVENCIONADOS DE LA ENTIDAD DEL MES DE JUNIO DE 2018</v>
          </cell>
          <cell r="R843">
            <v>22051700</v>
          </cell>
          <cell r="S843">
            <v>0</v>
          </cell>
          <cell r="T843">
            <v>0</v>
          </cell>
          <cell r="U843">
            <v>22051700</v>
          </cell>
          <cell r="V843">
            <v>22051700</v>
          </cell>
        </row>
        <row r="844">
          <cell r="J844">
            <v>2638</v>
          </cell>
          <cell r="K844">
            <v>43326</v>
          </cell>
          <cell r="L844" t="str">
            <v>CAJA DE VIVIENDA POPULAR</v>
          </cell>
          <cell r="M844">
            <v>1</v>
          </cell>
          <cell r="N844" t="str">
            <v>RELACION DE AUTORIZACION</v>
          </cell>
          <cell r="O844">
            <v>54</v>
          </cell>
          <cell r="P844">
            <v>43326</v>
          </cell>
          <cell r="Q844" t="str">
            <v>PAGO DE MI PLANILLA SEGURIDAD SOCIAL Y PARAFISCALES DE LA PLANTA FIJA Y CONVENCIONADOS DE LA ENTIDAD DEL MES DE JULIO DE 2018</v>
          </cell>
          <cell r="R844">
            <v>9768800</v>
          </cell>
          <cell r="S844">
            <v>0</v>
          </cell>
          <cell r="T844">
            <v>0</v>
          </cell>
          <cell r="U844">
            <v>9768800</v>
          </cell>
          <cell r="V844">
            <v>9768800</v>
          </cell>
        </row>
        <row r="845">
          <cell r="J845">
            <v>3</v>
          </cell>
          <cell r="K845">
            <v>43111</v>
          </cell>
          <cell r="L845" t="str">
            <v>CAJA DE VIVIENDA POPULAR</v>
          </cell>
          <cell r="M845">
            <v>1</v>
          </cell>
          <cell r="N845" t="str">
            <v>RELACION DE AUTORIZACION</v>
          </cell>
          <cell r="O845">
            <v>1</v>
          </cell>
          <cell r="P845">
            <v>43111</v>
          </cell>
          <cell r="Q845" t="str">
            <v>PAGO DE APORTES PATRONALES AL SECTOR PRIVADO Y  PÚBLICO DE FUNCIONARIOS DE PLANTA FIJA DE LA CAJA DE LA VIVIENDA POPULAR VIGENCIA MES DE DICIEMBRE 2017</v>
          </cell>
          <cell r="R845">
            <v>14197500</v>
          </cell>
          <cell r="S845">
            <v>0</v>
          </cell>
          <cell r="T845">
            <v>0</v>
          </cell>
          <cell r="U845">
            <v>14197500</v>
          </cell>
          <cell r="V845">
            <v>14197500</v>
          </cell>
        </row>
        <row r="846">
          <cell r="J846">
            <v>1019</v>
          </cell>
          <cell r="K846">
            <v>43140</v>
          </cell>
          <cell r="L846" t="str">
            <v>CAJA DE VIVIENDA POPULAR</v>
          </cell>
          <cell r="M846">
            <v>1</v>
          </cell>
          <cell r="N846" t="str">
            <v>RELACION DE AUTORIZACION</v>
          </cell>
          <cell r="O846">
            <v>12</v>
          </cell>
          <cell r="P846">
            <v>43140</v>
          </cell>
          <cell r="Q846" t="str">
            <v>PAGO DE MI PLANILLA SEGURIDAD SOCIAL Y PARAFISCALES DE LA PLANTA FIJA Y CONVENCIONADOS DE LA ENTIDAD DEL MES DE ENERO DE 2018</v>
          </cell>
          <cell r="R846">
            <v>6193700</v>
          </cell>
          <cell r="S846">
            <v>0</v>
          </cell>
          <cell r="T846">
            <v>0</v>
          </cell>
          <cell r="U846">
            <v>6193700</v>
          </cell>
          <cell r="V846">
            <v>6193700</v>
          </cell>
        </row>
        <row r="847">
          <cell r="J847">
            <v>1534</v>
          </cell>
          <cell r="K847">
            <v>43165</v>
          </cell>
          <cell r="L847" t="str">
            <v>CAJA DE VIVIENDA POPULAR</v>
          </cell>
          <cell r="M847">
            <v>1</v>
          </cell>
          <cell r="N847" t="str">
            <v>RELACION DE AUTORIZACION</v>
          </cell>
          <cell r="O847">
            <v>20</v>
          </cell>
          <cell r="P847">
            <v>43165</v>
          </cell>
          <cell r="Q847" t="str">
            <v>PAGO DE MI PLANILLA SEGURIDAD SOCIAL Y PARAFISCALES DE LA PLANTA FIJA Y CONVENCIONADOS DE LA ENTIDAD DEL MES DE FEBRERO DE 2018.</v>
          </cell>
          <cell r="R847">
            <v>6200800</v>
          </cell>
          <cell r="S847">
            <v>0</v>
          </cell>
          <cell r="T847">
            <v>0</v>
          </cell>
          <cell r="U847">
            <v>6200800</v>
          </cell>
          <cell r="V847">
            <v>6200800</v>
          </cell>
        </row>
        <row r="848">
          <cell r="J848">
            <v>1794</v>
          </cell>
          <cell r="K848">
            <v>43203</v>
          </cell>
          <cell r="L848" t="str">
            <v>CAJA DE VIVIENDA POPULAR</v>
          </cell>
          <cell r="M848">
            <v>1</v>
          </cell>
          <cell r="N848" t="str">
            <v>RELACION DE AUTORIZACION</v>
          </cell>
          <cell r="O848">
            <v>27</v>
          </cell>
          <cell r="P848">
            <v>43203</v>
          </cell>
          <cell r="Q848" t="str">
            <v>PAGO DE MI PLANILLA SEGURIDAD SOCIAL Y PARAFISCALES DE LA PLANTA FIJA Y CONVENCIONADOS DE LA ENTIDAD DEL MES DE MARZO DE 2018</v>
          </cell>
          <cell r="R848">
            <v>6426900</v>
          </cell>
          <cell r="S848">
            <v>0</v>
          </cell>
          <cell r="T848">
            <v>0</v>
          </cell>
          <cell r="U848">
            <v>6426900</v>
          </cell>
          <cell r="V848">
            <v>6426900</v>
          </cell>
        </row>
        <row r="849">
          <cell r="J849">
            <v>1904</v>
          </cell>
          <cell r="K849">
            <v>43235</v>
          </cell>
          <cell r="L849" t="str">
            <v>CAJA DE VIVIENDA POPULAR</v>
          </cell>
          <cell r="M849">
            <v>1</v>
          </cell>
          <cell r="N849" t="str">
            <v>RELACION DE AUTORIZACION</v>
          </cell>
          <cell r="O849">
            <v>33</v>
          </cell>
          <cell r="P849">
            <v>43235</v>
          </cell>
          <cell r="Q849" t="str">
            <v>PAGO DE MI PLANILLA SEGURIDAD SOCIAL Y PARAFISCALES DE LA PLANTA FIJA Y CONVENCIONADOS DE LA ENTIDAD DEL MES DE ABRIL DE 2018</v>
          </cell>
          <cell r="R849">
            <v>6984200</v>
          </cell>
          <cell r="S849">
            <v>0</v>
          </cell>
          <cell r="T849">
            <v>0</v>
          </cell>
          <cell r="U849">
            <v>6984200</v>
          </cell>
          <cell r="V849">
            <v>6984200</v>
          </cell>
        </row>
        <row r="850">
          <cell r="J850">
            <v>2017</v>
          </cell>
          <cell r="K850">
            <v>43266</v>
          </cell>
          <cell r="L850" t="str">
            <v>CAJA DE VIVIENDA POPULAR</v>
          </cell>
          <cell r="M850">
            <v>1</v>
          </cell>
          <cell r="N850" t="str">
            <v>RELACION DE AUTORIZACION</v>
          </cell>
          <cell r="O850">
            <v>42</v>
          </cell>
          <cell r="P850">
            <v>43266</v>
          </cell>
          <cell r="Q850" t="str">
            <v>PAGO DE MI PLANILLA SEGURIDAD SOCIAL Y PARAFISCALES DE LA PLANTA FIJA Y CONVENCIONADOS DE LA ENTIDAD DEL MES DE MAYO DE 2018</v>
          </cell>
          <cell r="R850">
            <v>6854900</v>
          </cell>
          <cell r="S850">
            <v>0</v>
          </cell>
          <cell r="T850">
            <v>0</v>
          </cell>
          <cell r="U850">
            <v>6854900</v>
          </cell>
          <cell r="V850">
            <v>6854900</v>
          </cell>
        </row>
        <row r="851">
          <cell r="J851">
            <v>2489</v>
          </cell>
          <cell r="K851">
            <v>43298</v>
          </cell>
          <cell r="L851" t="str">
            <v>CAJA DE VIVIENDA POPULAR</v>
          </cell>
          <cell r="M851">
            <v>1</v>
          </cell>
          <cell r="N851" t="str">
            <v>RELACION DE AUTORIZACION</v>
          </cell>
          <cell r="O851">
            <v>48</v>
          </cell>
          <cell r="P851">
            <v>43298</v>
          </cell>
          <cell r="Q851" t="str">
            <v>PAGO DE MI PLANILLA SEGURIDAD SOCIAL Y PARAFISCALES DE LA PLANTA FIJA Y CONVENCIONADOS DE LA ENTIDAD DEL MES DE JUNIO DE 2018</v>
          </cell>
          <cell r="R851">
            <v>14703100</v>
          </cell>
          <cell r="S851">
            <v>0</v>
          </cell>
          <cell r="T851">
            <v>0</v>
          </cell>
          <cell r="U851">
            <v>14703100</v>
          </cell>
          <cell r="V851">
            <v>14703100</v>
          </cell>
        </row>
        <row r="852">
          <cell r="J852">
            <v>2638</v>
          </cell>
          <cell r="K852">
            <v>43326</v>
          </cell>
          <cell r="L852" t="str">
            <v>CAJA DE VIVIENDA POPULAR</v>
          </cell>
          <cell r="M852">
            <v>1</v>
          </cell>
          <cell r="N852" t="str">
            <v>RELACION DE AUTORIZACION</v>
          </cell>
          <cell r="O852">
            <v>54</v>
          </cell>
          <cell r="P852">
            <v>43326</v>
          </cell>
          <cell r="Q852" t="str">
            <v>PAGO DE MI PLANILLA SEGURIDAD SOCIAL Y PARAFISCALES DE LA PLANTA FIJA Y CONVENCIONADOS DE LA ENTIDAD DEL MES DE JULIO DE 2018</v>
          </cell>
          <cell r="R852">
            <v>6513500</v>
          </cell>
          <cell r="S852">
            <v>0</v>
          </cell>
          <cell r="T852">
            <v>0</v>
          </cell>
          <cell r="U852">
            <v>6513500</v>
          </cell>
          <cell r="V852">
            <v>6513500</v>
          </cell>
        </row>
        <row r="853">
          <cell r="J853">
            <v>755</v>
          </cell>
          <cell r="K853">
            <v>43137</v>
          </cell>
          <cell r="L853" t="str">
            <v>CAJA DE VIVIENDA POPULAR</v>
          </cell>
          <cell r="M853">
            <v>1</v>
          </cell>
          <cell r="N853" t="str">
            <v>RELACION DE AUTORIZACION</v>
          </cell>
          <cell r="O853">
            <v>10</v>
          </cell>
          <cell r="P853">
            <v>43137</v>
          </cell>
          <cell r="Q853" t="str">
            <v>PAGO DE LAS CESANTIAS DEL AÑO 2017 DE LA PLANTA TEMPORAL PROYECTO 3075</v>
          </cell>
          <cell r="R853">
            <v>37008030</v>
          </cell>
          <cell r="S853">
            <v>0</v>
          </cell>
          <cell r="T853">
            <v>0</v>
          </cell>
          <cell r="U853">
            <v>37008030</v>
          </cell>
          <cell r="V853">
            <v>37008030</v>
          </cell>
        </row>
        <row r="854">
          <cell r="J854">
            <v>1022</v>
          </cell>
          <cell r="K854">
            <v>43140</v>
          </cell>
          <cell r="L854" t="str">
            <v>CAJA DE VIVIENDA POPULAR</v>
          </cell>
          <cell r="M854">
            <v>1</v>
          </cell>
          <cell r="N854" t="str">
            <v>RELACION DE AUTORIZACION</v>
          </cell>
          <cell r="O854">
            <v>13</v>
          </cell>
          <cell r="P854">
            <v>43140</v>
          </cell>
          <cell r="Q854" t="str">
            <v>PAGO DE MI PLANILLA SEGURIDAD SOCIAL Y PARAFISCALES DE LA PLANTA TEMPORAL DE LA ENTIDAD DEL MES DE ENERO DE 2018 PROYECTO 3075</v>
          </cell>
          <cell r="R854">
            <v>40872400</v>
          </cell>
          <cell r="S854">
            <v>0</v>
          </cell>
          <cell r="T854">
            <v>0</v>
          </cell>
          <cell r="U854">
            <v>40872400</v>
          </cell>
          <cell r="V854">
            <v>40872400</v>
          </cell>
        </row>
        <row r="855">
          <cell r="J855">
            <v>1240</v>
          </cell>
          <cell r="K855">
            <v>43144</v>
          </cell>
          <cell r="L855" t="str">
            <v>CAJA DE VIVIENDA POPULAR</v>
          </cell>
          <cell r="M855">
            <v>1</v>
          </cell>
          <cell r="N855" t="str">
            <v>RELACION DE AUTORIZACION</v>
          </cell>
          <cell r="O855">
            <v>15</v>
          </cell>
          <cell r="P855">
            <v>43144</v>
          </cell>
          <cell r="Q855" t="str">
            <v>PAGO DE PARAFISCALES DE EXFUNCIONARIOS DE PLANTA TEMPORAL DE LA DIRECCIÓN DE REASENTAMIENTOS DE LA CAJA DE LA VIVIENDA POPULAR "</v>
          </cell>
          <cell r="R855">
            <v>2023800</v>
          </cell>
          <cell r="S855">
            <v>0</v>
          </cell>
          <cell r="T855">
            <v>0</v>
          </cell>
          <cell r="U855">
            <v>2023800</v>
          </cell>
          <cell r="V855">
            <v>2023800</v>
          </cell>
        </row>
        <row r="856">
          <cell r="J856">
            <v>1391</v>
          </cell>
          <cell r="K856">
            <v>43151</v>
          </cell>
          <cell r="L856" t="str">
            <v>CAJA DE VIVIENDA POPULAR</v>
          </cell>
          <cell r="M856">
            <v>1</v>
          </cell>
          <cell r="N856" t="str">
            <v>RELACION DE AUTORIZACION</v>
          </cell>
          <cell r="O856">
            <v>17</v>
          </cell>
          <cell r="P856">
            <v>43151</v>
          </cell>
          <cell r="Q856" t="str">
            <v>PAGO DE NOMINA DEL MES DE FEBRERO DE 2018 DE LA PLANTA TEMPORAL PROYECTO 3075</v>
          </cell>
          <cell r="R856">
            <v>109439448</v>
          </cell>
          <cell r="S856">
            <v>0</v>
          </cell>
          <cell r="T856">
            <v>0</v>
          </cell>
          <cell r="U856">
            <v>109439448</v>
          </cell>
          <cell r="V856">
            <v>109439448</v>
          </cell>
        </row>
        <row r="857">
          <cell r="J857">
            <v>1535</v>
          </cell>
          <cell r="K857">
            <v>43165</v>
          </cell>
          <cell r="L857" t="str">
            <v>CAJA DE VIVIENDA POPULAR</v>
          </cell>
          <cell r="M857">
            <v>1</v>
          </cell>
          <cell r="N857" t="str">
            <v>RELACION DE AUTORIZACION</v>
          </cell>
          <cell r="O857">
            <v>22</v>
          </cell>
          <cell r="P857">
            <v>43165</v>
          </cell>
          <cell r="Q857" t="str">
            <v>PAGO DE MI PLANILLA SEGURIDAD SOCIAL Y PARAFISCALES DE LA PLANTA TEMPORAL DE LA ENTIDAD DEL MES DE FEBRERO DE 2018 PROYECTO 3075</v>
          </cell>
          <cell r="R857">
            <v>32883000</v>
          </cell>
          <cell r="S857">
            <v>0</v>
          </cell>
          <cell r="T857">
            <v>0</v>
          </cell>
          <cell r="U857">
            <v>32883000</v>
          </cell>
          <cell r="V857">
            <v>32883000</v>
          </cell>
        </row>
        <row r="858">
          <cell r="J858">
            <v>1605</v>
          </cell>
          <cell r="K858">
            <v>43180</v>
          </cell>
          <cell r="L858" t="str">
            <v>CAJA DE VIVIENDA POPULAR</v>
          </cell>
          <cell r="M858">
            <v>1</v>
          </cell>
          <cell r="N858" t="str">
            <v>RELACION DE AUTORIZACION</v>
          </cell>
          <cell r="O858">
            <v>25</v>
          </cell>
          <cell r="P858">
            <v>43180</v>
          </cell>
          <cell r="Q858" t="str">
            <v>PAGO DE NÓMINA FUNCIONARIOS DE PLANTA TEMPORAL DE LA DIRECCIÓN DE REASENTAMIENTOS DE LA CAJA DE LA VIVIENDA POPULAR MES DE MARZO 2018"</v>
          </cell>
          <cell r="R858">
            <v>136345033</v>
          </cell>
          <cell r="S858">
            <v>0</v>
          </cell>
          <cell r="T858">
            <v>0</v>
          </cell>
          <cell r="U858">
            <v>136345033</v>
          </cell>
          <cell r="V858">
            <v>136345033</v>
          </cell>
        </row>
        <row r="859">
          <cell r="J859">
            <v>1798</v>
          </cell>
          <cell r="K859">
            <v>43203</v>
          </cell>
          <cell r="L859" t="str">
            <v>CAJA DE VIVIENDA POPULAR</v>
          </cell>
          <cell r="M859">
            <v>1</v>
          </cell>
          <cell r="N859" t="str">
            <v>RELACION DE AUTORIZACION</v>
          </cell>
          <cell r="O859">
            <v>28</v>
          </cell>
          <cell r="P859">
            <v>43203</v>
          </cell>
          <cell r="Q859" t="str">
            <v>PAGO DE SEGURIDAD SOCIAL Y PARAFISCALES DE FUNCIONARIOS DE PLANTA TEMPORAL DE LA DIRECCIÓN DE REASENTAMIENTOS DE LA CAJA DE LA VIVIENDA POPULAR  MES MARZO DE 2018"</v>
          </cell>
          <cell r="R859">
            <v>35468800</v>
          </cell>
          <cell r="S859">
            <v>0</v>
          </cell>
          <cell r="T859">
            <v>0</v>
          </cell>
          <cell r="U859">
            <v>35468800</v>
          </cell>
          <cell r="V859">
            <v>35468800</v>
          </cell>
        </row>
        <row r="860">
          <cell r="J860">
            <v>1836</v>
          </cell>
          <cell r="K860">
            <v>43213</v>
          </cell>
          <cell r="L860" t="str">
            <v>CAJA DE VIVIENDA POPULAR</v>
          </cell>
          <cell r="M860">
            <v>1</v>
          </cell>
          <cell r="N860" t="str">
            <v>RELACION DE AUTORIZACION</v>
          </cell>
          <cell r="O860">
            <v>31</v>
          </cell>
          <cell r="P860">
            <v>43213</v>
          </cell>
          <cell r="Q860" t="str">
            <v>PAGO DE NÓMINA DEL MES DE ABRIL 2018 DE LA PLANTA TEMPORAL, PROYECTO 3075"</v>
          </cell>
          <cell r="R860">
            <v>112968667</v>
          </cell>
          <cell r="S860">
            <v>0</v>
          </cell>
          <cell r="T860">
            <v>0</v>
          </cell>
          <cell r="U860">
            <v>112968667</v>
          </cell>
          <cell r="V860">
            <v>112968667</v>
          </cell>
        </row>
        <row r="861">
          <cell r="J861">
            <v>1901</v>
          </cell>
          <cell r="K861">
            <v>43235</v>
          </cell>
          <cell r="L861" t="str">
            <v>CAJA DE VIVIENDA POPULAR</v>
          </cell>
          <cell r="M861">
            <v>1</v>
          </cell>
          <cell r="N861" t="str">
            <v>RELACION DE AUTORIZACION</v>
          </cell>
          <cell r="O861">
            <v>34</v>
          </cell>
          <cell r="P861">
            <v>43235</v>
          </cell>
          <cell r="Q861" t="str">
            <v>PAGO DE  MI PLANILLA SEGURIDAD SOCIAL Y PARAFISCALES  DE FUNCIONARIOS DE PLANTA TEMPORAL DE LA DIRECCIÓN DE REASENTAMIENTOS DE LA CAJA DE LA VIVIENDA POPULAR "</v>
          </cell>
          <cell r="R861">
            <v>34694800</v>
          </cell>
          <cell r="S861">
            <v>0</v>
          </cell>
          <cell r="T861">
            <v>0</v>
          </cell>
          <cell r="U861">
            <v>34694800</v>
          </cell>
          <cell r="V861">
            <v>34694800</v>
          </cell>
        </row>
        <row r="862">
          <cell r="J862">
            <v>1945</v>
          </cell>
          <cell r="K862">
            <v>43243</v>
          </cell>
          <cell r="L862" t="str">
            <v>CAJA DE VIVIENDA POPULAR</v>
          </cell>
          <cell r="M862">
            <v>1</v>
          </cell>
          <cell r="N862" t="str">
            <v>RELACION DE AUTORIZACION</v>
          </cell>
          <cell r="O862">
            <v>37</v>
          </cell>
          <cell r="P862">
            <v>43243</v>
          </cell>
          <cell r="Q862" t="str">
            <v>PAGO DE NÓMINA DE FUNCIONARIOS DE PLANTA TEMPORAL DE LA DIRECCIÓN DE REASENTAMIENTOS DE LA CAJA DE LA VIVIENDA POPULAR MES MAYO DE 2018"</v>
          </cell>
          <cell r="R862">
            <v>139936994</v>
          </cell>
          <cell r="S862">
            <v>0</v>
          </cell>
          <cell r="T862">
            <v>0</v>
          </cell>
          <cell r="U862">
            <v>139936994</v>
          </cell>
          <cell r="V862">
            <v>139936994</v>
          </cell>
        </row>
        <row r="863">
          <cell r="J863">
            <v>1979</v>
          </cell>
          <cell r="K863">
            <v>43252</v>
          </cell>
          <cell r="L863" t="str">
            <v>CAJA DE VIVIENDA POPULAR</v>
          </cell>
          <cell r="M863">
            <v>1</v>
          </cell>
          <cell r="N863" t="str">
            <v>RELACION DE AUTORIZACION</v>
          </cell>
          <cell r="O863">
            <v>40</v>
          </cell>
          <cell r="P863">
            <v>43252</v>
          </cell>
          <cell r="Q863" t="str">
            <v>PAGO DE LA PRIMA SE SERVICIOS 2018  FUNCIONARIOS DE PLANTA TEMPORAL DE LA DIRECCIÓN DE REASENTAMIENTOS DE LA CAJA DE LA VIVIENDA POPULAR "</v>
          </cell>
          <cell r="R863">
            <v>147544748</v>
          </cell>
          <cell r="S863">
            <v>0</v>
          </cell>
          <cell r="T863">
            <v>0</v>
          </cell>
          <cell r="U863">
            <v>147544748</v>
          </cell>
          <cell r="V863">
            <v>147544748</v>
          </cell>
        </row>
        <row r="864">
          <cell r="J864">
            <v>2018</v>
          </cell>
          <cell r="K864">
            <v>43266</v>
          </cell>
          <cell r="L864" t="str">
            <v>CAJA DE VIVIENDA POPULAR</v>
          </cell>
          <cell r="M864">
            <v>1</v>
          </cell>
          <cell r="N864" t="str">
            <v>RELACION DE AUTORIZACION</v>
          </cell>
          <cell r="O864">
            <v>43</v>
          </cell>
          <cell r="P864">
            <v>43266</v>
          </cell>
          <cell r="Q864" t="str">
            <v>PAGO DE MI PLANILLA SEGURIDAD SOCIAL Y PARAFOSCALES  FUNCIONARIOS DE PLANTA TEMPORAL DE LA DIRECCIÓN DE REASENTAMIENTOS DE LA CAJA DE LA VIVIENDA POPULAR MES DE MAYO DE 2018"</v>
          </cell>
          <cell r="R864">
            <v>35637500</v>
          </cell>
          <cell r="S864">
            <v>0</v>
          </cell>
          <cell r="T864">
            <v>0</v>
          </cell>
          <cell r="U864">
            <v>35637500</v>
          </cell>
          <cell r="V864">
            <v>35637500</v>
          </cell>
        </row>
        <row r="865">
          <cell r="J865">
            <v>2048</v>
          </cell>
          <cell r="K865">
            <v>43271</v>
          </cell>
          <cell r="L865" t="str">
            <v>CAJA DE VIVIENDA POPULAR</v>
          </cell>
          <cell r="M865">
            <v>1</v>
          </cell>
          <cell r="N865" t="str">
            <v>RELACION DE AUTORIZACION</v>
          </cell>
          <cell r="O865">
            <v>46</v>
          </cell>
          <cell r="P865">
            <v>43271</v>
          </cell>
          <cell r="Q865" t="str">
            <v>PAGO DE NÓMIN DEL MES DE JUNIO 2018 PLANTA TEMPORAL, PROYECTO 3075</v>
          </cell>
          <cell r="R865">
            <v>111929375</v>
          </cell>
          <cell r="S865">
            <v>0</v>
          </cell>
          <cell r="T865">
            <v>0</v>
          </cell>
          <cell r="U865">
            <v>111929375</v>
          </cell>
          <cell r="V865">
            <v>111929375</v>
          </cell>
        </row>
        <row r="866">
          <cell r="J866">
            <v>2490</v>
          </cell>
          <cell r="K866">
            <v>43298</v>
          </cell>
          <cell r="L866" t="str">
            <v>CAJA DE VIVIENDA POPULAR</v>
          </cell>
          <cell r="M866">
            <v>1</v>
          </cell>
          <cell r="N866" t="str">
            <v>RELACION DE AUTORIZACION</v>
          </cell>
          <cell r="O866">
            <v>49</v>
          </cell>
          <cell r="P866">
            <v>43298</v>
          </cell>
          <cell r="Q866" t="str">
            <v>PAGO DE MI PLANILLA SEGURIDAD SOCIAL Y PARAFISCALES DE LA PLANTA TEMPORAL DE LA ENTIDAD DEL MES DE JUNIO DE 2018 PROYECTO 3075</v>
          </cell>
          <cell r="R866">
            <v>48170800</v>
          </cell>
          <cell r="S866">
            <v>0</v>
          </cell>
          <cell r="T866">
            <v>0</v>
          </cell>
          <cell r="U866">
            <v>48170800</v>
          </cell>
          <cell r="V866">
            <v>48170800</v>
          </cell>
        </row>
        <row r="867">
          <cell r="J867">
            <v>2525</v>
          </cell>
          <cell r="K867">
            <v>43305</v>
          </cell>
          <cell r="L867" t="str">
            <v>CAJA DE VIVIENDA POPULAR</v>
          </cell>
          <cell r="M867">
            <v>1</v>
          </cell>
          <cell r="N867" t="str">
            <v>RELACION DE AUTORIZACION</v>
          </cell>
          <cell r="O867">
            <v>52</v>
          </cell>
          <cell r="P867">
            <v>43305</v>
          </cell>
          <cell r="Q867" t="str">
            <v>PAGO DE NÓMINA A FUNCIONARIOS DE PLANTA TEMPORAL DE LA DIRECCIÓN DE REASENTAMIENTOS DE LA CAJA DE LA VIVIENDA POPULAR MES DE JULIO DE 2018"</v>
          </cell>
          <cell r="R867">
            <v>130000766</v>
          </cell>
          <cell r="S867">
            <v>0</v>
          </cell>
          <cell r="T867">
            <v>0</v>
          </cell>
          <cell r="U867">
            <v>130000766</v>
          </cell>
          <cell r="V867">
            <v>130000766</v>
          </cell>
        </row>
        <row r="868">
          <cell r="J868">
            <v>2640</v>
          </cell>
          <cell r="K868">
            <v>43326</v>
          </cell>
          <cell r="L868" t="str">
            <v>CAJA DE VIVIENDA POPULAR</v>
          </cell>
          <cell r="M868">
            <v>1</v>
          </cell>
          <cell r="N868" t="str">
            <v>RELACION DE AUTORIZACION</v>
          </cell>
          <cell r="O868">
            <v>55</v>
          </cell>
          <cell r="P868">
            <v>43326</v>
          </cell>
          <cell r="Q868" t="str">
            <v>PAGO DE MI PLANILLA SEGURIDAD SOCIAL Y PARAFISCALES  DE FUNCIONARIOS DE PLANTA TEMPORAL DE LA DIRECCIÓN DE REASENTAMIENTOS DE LA CAJA DE LA VIVIENDA POPULAR MES DE JULIO DE 2018"</v>
          </cell>
          <cell r="R868">
            <v>35375700</v>
          </cell>
          <cell r="S868">
            <v>0</v>
          </cell>
          <cell r="T868">
            <v>0</v>
          </cell>
          <cell r="U868">
            <v>35375700</v>
          </cell>
          <cell r="V868">
            <v>35375700</v>
          </cell>
        </row>
        <row r="869">
          <cell r="J869">
            <v>2733</v>
          </cell>
          <cell r="K869">
            <v>43336</v>
          </cell>
          <cell r="L869" t="str">
            <v>CAJA DE VIVIENDA POPULAR</v>
          </cell>
          <cell r="M869">
            <v>1</v>
          </cell>
          <cell r="N869" t="str">
            <v>RELACION DE AUTORIZACION</v>
          </cell>
          <cell r="O869">
            <v>58</v>
          </cell>
          <cell r="P869">
            <v>43336</v>
          </cell>
          <cell r="Q869" t="str">
            <v>PAGO  DE NÓMINA DEL MES DE AGOSTO 2018 DE LA PLANTA TEMPORAL, PROYECTO 3075</v>
          </cell>
          <cell r="R869">
            <v>104136800</v>
          </cell>
          <cell r="S869">
            <v>0</v>
          </cell>
          <cell r="T869">
            <v>0</v>
          </cell>
          <cell r="U869">
            <v>104136800</v>
          </cell>
          <cell r="V869">
            <v>104136800</v>
          </cell>
        </row>
        <row r="870">
          <cell r="J870">
            <v>1608</v>
          </cell>
          <cell r="K870">
            <v>43180</v>
          </cell>
          <cell r="L870" t="str">
            <v>CAJA DE VIVIENDA POPULAR</v>
          </cell>
          <cell r="M870">
            <v>1</v>
          </cell>
          <cell r="N870" t="str">
            <v>RELACION DE AUTORIZACION</v>
          </cell>
          <cell r="O870">
            <v>25</v>
          </cell>
          <cell r="P870">
            <v>43180</v>
          </cell>
          <cell r="Q870" t="str">
            <v>PAGO DE NOMINA A FUNCIONARIOS DE PLANTA TEMPORAL DE LA DIRECCION DE MEJORAMIENTO DE BARRIOS MES DE MARZO DE 2018</v>
          </cell>
          <cell r="R870">
            <v>17659299</v>
          </cell>
          <cell r="S870">
            <v>0</v>
          </cell>
          <cell r="T870">
            <v>0</v>
          </cell>
          <cell r="U870">
            <v>17659299</v>
          </cell>
          <cell r="V870">
            <v>17659299</v>
          </cell>
        </row>
        <row r="871">
          <cell r="J871">
            <v>1800</v>
          </cell>
          <cell r="K871">
            <v>43203</v>
          </cell>
          <cell r="L871" t="str">
            <v>CAJA DE VIVIENDA POPULAR</v>
          </cell>
          <cell r="M871">
            <v>1</v>
          </cell>
          <cell r="N871" t="str">
            <v>RELACION DE AUTORIZACION</v>
          </cell>
          <cell r="O871">
            <v>28</v>
          </cell>
          <cell r="P871">
            <v>43203</v>
          </cell>
          <cell r="Q871" t="str">
            <v>PPAGO DE SEGURIDAD SOCIAL Y PARAFISCALES DE FUNCIONARIOS DEPLANTA TEMPORAL DE LA DIRECCION DE MEJORAMIENTO DE BARRIOS MES DE MARZO 2018</v>
          </cell>
          <cell r="R871">
            <v>6036900</v>
          </cell>
          <cell r="S871">
            <v>0</v>
          </cell>
          <cell r="T871">
            <v>0</v>
          </cell>
          <cell r="U871">
            <v>6036900</v>
          </cell>
          <cell r="V871">
            <v>6036900</v>
          </cell>
        </row>
        <row r="872">
          <cell r="J872">
            <v>1837</v>
          </cell>
          <cell r="K872">
            <v>43213</v>
          </cell>
          <cell r="L872" t="str">
            <v>CAJA DE VIVIENDA POPULAR</v>
          </cell>
          <cell r="M872">
            <v>1</v>
          </cell>
          <cell r="N872" t="str">
            <v>RELACION DE AUTORIZACION</v>
          </cell>
          <cell r="O872">
            <v>31</v>
          </cell>
          <cell r="P872">
            <v>43213</v>
          </cell>
          <cell r="Q872" t="str">
            <v>PAGO DE NOMINA DEL MES DE ABRIL DE 2018 DE LA PLANTA TEMPORAL, PROYECTO 208</v>
          </cell>
          <cell r="R872">
            <v>23291350</v>
          </cell>
          <cell r="S872">
            <v>0</v>
          </cell>
          <cell r="T872">
            <v>0</v>
          </cell>
          <cell r="U872">
            <v>23291350</v>
          </cell>
          <cell r="V872">
            <v>23291350</v>
          </cell>
        </row>
        <row r="873">
          <cell r="J873">
            <v>1902</v>
          </cell>
          <cell r="K873">
            <v>43235</v>
          </cell>
          <cell r="L873" t="str">
            <v>CAJA DE VIVIENDA POPULAR</v>
          </cell>
          <cell r="M873">
            <v>1</v>
          </cell>
          <cell r="N873" t="str">
            <v>RELACION DE AUTORIZACION</v>
          </cell>
          <cell r="O873">
            <v>34</v>
          </cell>
          <cell r="P873">
            <v>43235</v>
          </cell>
          <cell r="Q873" t="str">
            <v>PAGO DE  MI PLANILLA SEGURIDAD SOCIAL Y PARAFISCALES DE FUNCIONARIOS DE PLANTA TEMPORAL DE LA DIRECCION DE MEJORAMIENTO DE BARRIOS MES DE ABRIL 2018</v>
          </cell>
          <cell r="R873">
            <v>6280800</v>
          </cell>
          <cell r="S873">
            <v>0</v>
          </cell>
          <cell r="T873">
            <v>0</v>
          </cell>
          <cell r="U873">
            <v>6280800</v>
          </cell>
          <cell r="V873">
            <v>6280800</v>
          </cell>
        </row>
        <row r="874">
          <cell r="J874">
            <v>1946</v>
          </cell>
          <cell r="K874">
            <v>43243</v>
          </cell>
          <cell r="L874" t="str">
            <v>CAJA DE VIVIENDA POPULAR</v>
          </cell>
          <cell r="M874">
            <v>1</v>
          </cell>
          <cell r="N874" t="str">
            <v>RELACION DE AUTORIZACION</v>
          </cell>
          <cell r="O874">
            <v>37</v>
          </cell>
          <cell r="P874">
            <v>43243</v>
          </cell>
          <cell r="Q874" t="str">
            <v>PAGO DE NOMINA DE FUNCIONARIOS DE PLANTA TEMPORAL DE LA DIRECCION DE MEJORAMIENTO DE BARRIOS MES MAYO DE 2018</v>
          </cell>
          <cell r="R874">
            <v>24494278</v>
          </cell>
          <cell r="S874">
            <v>0</v>
          </cell>
          <cell r="T874">
            <v>0</v>
          </cell>
          <cell r="U874">
            <v>24494278</v>
          </cell>
          <cell r="V874">
            <v>24494278</v>
          </cell>
        </row>
        <row r="875">
          <cell r="J875">
            <v>1978</v>
          </cell>
          <cell r="K875">
            <v>43252</v>
          </cell>
          <cell r="L875" t="str">
            <v>CAJA DE VIVIENDA POPULAR</v>
          </cell>
          <cell r="M875">
            <v>1</v>
          </cell>
          <cell r="N875" t="str">
            <v>RELACION DE AUTORIZACION</v>
          </cell>
          <cell r="O875">
            <v>40</v>
          </cell>
          <cell r="P875">
            <v>43221</v>
          </cell>
          <cell r="Q875" t="str">
            <v>PAGO DE LA PRIMA SE SERVICIOS 2018 FUNCIONARIOS DE PLANTA TEMPORAL DE LA DIRECCION DE MEJORAMIENTO DE BARRIOS</v>
          </cell>
          <cell r="R875">
            <v>22594833</v>
          </cell>
          <cell r="S875">
            <v>0</v>
          </cell>
          <cell r="T875">
            <v>0</v>
          </cell>
          <cell r="U875">
            <v>22594833</v>
          </cell>
          <cell r="V875">
            <v>22594833</v>
          </cell>
        </row>
        <row r="876">
          <cell r="J876">
            <v>2020</v>
          </cell>
          <cell r="K876">
            <v>43266</v>
          </cell>
          <cell r="L876" t="str">
            <v>CAJA DE VIVIENDA POPULAR</v>
          </cell>
          <cell r="M876">
            <v>1</v>
          </cell>
          <cell r="N876" t="str">
            <v>RELACION DE AUTORIZACION</v>
          </cell>
          <cell r="O876">
            <v>43</v>
          </cell>
          <cell r="P876">
            <v>43266</v>
          </cell>
          <cell r="Q876" t="str">
            <v>PAGO DE MI PLANILLA SEGURIDAD SOCIAL Y PARAFISCALES A FUNCIONARIOS DE PLANTA TEMPORAL DE LA DIRECCION DE MEJORAMIENTO DE BARRIOS MES MAYO 2018</v>
          </cell>
          <cell r="R876">
            <v>6483100</v>
          </cell>
          <cell r="S876">
            <v>0</v>
          </cell>
          <cell r="T876">
            <v>0</v>
          </cell>
          <cell r="U876">
            <v>6483100</v>
          </cell>
          <cell r="V876">
            <v>6483100</v>
          </cell>
        </row>
        <row r="877">
          <cell r="J877">
            <v>2050</v>
          </cell>
          <cell r="K877">
            <v>43271</v>
          </cell>
          <cell r="L877" t="str">
            <v>CAJA DE VIVIENDA POPULAR</v>
          </cell>
          <cell r="M877">
            <v>1</v>
          </cell>
          <cell r="N877" t="str">
            <v>RELACION DE AUTORIZACION</v>
          </cell>
          <cell r="O877">
            <v>46</v>
          </cell>
          <cell r="P877">
            <v>43271</v>
          </cell>
          <cell r="Q877" t="str">
            <v>PAGO DE NÓMIN DEL MES DE JUNIO 2018 PLANTA TEMPORAL, PROYECTO 208</v>
          </cell>
          <cell r="R877">
            <v>14000069</v>
          </cell>
          <cell r="S877">
            <v>0</v>
          </cell>
          <cell r="T877">
            <v>0</v>
          </cell>
          <cell r="U877">
            <v>14000069</v>
          </cell>
          <cell r="V877">
            <v>14000069</v>
          </cell>
        </row>
        <row r="878">
          <cell r="J878">
            <v>2492</v>
          </cell>
          <cell r="K878">
            <v>43298</v>
          </cell>
          <cell r="L878" t="str">
            <v>CAJA DE VIVIENDA POPULAR</v>
          </cell>
          <cell r="M878">
            <v>1</v>
          </cell>
          <cell r="N878" t="str">
            <v>RELACION DE AUTORIZACION</v>
          </cell>
          <cell r="O878">
            <v>49</v>
          </cell>
          <cell r="P878">
            <v>43298</v>
          </cell>
          <cell r="Q878" t="str">
            <v>PAGO DE MI PLANILLA SEGURIDAD SOCIAL Y PARAFISCALES DE LA PLANTA TEMPORAL DE LA ENTIDAD DEL MES DE JUNIO DE 2018. PROYECTO 208</v>
          </cell>
          <cell r="R878">
            <v>7935400</v>
          </cell>
          <cell r="S878">
            <v>0</v>
          </cell>
          <cell r="T878">
            <v>0</v>
          </cell>
          <cell r="U878">
            <v>7935400</v>
          </cell>
          <cell r="V878">
            <v>7935400</v>
          </cell>
        </row>
        <row r="879">
          <cell r="J879">
            <v>2526</v>
          </cell>
          <cell r="K879">
            <v>43305</v>
          </cell>
          <cell r="L879" t="str">
            <v>CAJA DE VIVIENDA POPULAR</v>
          </cell>
          <cell r="M879">
            <v>1</v>
          </cell>
          <cell r="N879" t="str">
            <v>RELACION DE AUTORIZACION</v>
          </cell>
          <cell r="O879">
            <v>52</v>
          </cell>
          <cell r="P879">
            <v>43305</v>
          </cell>
          <cell r="Q879" t="str">
            <v>PAGO DE NÓMINA A FUNCIONARIOS DE PLANTA TEMPORAL DE LA DIRECCION DE MEJORAMIENTO DE BARRIOS MES DE JULIO DE 2018</v>
          </cell>
          <cell r="R879">
            <v>24949340</v>
          </cell>
          <cell r="S879">
            <v>0</v>
          </cell>
          <cell r="T879">
            <v>0</v>
          </cell>
          <cell r="U879">
            <v>24949340</v>
          </cell>
          <cell r="V879">
            <v>24949340</v>
          </cell>
        </row>
        <row r="880">
          <cell r="J880">
            <v>2644</v>
          </cell>
          <cell r="K880">
            <v>43326</v>
          </cell>
          <cell r="L880" t="str">
            <v>CAJA DE VIVIENDA POPULAR</v>
          </cell>
          <cell r="M880">
            <v>1</v>
          </cell>
          <cell r="N880" t="str">
            <v>RELACION DE AUTORIZACION</v>
          </cell>
          <cell r="O880">
            <v>55</v>
          </cell>
          <cell r="P880">
            <v>43326</v>
          </cell>
          <cell r="Q880" t="str">
            <v>PAGO DE MI PLANILLA SEGURIDAD SOCIAL Y PARAFISCALES DE FUNCIONARIOS DE PLANTA TEMPORAL DE LA DIRECCION DE MEJORAMIENTO DE BARRIOS MES DE JULIO 2018</v>
          </cell>
          <cell r="R880">
            <v>6815800</v>
          </cell>
          <cell r="S880">
            <v>0</v>
          </cell>
          <cell r="T880">
            <v>0</v>
          </cell>
          <cell r="U880">
            <v>6815800</v>
          </cell>
          <cell r="V880">
            <v>6815800</v>
          </cell>
        </row>
        <row r="881">
          <cell r="J881">
            <v>2734</v>
          </cell>
          <cell r="K881">
            <v>43336</v>
          </cell>
          <cell r="L881" t="str">
            <v>CAJA DE VIVIENDA POPULAR</v>
          </cell>
          <cell r="M881">
            <v>1</v>
          </cell>
          <cell r="N881" t="str">
            <v>RELACION DE AUTORIZACION</v>
          </cell>
          <cell r="O881">
            <v>58</v>
          </cell>
          <cell r="P881">
            <v>43336</v>
          </cell>
          <cell r="Q881" t="str">
            <v>PAGO DE NOMINA DEL MES DE AGOSTO DE 2018 DE LA PLANTA TEMPORAL, PROYECTO 208</v>
          </cell>
          <cell r="R881">
            <v>14211872</v>
          </cell>
          <cell r="S881">
            <v>0</v>
          </cell>
          <cell r="T881">
            <v>0</v>
          </cell>
          <cell r="U881">
            <v>14211872</v>
          </cell>
          <cell r="V881">
            <v>14211872</v>
          </cell>
        </row>
        <row r="882">
          <cell r="J882">
            <v>1390</v>
          </cell>
          <cell r="K882">
            <v>43151</v>
          </cell>
          <cell r="L882" t="str">
            <v>CAJA DE VIVIENDA POPULAR</v>
          </cell>
          <cell r="M882">
            <v>1</v>
          </cell>
          <cell r="N882" t="str">
            <v>RELACION DE AUTORIZACION</v>
          </cell>
          <cell r="O882">
            <v>17</v>
          </cell>
          <cell r="P882">
            <v>43151</v>
          </cell>
          <cell r="Q882" t="str">
            <v>PAGO DE NOMINA DEL MES DE FEBRERO DE 2018 DE LA PLANTA TEMPORAL PROYECTO 471</v>
          </cell>
          <cell r="R882">
            <v>43840647</v>
          </cell>
          <cell r="S882">
            <v>0</v>
          </cell>
          <cell r="T882">
            <v>0</v>
          </cell>
          <cell r="U882">
            <v>43840647</v>
          </cell>
          <cell r="V882">
            <v>43840647</v>
          </cell>
        </row>
        <row r="883">
          <cell r="J883">
            <v>1533</v>
          </cell>
          <cell r="K883">
            <v>43165</v>
          </cell>
          <cell r="L883" t="str">
            <v>CAJA DE VIVIENDA POPULAR</v>
          </cell>
          <cell r="M883">
            <v>1</v>
          </cell>
          <cell r="N883" t="str">
            <v>RELACION DE AUTORIZACION</v>
          </cell>
          <cell r="O883">
            <v>22</v>
          </cell>
          <cell r="P883">
            <v>43165</v>
          </cell>
          <cell r="Q883" t="str">
            <v>PAGO DE MI PLANILLA SEGURIDAD SOCIAL Y PARAFISCALES DE LA PLANTA TEMPORAL DE LA ENTIDAD DEL MES DE FEBRERO DE 2018 PROYECTO 471</v>
          </cell>
          <cell r="R883">
            <v>20170300</v>
          </cell>
          <cell r="S883">
            <v>0</v>
          </cell>
          <cell r="T883">
            <v>0</v>
          </cell>
          <cell r="U883">
            <v>20170300</v>
          </cell>
          <cell r="V883">
            <v>20170300</v>
          </cell>
        </row>
        <row r="884">
          <cell r="J884">
            <v>1606</v>
          </cell>
          <cell r="K884">
            <v>43180</v>
          </cell>
          <cell r="L884" t="str">
            <v>CAJA DE VIVIENDA POPULAR</v>
          </cell>
          <cell r="M884">
            <v>1</v>
          </cell>
          <cell r="N884" t="str">
            <v>RELACION DE AUTORIZACION</v>
          </cell>
          <cell r="O884">
            <v>25</v>
          </cell>
          <cell r="P884">
            <v>43180</v>
          </cell>
          <cell r="Q884" t="str">
            <v>PAGO DE NOMINA A FUNCIONARIOS DE PLANTA TEMPORAL DE LA DIRECCIÓN DE URBANIZACIONES Y TITULACIÓN MES DE MARZO DE 2018</v>
          </cell>
          <cell r="R884">
            <v>69893901</v>
          </cell>
          <cell r="S884">
            <v>0</v>
          </cell>
          <cell r="T884">
            <v>0</v>
          </cell>
          <cell r="U884">
            <v>69893901</v>
          </cell>
          <cell r="V884">
            <v>69893901</v>
          </cell>
        </row>
        <row r="885">
          <cell r="J885">
            <v>1801</v>
          </cell>
          <cell r="K885">
            <v>43203</v>
          </cell>
          <cell r="L885" t="str">
            <v>CAJA DE VIVIENDA POPULAR</v>
          </cell>
          <cell r="M885">
            <v>1</v>
          </cell>
          <cell r="N885" t="str">
            <v>RELACION DE AUTORIZACION</v>
          </cell>
          <cell r="O885">
            <v>28</v>
          </cell>
          <cell r="P885">
            <v>43203</v>
          </cell>
          <cell r="Q885" t="str">
            <v>PAGO DE SEGURIDAD SOCIAL Y PARAFISCALES DE FUNCIONARIOS DE PLANTA TEMPORAL DE LA DIRECCIÓN DE URBANIZACIONES Y TITULACIÓN MES MARZO 2018</v>
          </cell>
          <cell r="R885">
            <v>20421900</v>
          </cell>
          <cell r="S885">
            <v>0</v>
          </cell>
          <cell r="T885">
            <v>0</v>
          </cell>
          <cell r="U885">
            <v>20421900</v>
          </cell>
          <cell r="V885">
            <v>20421900</v>
          </cell>
        </row>
        <row r="886">
          <cell r="J886">
            <v>1838</v>
          </cell>
          <cell r="K886">
            <v>43213</v>
          </cell>
          <cell r="L886" t="str">
            <v>CAJA DE VIVIENDA POPULAR</v>
          </cell>
          <cell r="M886">
            <v>1</v>
          </cell>
          <cell r="N886" t="str">
            <v>RELACION DE AUTORIZACION</v>
          </cell>
          <cell r="O886">
            <v>31</v>
          </cell>
          <cell r="P886">
            <v>43213</v>
          </cell>
          <cell r="Q886" t="str">
            <v>PAGO DE NOMINA DEL MES DE ABRIL DE 2018 DE LA PLANTA TEMPORAL, PROYECTO 471</v>
          </cell>
          <cell r="R886">
            <v>74912067</v>
          </cell>
          <cell r="S886">
            <v>0</v>
          </cell>
          <cell r="T886">
            <v>0</v>
          </cell>
          <cell r="U886">
            <v>74912067</v>
          </cell>
          <cell r="V886">
            <v>74912067</v>
          </cell>
        </row>
        <row r="887">
          <cell r="J887">
            <v>1903</v>
          </cell>
          <cell r="K887">
            <v>43235</v>
          </cell>
          <cell r="L887" t="str">
            <v>CAJA DE VIVIENDA POPULAR</v>
          </cell>
          <cell r="M887">
            <v>1</v>
          </cell>
          <cell r="N887" t="str">
            <v>RELACION DE AUTORIZACION</v>
          </cell>
          <cell r="O887">
            <v>34</v>
          </cell>
          <cell r="P887">
            <v>43235</v>
          </cell>
          <cell r="Q887" t="str">
            <v>PAGO DE  MI PLANILLA SEGURIDAD SOCIAL Y PARAFISCALES DE FUNCIONARIOS DE PLANTA TEMPORAL DE LA DIRECCIÓN DE URBANIZACIONES Y TITULACIÓN MES DE ABRIL 2018</v>
          </cell>
          <cell r="R887">
            <v>20823700</v>
          </cell>
          <cell r="S887">
            <v>0</v>
          </cell>
          <cell r="T887">
            <v>0</v>
          </cell>
          <cell r="U887">
            <v>20823700</v>
          </cell>
          <cell r="V887">
            <v>20823700</v>
          </cell>
        </row>
        <row r="888">
          <cell r="J888">
            <v>1948</v>
          </cell>
          <cell r="K888">
            <v>43243</v>
          </cell>
          <cell r="L888" t="str">
            <v>CAJA DE VIVIENDA POPULAR</v>
          </cell>
          <cell r="M888">
            <v>1</v>
          </cell>
          <cell r="N888" t="str">
            <v>RELACION DE AUTORIZACION</v>
          </cell>
          <cell r="O888">
            <v>37</v>
          </cell>
          <cell r="P888">
            <v>43243</v>
          </cell>
          <cell r="Q888" t="str">
            <v>PAGO DE NOMINA DE FUNCIONARIOS DE PLANTA TEMPORAL DE LA DIRECCIÓN DE URBANIZACIONES Y TITULACIÓN MES MAYO DE 2018</v>
          </cell>
          <cell r="R888">
            <v>63058562</v>
          </cell>
          <cell r="S888">
            <v>0</v>
          </cell>
          <cell r="T888">
            <v>0</v>
          </cell>
          <cell r="U888">
            <v>63058562</v>
          </cell>
          <cell r="V888">
            <v>63058562</v>
          </cell>
        </row>
        <row r="889">
          <cell r="J889">
            <v>1983</v>
          </cell>
          <cell r="K889">
            <v>43252</v>
          </cell>
          <cell r="L889" t="str">
            <v>CAJA DE VIVIENDA POPULAR</v>
          </cell>
          <cell r="M889">
            <v>1</v>
          </cell>
          <cell r="N889" t="str">
            <v>RELACION DE AUTORIZACION</v>
          </cell>
          <cell r="O889">
            <v>40</v>
          </cell>
          <cell r="P889">
            <v>43252</v>
          </cell>
          <cell r="Q889" t="str">
            <v>PAGO DE LA PRIMA SE SERVICIOS 2018 FUNCIONARIOS DE PLANTA TEMPORAL DE LA DIRECCIÓN DE URBANIZACIONES Y TITULACIÓN</v>
          </cell>
          <cell r="R889">
            <v>84957328</v>
          </cell>
          <cell r="S889">
            <v>0</v>
          </cell>
          <cell r="T889">
            <v>0</v>
          </cell>
          <cell r="U889">
            <v>84957328</v>
          </cell>
          <cell r="V889">
            <v>84957328</v>
          </cell>
        </row>
        <row r="890">
          <cell r="J890">
            <v>2021</v>
          </cell>
          <cell r="K890">
            <v>43266</v>
          </cell>
          <cell r="L890" t="str">
            <v>CAJA DE VIVIENDA POPULAR</v>
          </cell>
          <cell r="M890">
            <v>1</v>
          </cell>
          <cell r="N890" t="str">
            <v>RELACION DE AUTORIZACION</v>
          </cell>
          <cell r="O890">
            <v>43</v>
          </cell>
          <cell r="P890">
            <v>43266</v>
          </cell>
          <cell r="Q890" t="str">
            <v>PAGO DE MI PLANILLA SEGURIDAD SOCIAL Y PARAFISCALES DE  FUNCIONARIOS DE PLANTA TEMPORAL DE LA DIRECCIÓN DE URBANIZACIONES Y TITULACIÓN MES MAYO DE 2018</v>
          </cell>
          <cell r="R890">
            <v>19820900</v>
          </cell>
          <cell r="S890">
            <v>0</v>
          </cell>
          <cell r="T890">
            <v>0</v>
          </cell>
          <cell r="U890">
            <v>19820900</v>
          </cell>
          <cell r="V890">
            <v>19820900</v>
          </cell>
        </row>
        <row r="891">
          <cell r="J891">
            <v>2051</v>
          </cell>
          <cell r="K891">
            <v>43271</v>
          </cell>
          <cell r="L891" t="str">
            <v>CAJA DE VIVIENDA POPULAR</v>
          </cell>
          <cell r="M891">
            <v>1</v>
          </cell>
          <cell r="N891" t="str">
            <v>RELACION DE AUTORIZACION</v>
          </cell>
          <cell r="O891">
            <v>46</v>
          </cell>
          <cell r="P891">
            <v>43271</v>
          </cell>
          <cell r="Q891" t="str">
            <v>PAGO DE NÓMINA DEL MES DE JUNIO 2018 PLANTA TEMPORAL, PROYECTO 471</v>
          </cell>
          <cell r="R891">
            <v>77548868</v>
          </cell>
          <cell r="S891">
            <v>0</v>
          </cell>
          <cell r="T891">
            <v>0</v>
          </cell>
          <cell r="U891">
            <v>77548868</v>
          </cell>
          <cell r="V891">
            <v>77548868</v>
          </cell>
        </row>
        <row r="892">
          <cell r="J892">
            <v>2493</v>
          </cell>
          <cell r="K892">
            <v>43298</v>
          </cell>
          <cell r="L892" t="str">
            <v>CAJA DE VIVIENDA POPULAR</v>
          </cell>
          <cell r="M892">
            <v>1</v>
          </cell>
          <cell r="N892" t="str">
            <v>RELACION DE AUTORIZACION</v>
          </cell>
          <cell r="O892">
            <v>49</v>
          </cell>
          <cell r="P892">
            <v>43298</v>
          </cell>
          <cell r="Q892" t="str">
            <v>PAGO DE MI PLANILLA Y PARAFISCALES DE LA PLANTA TEMPORAL DE LA ENTIDAD DEL MES DE JUNIO DE 2018. PROYECTO 471</v>
          </cell>
          <cell r="R892">
            <v>27308200</v>
          </cell>
          <cell r="S892">
            <v>0</v>
          </cell>
          <cell r="T892">
            <v>0</v>
          </cell>
          <cell r="U892">
            <v>27308200</v>
          </cell>
          <cell r="V892">
            <v>27308200</v>
          </cell>
        </row>
        <row r="893">
          <cell r="J893">
            <v>2527</v>
          </cell>
          <cell r="K893">
            <v>43305</v>
          </cell>
          <cell r="L893" t="str">
            <v>CAJA DE VIVIENDA POPULAR</v>
          </cell>
          <cell r="M893">
            <v>1</v>
          </cell>
          <cell r="N893" t="str">
            <v>RELACION DE AUTORIZACION</v>
          </cell>
          <cell r="O893">
            <v>52</v>
          </cell>
          <cell r="P893">
            <v>43305</v>
          </cell>
          <cell r="Q893" t="str">
            <v>PAGO DE NÓMINA A FUNCIONARIOS DE PLANTA TEMPORAL DE LA DIRECCIÓN DE URBANIZACIONES Y TITULACIÓN MES DE JULIO DE 2018</v>
          </cell>
          <cell r="R893">
            <v>71607211</v>
          </cell>
          <cell r="S893">
            <v>0</v>
          </cell>
          <cell r="T893">
            <v>0</v>
          </cell>
          <cell r="U893">
            <v>71607211</v>
          </cell>
          <cell r="V893">
            <v>71607211</v>
          </cell>
        </row>
        <row r="894">
          <cell r="J894">
            <v>2648</v>
          </cell>
          <cell r="K894">
            <v>43326</v>
          </cell>
          <cell r="L894" t="str">
            <v>CAJA DE VIVIENDA POPULAR</v>
          </cell>
          <cell r="M894">
            <v>1</v>
          </cell>
          <cell r="N894" t="str">
            <v>RELACION DE AUTORIZACION</v>
          </cell>
          <cell r="O894">
            <v>55</v>
          </cell>
          <cell r="P894">
            <v>43326</v>
          </cell>
          <cell r="Q894" t="str">
            <v>PAGO DE MI PLANILLA SEGURIDAD SOCIAL Y PARAFISCALES DE LA PLANTA TEMPORAL DE LA ENTIDAD DEL MES DE JULIO DE 2018 PROYECTO 471</v>
          </cell>
          <cell r="R894">
            <v>20280200</v>
          </cell>
          <cell r="S894">
            <v>0</v>
          </cell>
          <cell r="T894">
            <v>0</v>
          </cell>
          <cell r="U894">
            <v>20280200</v>
          </cell>
          <cell r="V894">
            <v>20280200</v>
          </cell>
        </row>
        <row r="895">
          <cell r="J895">
            <v>2735</v>
          </cell>
          <cell r="K895">
            <v>43336</v>
          </cell>
          <cell r="L895" t="str">
            <v>CAJA DE VIVIENDA POPULAR</v>
          </cell>
          <cell r="M895">
            <v>1</v>
          </cell>
          <cell r="N895" t="str">
            <v>RELACION DE AUTORIZACION</v>
          </cell>
          <cell r="O895">
            <v>58</v>
          </cell>
          <cell r="P895">
            <v>43336</v>
          </cell>
          <cell r="Q895" t="str">
            <v>PAGO DE NOMINA DEL MES DE AGOSTO DE 2018 DE LA PLANTA TEMPORAL PROYECTO 471</v>
          </cell>
          <cell r="R895">
            <v>72303254</v>
          </cell>
          <cell r="S895">
            <v>0</v>
          </cell>
          <cell r="T895">
            <v>0</v>
          </cell>
          <cell r="U895">
            <v>72303254</v>
          </cell>
          <cell r="V895">
            <v>72303254</v>
          </cell>
        </row>
        <row r="896">
          <cell r="J896">
            <v>375</v>
          </cell>
          <cell r="K896">
            <v>43124</v>
          </cell>
          <cell r="L896" t="str">
            <v>CAJA DE VIVIENDA POPULAR</v>
          </cell>
          <cell r="M896">
            <v>1</v>
          </cell>
          <cell r="N896" t="str">
            <v>RELACION DE AUTORIZACION</v>
          </cell>
          <cell r="O896">
            <v>6</v>
          </cell>
          <cell r="P896">
            <v>43124</v>
          </cell>
          <cell r="Q896" t="str">
            <v>PAGO DE NÓMINA DEL MES DE ENERO DE 2018 DE LA PLANTA TEMPORAL, PROYECTO 7328</v>
          </cell>
          <cell r="R896">
            <v>32395026</v>
          </cell>
          <cell r="S896">
            <v>0</v>
          </cell>
          <cell r="T896">
            <v>0</v>
          </cell>
          <cell r="U896">
            <v>32395026</v>
          </cell>
          <cell r="V896">
            <v>25075162</v>
          </cell>
        </row>
        <row r="897">
          <cell r="J897">
            <v>378</v>
          </cell>
          <cell r="K897">
            <v>43124</v>
          </cell>
          <cell r="L897" t="str">
            <v>CAJA DE VIVIENDA POPULAR</v>
          </cell>
          <cell r="M897">
            <v>1</v>
          </cell>
          <cell r="N897" t="str">
            <v>RELACION DE AUTORIZACION</v>
          </cell>
          <cell r="O897">
            <v>7</v>
          </cell>
          <cell r="P897">
            <v>43124</v>
          </cell>
          <cell r="Q897" t="str">
            <v>PAGO DE NÓMINA DEL MES DE ENERO DE 2018 DE LA PLANTA TEMPORAL, PROYECTO 7328</v>
          </cell>
          <cell r="R897">
            <v>3643793</v>
          </cell>
          <cell r="S897">
            <v>0</v>
          </cell>
          <cell r="T897">
            <v>0</v>
          </cell>
          <cell r="U897">
            <v>3643793</v>
          </cell>
          <cell r="V897">
            <v>3643793</v>
          </cell>
        </row>
        <row r="898">
          <cell r="J898">
            <v>758</v>
          </cell>
          <cell r="K898">
            <v>43137</v>
          </cell>
          <cell r="L898" t="str">
            <v>CAJA DE VIVIENDA POPULAR</v>
          </cell>
          <cell r="M898">
            <v>1</v>
          </cell>
          <cell r="N898" t="str">
            <v>RELACION DE AUTORIZACION</v>
          </cell>
          <cell r="O898">
            <v>10</v>
          </cell>
          <cell r="P898">
            <v>43137</v>
          </cell>
          <cell r="Q898" t="str">
            <v>PAGO DE LAS CESANTIAS 2017 DE LA PLANTA TEMPORAL, PROYECTO 7328</v>
          </cell>
          <cell r="R898">
            <v>28804661</v>
          </cell>
          <cell r="S898">
            <v>0</v>
          </cell>
          <cell r="T898">
            <v>0</v>
          </cell>
          <cell r="U898">
            <v>28804661</v>
          </cell>
          <cell r="V898">
            <v>28804661</v>
          </cell>
        </row>
        <row r="899">
          <cell r="J899">
            <v>1021</v>
          </cell>
          <cell r="K899">
            <v>43140</v>
          </cell>
          <cell r="L899" t="str">
            <v>CAJA DE VIVIENDA POPULAR</v>
          </cell>
          <cell r="M899">
            <v>1</v>
          </cell>
          <cell r="N899" t="str">
            <v>RELACION DE AUTORIZACION</v>
          </cell>
          <cell r="O899">
            <v>13</v>
          </cell>
          <cell r="P899">
            <v>43140</v>
          </cell>
          <cell r="Q899" t="str">
            <v>PAGO DE MI PLANILLA SEGURIDAD SOCIAL Y PARAFISCALES DE LA PLANTA TEMPORAL DE LA ENTIDAD DEL MES DE ENERO DE 2018 PROYECTO 7328</v>
          </cell>
          <cell r="R899">
            <v>11586300</v>
          </cell>
          <cell r="S899">
            <v>0</v>
          </cell>
          <cell r="T899">
            <v>0</v>
          </cell>
          <cell r="U899">
            <v>11586300</v>
          </cell>
          <cell r="V899">
            <v>11586300</v>
          </cell>
        </row>
        <row r="900">
          <cell r="J900">
            <v>1386</v>
          </cell>
          <cell r="K900">
            <v>43151</v>
          </cell>
          <cell r="L900" t="str">
            <v>CAJA DE VIVIENDA POPULAR</v>
          </cell>
          <cell r="M900">
            <v>1</v>
          </cell>
          <cell r="N900" t="str">
            <v>RELACION DE AUTORIZACION</v>
          </cell>
          <cell r="O900">
            <v>17</v>
          </cell>
          <cell r="P900">
            <v>43151</v>
          </cell>
          <cell r="Q900" t="str">
            <v>PAGO DE NÓMINA DE FUNCIONARIOS DE PLANTA TEMPORAL DE LA DIRECCIÓN DE MEJORAMIENTO DE VIVIENDA MES DE FEBRERO 2018</v>
          </cell>
          <cell r="R900">
            <v>34931094</v>
          </cell>
          <cell r="S900">
            <v>0</v>
          </cell>
          <cell r="T900">
            <v>0</v>
          </cell>
          <cell r="U900">
            <v>34931094</v>
          </cell>
          <cell r="V900">
            <v>34931094</v>
          </cell>
        </row>
        <row r="901">
          <cell r="J901">
            <v>1531</v>
          </cell>
          <cell r="K901">
            <v>43165</v>
          </cell>
          <cell r="L901" t="str">
            <v>CAJA DE VIVIENDA POPULAR</v>
          </cell>
          <cell r="M901">
            <v>1</v>
          </cell>
          <cell r="N901" t="str">
            <v>RELACION DE AUTORIZACION</v>
          </cell>
          <cell r="O901">
            <v>22</v>
          </cell>
          <cell r="P901">
            <v>43165</v>
          </cell>
          <cell r="Q901" t="str">
            <v>PAGO DE PLANILLA SEGURIDAD SOCIAL Y PARAFISCALES DE LA PLANTA TEMPORAL DE LA ENTIDAD DEL MES DE FEBRERO DE 2018. PROYECTO 7328</v>
          </cell>
          <cell r="R901">
            <v>9883700</v>
          </cell>
          <cell r="S901">
            <v>0</v>
          </cell>
          <cell r="T901">
            <v>0</v>
          </cell>
          <cell r="U901">
            <v>9883700</v>
          </cell>
          <cell r="V901">
            <v>9883700</v>
          </cell>
        </row>
        <row r="902">
          <cell r="J902">
            <v>1607</v>
          </cell>
          <cell r="K902">
            <v>43180</v>
          </cell>
          <cell r="L902" t="str">
            <v>CAJA DE VIVIENDA POPULAR</v>
          </cell>
          <cell r="M902">
            <v>1</v>
          </cell>
          <cell r="N902" t="str">
            <v>RELACION DE AUTORIZACION</v>
          </cell>
          <cell r="O902">
            <v>25</v>
          </cell>
          <cell r="P902">
            <v>43180</v>
          </cell>
          <cell r="Q902" t="str">
            <v>PAGO DE NÓMINA A FUNCIONARIOS DE PLANTA TEMPORAL DE LA DIRECCIÓN DE MEJORAMIENTO DE VIVIENDA MES DE MARZO 2018</v>
          </cell>
          <cell r="R902">
            <v>28900340</v>
          </cell>
          <cell r="S902">
            <v>0</v>
          </cell>
          <cell r="T902">
            <v>0</v>
          </cell>
          <cell r="U902">
            <v>28900340</v>
          </cell>
          <cell r="V902">
            <v>28900340</v>
          </cell>
        </row>
        <row r="903">
          <cell r="J903">
            <v>1797</v>
          </cell>
          <cell r="K903">
            <v>43203</v>
          </cell>
          <cell r="L903" t="str">
            <v>CAJA DE VIVIENDA POPULAR</v>
          </cell>
          <cell r="M903">
            <v>1</v>
          </cell>
          <cell r="N903" t="str">
            <v>RELACION DE AUTORIZACION</v>
          </cell>
          <cell r="O903">
            <v>28</v>
          </cell>
          <cell r="P903">
            <v>43113</v>
          </cell>
          <cell r="Q903" t="str">
            <v>PAGO DE MI PLANILLA SEGURIDAD SOCIAL Y PARAFISCALES DE LA PLANTA TEMPORAL DE LA ENTIDAD DEL MES DE MARZO DE 2018. PROYECTO 7328</v>
          </cell>
          <cell r="R903">
            <v>9855800</v>
          </cell>
          <cell r="S903">
            <v>0</v>
          </cell>
          <cell r="T903">
            <v>0</v>
          </cell>
          <cell r="U903">
            <v>9855800</v>
          </cell>
          <cell r="V903">
            <v>9855800</v>
          </cell>
        </row>
        <row r="904">
          <cell r="J904">
            <v>1833</v>
          </cell>
          <cell r="K904">
            <v>43213</v>
          </cell>
          <cell r="L904" t="str">
            <v>CAJA DE VIVIENDA POPULAR</v>
          </cell>
          <cell r="M904">
            <v>1</v>
          </cell>
          <cell r="N904" t="str">
            <v>RELACION DE AUTORIZACION</v>
          </cell>
          <cell r="O904">
            <v>31</v>
          </cell>
          <cell r="P904">
            <v>43213</v>
          </cell>
          <cell r="Q904" t="str">
            <v>PAGO DE NÓMINA A FUNCIONARIOS DE PLANTA TEMPORAL DE LA DIRECCIÓN DE MEJORAMIENTO DE VIVIENDA MES DE ABRIL 2018</v>
          </cell>
          <cell r="R904">
            <v>28030021</v>
          </cell>
          <cell r="S904">
            <v>0</v>
          </cell>
          <cell r="T904">
            <v>0</v>
          </cell>
          <cell r="U904">
            <v>28030021</v>
          </cell>
          <cell r="V904">
            <v>28030021</v>
          </cell>
        </row>
        <row r="905">
          <cell r="J905">
            <v>1905</v>
          </cell>
          <cell r="K905">
            <v>43235</v>
          </cell>
          <cell r="L905" t="str">
            <v>CAJA DE VIVIENDA POPULAR</v>
          </cell>
          <cell r="M905">
            <v>1</v>
          </cell>
          <cell r="N905" t="str">
            <v>RELACION DE AUTORIZACION</v>
          </cell>
          <cell r="O905">
            <v>34</v>
          </cell>
          <cell r="P905">
            <v>43235</v>
          </cell>
          <cell r="Q905" t="str">
            <v>PAGO DE MI PLANILLA SEGURIDAD SOCIAL Y PARAFISCALES DE LA PLANTA TEMPORAL DE LA ENTIDAD DEL MES DE ABRIL DE 2018, PROYECTO 7328</v>
          </cell>
          <cell r="R905">
            <v>9989200</v>
          </cell>
          <cell r="S905">
            <v>0</v>
          </cell>
          <cell r="T905">
            <v>0</v>
          </cell>
          <cell r="U905">
            <v>9989200</v>
          </cell>
          <cell r="V905">
            <v>9989200</v>
          </cell>
        </row>
        <row r="906">
          <cell r="J906">
            <v>1951</v>
          </cell>
          <cell r="K906">
            <v>43243</v>
          </cell>
          <cell r="L906" t="str">
            <v>CAJA DE VIVIENDA POPULAR</v>
          </cell>
          <cell r="M906">
            <v>1</v>
          </cell>
          <cell r="N906" t="str">
            <v>RELACION DE AUTORIZACION</v>
          </cell>
          <cell r="O906">
            <v>37</v>
          </cell>
          <cell r="P906">
            <v>43243</v>
          </cell>
          <cell r="Q906" t="str">
            <v>PAGO DE NÓMINA DEL MES DE MAYO 2018 DE LA PLANTA TEMPORAL, PROYECTO 7328</v>
          </cell>
          <cell r="R906">
            <v>46020714</v>
          </cell>
          <cell r="S906">
            <v>0</v>
          </cell>
          <cell r="T906">
            <v>0</v>
          </cell>
          <cell r="U906">
            <v>46020714</v>
          </cell>
          <cell r="V906">
            <v>46020714</v>
          </cell>
        </row>
        <row r="907">
          <cell r="J907">
            <v>1985</v>
          </cell>
          <cell r="K907">
            <v>43252</v>
          </cell>
          <cell r="L907" t="str">
            <v>CAJA DE VIVIENDA POPULAR</v>
          </cell>
          <cell r="M907">
            <v>1</v>
          </cell>
          <cell r="N907" t="str">
            <v>RELACION DE AUTORIZACION</v>
          </cell>
          <cell r="O907">
            <v>40</v>
          </cell>
          <cell r="P907">
            <v>43252</v>
          </cell>
          <cell r="Q907" t="str">
            <v>PAGO DE LA PRIMA SE SERVICIOS 2018  FUNCIONARIOS DE PLANTA TEMPORAL DE LA DIRECCIÓN DE MEJORAMIENTO DE VIVIENDA</v>
          </cell>
          <cell r="R907">
            <v>36919090</v>
          </cell>
          <cell r="S907">
            <v>0</v>
          </cell>
          <cell r="T907">
            <v>0</v>
          </cell>
          <cell r="U907">
            <v>36919090</v>
          </cell>
          <cell r="V907">
            <v>36919090</v>
          </cell>
        </row>
        <row r="908">
          <cell r="J908">
            <v>2022</v>
          </cell>
          <cell r="K908">
            <v>43266</v>
          </cell>
          <cell r="L908" t="str">
            <v>CAJA DE VIVIENDA POPULAR</v>
          </cell>
          <cell r="M908">
            <v>1</v>
          </cell>
          <cell r="N908" t="str">
            <v>RELACION DE AUTORIZACION</v>
          </cell>
          <cell r="O908">
            <v>43</v>
          </cell>
          <cell r="P908">
            <v>43266</v>
          </cell>
          <cell r="Q908" t="str">
            <v>PAGO DE MI PLANILLA SEGURIDAD SOCIAL Y PARAFISCALES  DE FUNCIONARIOS DE PLANTA TEMPORAL DE LA DIRECCIÓN DE MEJORAMIENTO DE VIVIENDA MES MAYO DE 2018</v>
          </cell>
          <cell r="R908">
            <v>10737900</v>
          </cell>
          <cell r="S908">
            <v>0</v>
          </cell>
          <cell r="T908">
            <v>0</v>
          </cell>
          <cell r="U908">
            <v>10737900</v>
          </cell>
          <cell r="V908">
            <v>10737900</v>
          </cell>
        </row>
        <row r="909">
          <cell r="J909">
            <v>2049</v>
          </cell>
          <cell r="K909">
            <v>43271</v>
          </cell>
          <cell r="L909" t="str">
            <v>CAJA DE VIVIENDA POPULAR</v>
          </cell>
          <cell r="M909">
            <v>1</v>
          </cell>
          <cell r="N909" t="str">
            <v>RELACION DE AUTORIZACION</v>
          </cell>
          <cell r="O909">
            <v>46</v>
          </cell>
          <cell r="P909">
            <v>43271</v>
          </cell>
          <cell r="Q909" t="str">
            <v>PAGO DE NÓMINA  A FUNCIONARIOS DE PLANTA TEMPORAL DE LA DIRECCIÓN DE MEJORAMIENTO DE VIVIENDA MES DE JUNIO DE 2018</v>
          </cell>
          <cell r="R909">
            <v>23746108</v>
          </cell>
          <cell r="S909">
            <v>0</v>
          </cell>
          <cell r="T909">
            <v>0</v>
          </cell>
          <cell r="U909">
            <v>23746108</v>
          </cell>
          <cell r="V909">
            <v>23746108</v>
          </cell>
        </row>
        <row r="910">
          <cell r="J910">
            <v>2494</v>
          </cell>
          <cell r="K910">
            <v>43298</v>
          </cell>
          <cell r="L910" t="str">
            <v>CAJA DE VIVIENDA POPULAR</v>
          </cell>
          <cell r="M910">
            <v>1</v>
          </cell>
          <cell r="N910" t="str">
            <v>RELACION DE AUTORIZACION</v>
          </cell>
          <cell r="O910">
            <v>49</v>
          </cell>
          <cell r="P910">
            <v>43298</v>
          </cell>
          <cell r="Q910" t="str">
            <v>PAGO DE MI PLANILLA SEGURIDAD SOCIAL Y PARAFISCALES DE LA PLANTA TEMPÓRAL DE LA ENTIDAD DEL MES DE JUNIO DE 2018 . PROYECTO 7328</v>
          </cell>
          <cell r="R910">
            <v>13243600</v>
          </cell>
          <cell r="S910">
            <v>0</v>
          </cell>
          <cell r="T910">
            <v>0</v>
          </cell>
          <cell r="U910">
            <v>13243600</v>
          </cell>
          <cell r="V910">
            <v>13243600</v>
          </cell>
        </row>
        <row r="911">
          <cell r="J911">
            <v>2528</v>
          </cell>
          <cell r="K911">
            <v>43305</v>
          </cell>
          <cell r="L911" t="str">
            <v>CAJA DE VIVIENDA POPULAR</v>
          </cell>
          <cell r="M911">
            <v>1</v>
          </cell>
          <cell r="N911" t="str">
            <v>RELACION DE AUTORIZACION</v>
          </cell>
          <cell r="O911">
            <v>52</v>
          </cell>
          <cell r="P911">
            <v>43305</v>
          </cell>
          <cell r="Q911" t="str">
            <v>PAGO DE NÓMINA A FUNCIONARIOS DE PLANTA TEMPORAL DE LA DIRECCIÓN DE MEJORAMIENTO DE VIVIENDA MES JULIO DE 2018</v>
          </cell>
          <cell r="R911">
            <v>33432692</v>
          </cell>
          <cell r="S911">
            <v>0</v>
          </cell>
          <cell r="T911">
            <v>0</v>
          </cell>
          <cell r="U911">
            <v>33432692</v>
          </cell>
          <cell r="V911">
            <v>33432692</v>
          </cell>
        </row>
        <row r="912">
          <cell r="J912">
            <v>2649</v>
          </cell>
          <cell r="K912">
            <v>43326</v>
          </cell>
          <cell r="L912" t="str">
            <v>CAJA DE VIVIENDA POPULAR</v>
          </cell>
          <cell r="M912">
            <v>1</v>
          </cell>
          <cell r="N912" t="str">
            <v>RELACION DE AUTORIZACION</v>
          </cell>
          <cell r="O912">
            <v>55</v>
          </cell>
          <cell r="P912">
            <v>43326</v>
          </cell>
          <cell r="Q912" t="str">
            <v>PAGO  DE MI PLANILLA SEGURIDAD SOCIAL Y PARAFISCALES DE LA PLANTA TEMPORAL DE LA ENTIDAD DEL MES DE JULIO DE 2018 PROYECTO 7328</v>
          </cell>
          <cell r="R912">
            <v>10291400</v>
          </cell>
          <cell r="S912">
            <v>0</v>
          </cell>
          <cell r="T912">
            <v>0</v>
          </cell>
          <cell r="U912">
            <v>10291400</v>
          </cell>
          <cell r="V912">
            <v>10291400</v>
          </cell>
        </row>
        <row r="913">
          <cell r="J913">
            <v>2732</v>
          </cell>
          <cell r="K913">
            <v>43336</v>
          </cell>
          <cell r="L913" t="str">
            <v>CAJA DE VIVIENDA POPULAR</v>
          </cell>
          <cell r="M913">
            <v>1</v>
          </cell>
          <cell r="N913" t="str">
            <v>RELACION DE AUTORIZACION</v>
          </cell>
          <cell r="O913">
            <v>58</v>
          </cell>
          <cell r="P913">
            <v>43336</v>
          </cell>
          <cell r="Q913" t="str">
            <v>PAGO DE NÓMINA DEL MES DE AGOSTO 2018 DE LA PLANTA TEMPORAL, PROYECTO 7328.</v>
          </cell>
          <cell r="R913">
            <v>24950400</v>
          </cell>
          <cell r="S913">
            <v>0</v>
          </cell>
          <cell r="T913">
            <v>0</v>
          </cell>
          <cell r="U913">
            <v>24950400</v>
          </cell>
          <cell r="V913">
            <v>24950400</v>
          </cell>
        </row>
        <row r="914">
          <cell r="J914">
            <v>757</v>
          </cell>
          <cell r="K914">
            <v>43137</v>
          </cell>
          <cell r="L914" t="str">
            <v>CAJA DE VIVIENDA POPULAR</v>
          </cell>
          <cell r="M914">
            <v>1</v>
          </cell>
          <cell r="N914" t="str">
            <v>RELACION DE AUTORIZACION</v>
          </cell>
          <cell r="O914">
            <v>10</v>
          </cell>
          <cell r="P914">
            <v>43137</v>
          </cell>
          <cell r="Q914" t="str">
            <v>PAGO DE LAS CESANTIAS DEL AÑO 2017 DE LA PLANTA TEMPORAL Y TRANSITORIA, PROYECTO 404.</v>
          </cell>
          <cell r="R914">
            <v>46765412</v>
          </cell>
          <cell r="S914">
            <v>0</v>
          </cell>
          <cell r="T914">
            <v>0</v>
          </cell>
          <cell r="U914">
            <v>46765412</v>
          </cell>
          <cell r="V914">
            <v>46765412</v>
          </cell>
        </row>
        <row r="915">
          <cell r="J915">
            <v>1014</v>
          </cell>
          <cell r="K915">
            <v>43140</v>
          </cell>
          <cell r="L915" t="str">
            <v>CAJA DE VIVIENDA POPULAR</v>
          </cell>
          <cell r="M915">
            <v>1</v>
          </cell>
          <cell r="N915" t="str">
            <v>RELACION DE AUTORIZACION</v>
          </cell>
          <cell r="O915">
            <v>13</v>
          </cell>
          <cell r="P915">
            <v>43140</v>
          </cell>
          <cell r="Q915" t="str">
            <v>PAGO DE MI PLANILLA SEGURIDAD SOCIAL Y PARAFISCALES DE LA PLANTA TEMPORAL DE LA ENTIDAD DEL MES DE ENERO DE 2018.  PROYECTO 404</v>
          </cell>
          <cell r="R915">
            <v>13527500</v>
          </cell>
          <cell r="S915">
            <v>0</v>
          </cell>
          <cell r="T915">
            <v>0</v>
          </cell>
          <cell r="U915">
            <v>13527500</v>
          </cell>
          <cell r="V915">
            <v>13527500</v>
          </cell>
        </row>
        <row r="916">
          <cell r="J916">
            <v>1388</v>
          </cell>
          <cell r="K916">
            <v>43151</v>
          </cell>
          <cell r="L916" t="str">
            <v>CAJA DE VIVIENDA POPULAR</v>
          </cell>
          <cell r="M916">
            <v>1</v>
          </cell>
          <cell r="N916" t="str">
            <v>RELACION DE AUTORIZACION</v>
          </cell>
          <cell r="O916">
            <v>17</v>
          </cell>
          <cell r="P916">
            <v>43151</v>
          </cell>
          <cell r="Q916" t="str">
            <v>PAGO DE NÓMINA DE FUNCIONARIOS DE PLANTA TEMPORAL PROYECTO 404 MES DE FEBRERO DE 2018</v>
          </cell>
          <cell r="R916">
            <v>37705914</v>
          </cell>
          <cell r="S916">
            <v>0</v>
          </cell>
          <cell r="T916">
            <v>0</v>
          </cell>
          <cell r="U916">
            <v>37705914</v>
          </cell>
          <cell r="V916">
            <v>37705914</v>
          </cell>
        </row>
        <row r="917">
          <cell r="J917">
            <v>1389</v>
          </cell>
          <cell r="K917">
            <v>43151</v>
          </cell>
          <cell r="L917" t="str">
            <v>CAJA DE VIVIENDA POPULAR</v>
          </cell>
          <cell r="M917">
            <v>1</v>
          </cell>
          <cell r="N917" t="str">
            <v>RELACION DE AUTORIZACION</v>
          </cell>
          <cell r="O917">
            <v>17</v>
          </cell>
          <cell r="P917">
            <v>43151</v>
          </cell>
          <cell r="Q917" t="str">
            <v>PAGO DE NÓMINA DE FUNCIONARIOS DE PLANTA TRANSITORIA PROYECTO 404 MES DE FEBRERO DE 2018.</v>
          </cell>
          <cell r="R917">
            <v>4317097</v>
          </cell>
          <cell r="S917">
            <v>0</v>
          </cell>
          <cell r="T917">
            <v>0</v>
          </cell>
          <cell r="U917">
            <v>4317097</v>
          </cell>
          <cell r="V917">
            <v>4317097</v>
          </cell>
        </row>
        <row r="918">
          <cell r="J918">
            <v>1532</v>
          </cell>
          <cell r="K918">
            <v>43165</v>
          </cell>
          <cell r="L918" t="str">
            <v>CAJA DE VIVIENDA POPULAR</v>
          </cell>
          <cell r="M918">
            <v>1</v>
          </cell>
          <cell r="N918" t="str">
            <v>RELACION DE AUTORIZACION</v>
          </cell>
          <cell r="O918">
            <v>21</v>
          </cell>
          <cell r="P918">
            <v>43165</v>
          </cell>
          <cell r="Q918" t="str">
            <v>PAGO DE SEGURIDAD SOCIAL Y PARAFISCALES DE FUNCIONARIOS DE PLANTA TRANSITORIA PROYECTO 404 MES DE FEBRERO /2018</v>
          </cell>
          <cell r="R918">
            <v>1296400</v>
          </cell>
          <cell r="S918">
            <v>0</v>
          </cell>
          <cell r="T918">
            <v>0</v>
          </cell>
          <cell r="U918">
            <v>1296400</v>
          </cell>
          <cell r="V918">
            <v>1296400</v>
          </cell>
        </row>
        <row r="919">
          <cell r="J919">
            <v>1536</v>
          </cell>
          <cell r="K919">
            <v>43165</v>
          </cell>
          <cell r="L919" t="str">
            <v>CAJA DE VIVIENDA POPULAR</v>
          </cell>
          <cell r="M919">
            <v>1</v>
          </cell>
          <cell r="N919" t="str">
            <v>RELACION DE AUTORIZACION</v>
          </cell>
          <cell r="O919">
            <v>22</v>
          </cell>
          <cell r="P919">
            <v>43165</v>
          </cell>
          <cell r="Q919" t="str">
            <v>PAGO DE SEGURIDAD SOCIAL Y PARAFISCALES DE FUNCIONARIOS DE PLANTA TEMPORAL PROYECTO 404 MES DE FEBRERO /2018</v>
          </cell>
          <cell r="R919">
            <v>11308500</v>
          </cell>
          <cell r="S919">
            <v>0</v>
          </cell>
          <cell r="T919">
            <v>0</v>
          </cell>
          <cell r="U919">
            <v>11308500</v>
          </cell>
          <cell r="V919">
            <v>11308500</v>
          </cell>
        </row>
        <row r="920">
          <cell r="J920">
            <v>1604</v>
          </cell>
          <cell r="K920">
            <v>43180</v>
          </cell>
          <cell r="L920" t="str">
            <v>CAJA DE VIVIENDA POPULAR</v>
          </cell>
          <cell r="M920">
            <v>1</v>
          </cell>
          <cell r="N920" t="str">
            <v>RELACION DE AUTORIZACION</v>
          </cell>
          <cell r="O920">
            <v>26</v>
          </cell>
          <cell r="P920">
            <v>43180</v>
          </cell>
          <cell r="Q920" t="str">
            <v>PAGO DE NÓMINA DEL MES DE MARZO DE 2018 DE LA PLANTA TRANSITORIA PROYECTO 404</v>
          </cell>
          <cell r="R920">
            <v>5015176</v>
          </cell>
          <cell r="S920">
            <v>0</v>
          </cell>
          <cell r="T920">
            <v>0</v>
          </cell>
          <cell r="U920">
            <v>5015176</v>
          </cell>
          <cell r="V920">
            <v>5015176</v>
          </cell>
        </row>
        <row r="921">
          <cell r="J921">
            <v>1609</v>
          </cell>
          <cell r="K921">
            <v>43180</v>
          </cell>
          <cell r="L921" t="str">
            <v>CAJA DE VIVIENDA POPULAR</v>
          </cell>
          <cell r="M921">
            <v>1</v>
          </cell>
          <cell r="N921" t="str">
            <v>RELACION DE AUTORIZACION</v>
          </cell>
          <cell r="O921">
            <v>25</v>
          </cell>
          <cell r="P921">
            <v>43180</v>
          </cell>
          <cell r="Q921" t="str">
            <v>PAGO DE NÓMINA A FUNCIONARIOS DE PLANTA TEMPORAL PROYECTO 404 MES DE MARZO DE 2018</v>
          </cell>
          <cell r="R921">
            <v>45154734</v>
          </cell>
          <cell r="S921">
            <v>0</v>
          </cell>
          <cell r="T921">
            <v>0</v>
          </cell>
          <cell r="U921">
            <v>45154734</v>
          </cell>
          <cell r="V921">
            <v>45154734</v>
          </cell>
        </row>
        <row r="922">
          <cell r="J922">
            <v>1796</v>
          </cell>
          <cell r="K922">
            <v>43203</v>
          </cell>
          <cell r="L922" t="str">
            <v>CAJA DE VIVIENDA POPULAR</v>
          </cell>
          <cell r="M922">
            <v>1</v>
          </cell>
          <cell r="N922" t="str">
            <v>RELACION DE AUTORIZACION</v>
          </cell>
          <cell r="O922">
            <v>28</v>
          </cell>
          <cell r="P922">
            <v>43203</v>
          </cell>
          <cell r="Q922" t="str">
            <v>PAGO DE MI PLANILLA SEGURIDAD SOCIAL Y PARAFISCALES DE LA PLANTA TEMPORAL DE LA ENTIDAD DEL MES DE MARZO DE 2018. PROYECTO 404.</v>
          </cell>
          <cell r="R922">
            <v>12179100</v>
          </cell>
          <cell r="S922">
            <v>0</v>
          </cell>
          <cell r="T922">
            <v>0</v>
          </cell>
          <cell r="U922">
            <v>12179100</v>
          </cell>
          <cell r="V922">
            <v>12179100</v>
          </cell>
        </row>
        <row r="923">
          <cell r="J923">
            <v>1799</v>
          </cell>
          <cell r="K923">
            <v>43203</v>
          </cell>
          <cell r="L923" t="str">
            <v>CAJA DE VIVIENDA POPULAR</v>
          </cell>
          <cell r="M923">
            <v>1</v>
          </cell>
          <cell r="N923" t="str">
            <v>RELACION DE AUTORIZACION</v>
          </cell>
          <cell r="O923">
            <v>29</v>
          </cell>
          <cell r="P923">
            <v>43203</v>
          </cell>
          <cell r="Q923" t="str">
            <v>PAGO DE MI PLANILLA SEGURIDAD SOCIAL Y PARAFISCALES DE LA PLANTA TRANSITORIA DE LA ENTIDAD DEL MES DE MARZO DE 2018. PROYECTO 404</v>
          </cell>
          <cell r="R923">
            <v>1366100</v>
          </cell>
          <cell r="S923">
            <v>0</v>
          </cell>
          <cell r="T923">
            <v>0</v>
          </cell>
          <cell r="U923">
            <v>1366100</v>
          </cell>
          <cell r="V923">
            <v>1366100</v>
          </cell>
        </row>
        <row r="924">
          <cell r="J924">
            <v>1834</v>
          </cell>
          <cell r="K924">
            <v>43213</v>
          </cell>
          <cell r="L924" t="str">
            <v>CAJA DE VIVIENDA POPULAR</v>
          </cell>
          <cell r="M924">
            <v>1</v>
          </cell>
          <cell r="N924" t="str">
            <v>RELACION DE AUTORIZACION</v>
          </cell>
          <cell r="O924">
            <v>31</v>
          </cell>
          <cell r="P924">
            <v>43213</v>
          </cell>
          <cell r="Q924" t="str">
            <v>PAGO DE NÓMINA A FUNCIONARIOS DE PLANTA TEMPORAL PROYECTO 404 MES DE ABRIL DE 2018</v>
          </cell>
          <cell r="R924">
            <v>39714400</v>
          </cell>
          <cell r="S924">
            <v>0</v>
          </cell>
          <cell r="T924">
            <v>0</v>
          </cell>
          <cell r="U924">
            <v>39714400</v>
          </cell>
          <cell r="V924">
            <v>39714400</v>
          </cell>
        </row>
        <row r="925">
          <cell r="J925">
            <v>1835</v>
          </cell>
          <cell r="K925">
            <v>43213</v>
          </cell>
          <cell r="L925" t="str">
            <v>CAJA DE VIVIENDA POPULAR</v>
          </cell>
          <cell r="M925">
            <v>1</v>
          </cell>
          <cell r="N925" t="str">
            <v>RELACION DE AUTORIZACION</v>
          </cell>
          <cell r="O925">
            <v>30</v>
          </cell>
          <cell r="P925">
            <v>43213</v>
          </cell>
          <cell r="Q925" t="str">
            <v>PAGO DE NÓMINA A FUNCIONARIOS DE PLANTA TRANSITORIA PROYECTO 404 MES DE ABRIL 2018</v>
          </cell>
          <cell r="R925">
            <v>4549790</v>
          </cell>
          <cell r="S925">
            <v>0</v>
          </cell>
          <cell r="T925">
            <v>0</v>
          </cell>
          <cell r="U925">
            <v>4549790</v>
          </cell>
          <cell r="V925">
            <v>4549790</v>
          </cell>
        </row>
        <row r="926">
          <cell r="J926">
            <v>1906</v>
          </cell>
          <cell r="K926">
            <v>43235</v>
          </cell>
          <cell r="L926" t="str">
            <v>CAJA DE VIVIENDA POPULAR</v>
          </cell>
          <cell r="M926">
            <v>1</v>
          </cell>
          <cell r="N926" t="str">
            <v>RELACION DE AUTORIZACION</v>
          </cell>
          <cell r="O926">
            <v>34</v>
          </cell>
          <cell r="P926">
            <v>43235</v>
          </cell>
          <cell r="Q926" t="str">
            <v>PAGO DE MI PLANILLA SEGURIDAD SOCIAL Y PARAFISCALES DE LA PLANTA TEMPORAL DE LA ENTIDAD DEL MES DE ABRIL DE 2018, PROYECTO 404</v>
          </cell>
          <cell r="R926">
            <v>11924700</v>
          </cell>
          <cell r="S926">
            <v>0</v>
          </cell>
          <cell r="T926">
            <v>0</v>
          </cell>
          <cell r="U926">
            <v>11924700</v>
          </cell>
          <cell r="V926">
            <v>11924700</v>
          </cell>
        </row>
        <row r="927">
          <cell r="J927">
            <v>1907</v>
          </cell>
          <cell r="K927">
            <v>43235</v>
          </cell>
          <cell r="L927" t="str">
            <v>CAJA DE VIVIENDA POPULAR</v>
          </cell>
          <cell r="M927">
            <v>1</v>
          </cell>
          <cell r="N927" t="str">
            <v>RELACION DE AUTORIZACION</v>
          </cell>
          <cell r="O927">
            <v>35</v>
          </cell>
          <cell r="P927">
            <v>43235</v>
          </cell>
          <cell r="Q927" t="str">
            <v>PAGO DE MI PLANILLA SEGURIDAD SOCIAL Y PARAFISCALES DE LA PLANTA TRANSITORIA DE LA ENTIDAD DEL MES DE ABRIL DE 2018, PROYECTO 404</v>
          </cell>
          <cell r="R927">
            <v>1366100</v>
          </cell>
          <cell r="S927">
            <v>0</v>
          </cell>
          <cell r="T927">
            <v>0</v>
          </cell>
          <cell r="U927">
            <v>1366100</v>
          </cell>
          <cell r="V927">
            <v>1366100</v>
          </cell>
        </row>
        <row r="928">
          <cell r="J928">
            <v>1950</v>
          </cell>
          <cell r="K928">
            <v>43243</v>
          </cell>
          <cell r="L928" t="str">
            <v>CAJA DE VIVIENDA POPULAR</v>
          </cell>
          <cell r="M928">
            <v>1</v>
          </cell>
          <cell r="N928" t="str">
            <v>RELACION DE AUTORIZACION</v>
          </cell>
          <cell r="O928">
            <v>37</v>
          </cell>
          <cell r="P928">
            <v>43243</v>
          </cell>
          <cell r="Q928" t="str">
            <v>PAGO DE NÓMINA PARA FUNCIONARIOS DE PLANTA TEMPORAL MES DE MAYO DE 2018</v>
          </cell>
          <cell r="R928">
            <v>45934307</v>
          </cell>
          <cell r="S928">
            <v>0</v>
          </cell>
          <cell r="T928">
            <v>0</v>
          </cell>
          <cell r="U928">
            <v>45934307</v>
          </cell>
          <cell r="V928">
            <v>45934307</v>
          </cell>
        </row>
        <row r="929">
          <cell r="J929">
            <v>1952</v>
          </cell>
          <cell r="K929">
            <v>43243</v>
          </cell>
          <cell r="L929" t="str">
            <v>CAJA DE VIVIENDA POPULAR</v>
          </cell>
          <cell r="M929">
            <v>1</v>
          </cell>
          <cell r="N929" t="str">
            <v>RELACION DE AUTORIZACION</v>
          </cell>
          <cell r="O929">
            <v>38</v>
          </cell>
          <cell r="P929">
            <v>43243</v>
          </cell>
          <cell r="Q929" t="str">
            <v>PAGO DE NÓMINA PARA FUNCIONARIOS DE PLANTA TRANSITORIA PROYECTO 404 MES DE MAYO DE 2018</v>
          </cell>
          <cell r="R929">
            <v>4549790</v>
          </cell>
          <cell r="S929">
            <v>0</v>
          </cell>
          <cell r="T929">
            <v>0</v>
          </cell>
          <cell r="U929">
            <v>4549790</v>
          </cell>
          <cell r="V929">
            <v>4549790</v>
          </cell>
        </row>
        <row r="930">
          <cell r="J930">
            <v>1981</v>
          </cell>
          <cell r="K930">
            <v>43252</v>
          </cell>
          <cell r="L930" t="str">
            <v>CAJA DE VIVIENDA POPULAR</v>
          </cell>
          <cell r="M930">
            <v>1</v>
          </cell>
          <cell r="N930" t="str">
            <v>RELACION DE AUTORIZACION</v>
          </cell>
          <cell r="O930">
            <v>40</v>
          </cell>
          <cell r="P930">
            <v>43252</v>
          </cell>
          <cell r="Q930" t="str">
            <v>PAGO DE LA PRIMA SE SERVICIOS 2018 FUNCIONARIOS DE PLANTA TEMPORAL PROYECTO 404</v>
          </cell>
          <cell r="R930">
            <v>50287294</v>
          </cell>
          <cell r="S930">
            <v>0</v>
          </cell>
          <cell r="T930">
            <v>0</v>
          </cell>
          <cell r="U930">
            <v>50287294</v>
          </cell>
          <cell r="V930">
            <v>50287294</v>
          </cell>
        </row>
        <row r="931">
          <cell r="J931">
            <v>1988</v>
          </cell>
          <cell r="K931">
            <v>43252</v>
          </cell>
          <cell r="L931" t="str">
            <v>CAJA DE VIVIENDA POPULAR</v>
          </cell>
          <cell r="M931">
            <v>1</v>
          </cell>
          <cell r="N931" t="str">
            <v>RELACION DE AUTORIZACION</v>
          </cell>
          <cell r="O931">
            <v>41</v>
          </cell>
          <cell r="P931">
            <v>43252</v>
          </cell>
          <cell r="Q931" t="str">
            <v>PAGO DE LA PRIMA SE SERVICIOS 2018  FUNCIONARIOS DE PLANTA TRANSITORIA PROYECTO 404</v>
          </cell>
          <cell r="R931">
            <v>5722333</v>
          </cell>
          <cell r="S931">
            <v>0</v>
          </cell>
          <cell r="T931">
            <v>0</v>
          </cell>
          <cell r="U931">
            <v>5722333</v>
          </cell>
          <cell r="V931">
            <v>5722333</v>
          </cell>
        </row>
        <row r="932">
          <cell r="J932">
            <v>2019</v>
          </cell>
          <cell r="K932">
            <v>43266</v>
          </cell>
          <cell r="L932" t="str">
            <v>CAJA DE VIVIENDA POPULAR</v>
          </cell>
          <cell r="M932">
            <v>1</v>
          </cell>
          <cell r="N932" t="str">
            <v>RELACION DE AUTORIZACION</v>
          </cell>
          <cell r="O932">
            <v>44</v>
          </cell>
          <cell r="P932">
            <v>43266</v>
          </cell>
          <cell r="Q932" t="str">
            <v>PAGO DE MI PLANILLA SEGURIDAD SOCIAL Y PARAFISCALES DE LA PLANTA TRANSITORIA DE LA ENTIDAD DEL MES DE MAYO DE 2018. PROYECTO 404</v>
          </cell>
          <cell r="R932">
            <v>1366100</v>
          </cell>
          <cell r="S932">
            <v>0</v>
          </cell>
          <cell r="T932">
            <v>0</v>
          </cell>
          <cell r="U932">
            <v>1366100</v>
          </cell>
          <cell r="V932">
            <v>1366100</v>
          </cell>
        </row>
        <row r="933">
          <cell r="J933">
            <v>2023</v>
          </cell>
          <cell r="K933">
            <v>43266</v>
          </cell>
          <cell r="L933" t="str">
            <v>CAJA DE VIVIENDA POPULAR</v>
          </cell>
          <cell r="M933">
            <v>1</v>
          </cell>
          <cell r="N933" t="str">
            <v>RELACION DE AUTORIZACION</v>
          </cell>
          <cell r="O933">
            <v>43</v>
          </cell>
          <cell r="P933">
            <v>43266</v>
          </cell>
          <cell r="Q933" t="str">
            <v>PAGO DE MI PLANILLA SEGURIDAD SOCIAL Y PARAFISCALES DEFUNCIONARIOS DE PLANTA TEMPORAL PRPOYECTO 404 MES MAYO DE 2018</v>
          </cell>
          <cell r="R933">
            <v>12172900</v>
          </cell>
          <cell r="S933">
            <v>0</v>
          </cell>
          <cell r="T933">
            <v>0</v>
          </cell>
          <cell r="U933">
            <v>12172900</v>
          </cell>
          <cell r="V933">
            <v>12172900</v>
          </cell>
        </row>
        <row r="934">
          <cell r="J934">
            <v>2052</v>
          </cell>
          <cell r="K934">
            <v>43271</v>
          </cell>
          <cell r="L934" t="str">
            <v>CAJA DE VIVIENDA POPULAR</v>
          </cell>
          <cell r="M934">
            <v>1</v>
          </cell>
          <cell r="N934" t="str">
            <v>RELACION DE AUTORIZACION</v>
          </cell>
          <cell r="O934">
            <v>46</v>
          </cell>
          <cell r="P934">
            <v>43271</v>
          </cell>
          <cell r="Q934" t="str">
            <v>PAGO DE NÓMINA A FUNCIONARIOS DE PLANTA TEMPORAL PROYECTO 404 MES JUNIO DE 2018</v>
          </cell>
          <cell r="R934">
            <v>68557451</v>
          </cell>
          <cell r="S934">
            <v>0</v>
          </cell>
          <cell r="T934">
            <v>0</v>
          </cell>
          <cell r="U934">
            <v>68557451</v>
          </cell>
          <cell r="V934">
            <v>68557451</v>
          </cell>
        </row>
        <row r="935">
          <cell r="J935">
            <v>2055</v>
          </cell>
          <cell r="K935">
            <v>43271</v>
          </cell>
          <cell r="L935" t="str">
            <v>CAJA DE VIVIENDA POPULAR</v>
          </cell>
          <cell r="M935">
            <v>1</v>
          </cell>
          <cell r="N935" t="str">
            <v>RELACION DE AUTORIZACION</v>
          </cell>
          <cell r="O935">
            <v>47</v>
          </cell>
          <cell r="P935">
            <v>43271</v>
          </cell>
          <cell r="Q935" t="str">
            <v>PAGO DE NÓMINA A FUNCIONARIOS DE PLANTA TRANSITORIA PROYECTO 404 MES JUNIO DE 2018</v>
          </cell>
          <cell r="R935">
            <v>10166950</v>
          </cell>
          <cell r="S935">
            <v>0</v>
          </cell>
          <cell r="T935">
            <v>0</v>
          </cell>
          <cell r="U935">
            <v>10166950</v>
          </cell>
          <cell r="V935">
            <v>10166950</v>
          </cell>
        </row>
        <row r="936">
          <cell r="J936">
            <v>2491</v>
          </cell>
          <cell r="K936">
            <v>43298</v>
          </cell>
          <cell r="L936" t="str">
            <v>CAJA DE VIVIENDA POPULAR</v>
          </cell>
          <cell r="M936">
            <v>1</v>
          </cell>
          <cell r="N936" t="str">
            <v>RELACION DE AUTORIZACION</v>
          </cell>
          <cell r="O936">
            <v>49</v>
          </cell>
          <cell r="P936">
            <v>43298</v>
          </cell>
          <cell r="Q936" t="str">
            <v>PAGO DE MI PLANILLA SEGURIDAD SOCIAL Y PARAFISCALES DE LA PLANTA TEMPORAL DE LA ENTIDAD DEL MES DE JUNIO DE 2018 PROYECTO 404</v>
          </cell>
          <cell r="R936">
            <v>17764900</v>
          </cell>
          <cell r="S936">
            <v>0</v>
          </cell>
          <cell r="T936">
            <v>0</v>
          </cell>
          <cell r="U936">
            <v>17764900</v>
          </cell>
          <cell r="V936">
            <v>17764900</v>
          </cell>
        </row>
        <row r="937">
          <cell r="J937">
            <v>2495</v>
          </cell>
          <cell r="K937">
            <v>43298</v>
          </cell>
          <cell r="L937" t="str">
            <v>CAJA DE VIVIENDA POPULAR</v>
          </cell>
          <cell r="M937">
            <v>1</v>
          </cell>
          <cell r="N937" t="str">
            <v>RELACION DE AUTORIZACION</v>
          </cell>
          <cell r="O937">
            <v>50</v>
          </cell>
          <cell r="P937">
            <v>43298</v>
          </cell>
          <cell r="Q937" t="str">
            <v>PAGO DE MI PLANILLA SEGURIDAD SOCIAL Y PARAFISCALES DE LA PLANTA TRANSITORIA DE LA ENTIDAD DEL MES DE JUNIO DE 2018 PROYECTO 404</v>
          </cell>
          <cell r="R937">
            <v>2114100</v>
          </cell>
          <cell r="S937">
            <v>0</v>
          </cell>
          <cell r="T937">
            <v>0</v>
          </cell>
          <cell r="U937">
            <v>2114100</v>
          </cell>
          <cell r="V937">
            <v>2114100</v>
          </cell>
        </row>
        <row r="938">
          <cell r="J938">
            <v>2522</v>
          </cell>
          <cell r="K938">
            <v>43305</v>
          </cell>
          <cell r="L938" t="str">
            <v>CAJA DE VIVIENDA POPULAR</v>
          </cell>
          <cell r="M938">
            <v>1</v>
          </cell>
          <cell r="N938" t="str">
            <v>RELACION DE AUTORIZACION</v>
          </cell>
          <cell r="O938">
            <v>53</v>
          </cell>
          <cell r="P938">
            <v>43305</v>
          </cell>
          <cell r="Q938" t="str">
            <v>PAGO DE NÓMINA DEL MES DE JULIO DE 2018 DE PLANTA TRANSITORIA PROYECTO 404</v>
          </cell>
          <cell r="R938">
            <v>2123236</v>
          </cell>
          <cell r="S938">
            <v>0</v>
          </cell>
          <cell r="T938">
            <v>0</v>
          </cell>
          <cell r="U938">
            <v>2123236</v>
          </cell>
          <cell r="V938">
            <v>2123236</v>
          </cell>
        </row>
        <row r="939">
          <cell r="J939">
            <v>2530</v>
          </cell>
          <cell r="K939">
            <v>43305</v>
          </cell>
          <cell r="L939" t="str">
            <v>CAJA DE VIVIENDA POPULAR</v>
          </cell>
          <cell r="M939">
            <v>1</v>
          </cell>
          <cell r="N939" t="str">
            <v>RELACION DE AUTORIZACION</v>
          </cell>
          <cell r="O939">
            <v>52</v>
          </cell>
          <cell r="P939">
            <v>43305</v>
          </cell>
          <cell r="Q939" t="str">
            <v>PAGO DE NÓMINA A FUNCIONARIOS DE PLANTA TEMPORAL PROYECTO 404 MES JULIO DE 2018</v>
          </cell>
          <cell r="R939">
            <v>28560572</v>
          </cell>
          <cell r="S939">
            <v>0</v>
          </cell>
          <cell r="T939">
            <v>0</v>
          </cell>
          <cell r="U939">
            <v>28560572</v>
          </cell>
          <cell r="V939">
            <v>28560572</v>
          </cell>
        </row>
        <row r="940">
          <cell r="J940">
            <v>2645</v>
          </cell>
          <cell r="K940">
            <v>43326</v>
          </cell>
          <cell r="L940" t="str">
            <v>CAJA DE VIVIENDA POPULAR</v>
          </cell>
          <cell r="M940">
            <v>1</v>
          </cell>
          <cell r="N940" t="str">
            <v>RELACION DE AUTORIZACION</v>
          </cell>
          <cell r="O940">
            <v>56</v>
          </cell>
          <cell r="P940">
            <v>43326</v>
          </cell>
          <cell r="Q940" t="str">
            <v>PAGO DE MI PLANILLA SEGURIDAD SOCIAL Y PARAFISCALES A FUNCIONARIOS DE PLANTA TRANSITORIA PROYECTO 404 MES DE JULIO DE 2018</v>
          </cell>
          <cell r="R940">
            <v>1359900</v>
          </cell>
          <cell r="S940">
            <v>0</v>
          </cell>
          <cell r="T940">
            <v>0</v>
          </cell>
          <cell r="U940">
            <v>1359900</v>
          </cell>
          <cell r="V940">
            <v>1359900</v>
          </cell>
        </row>
        <row r="941">
          <cell r="J941">
            <v>2650</v>
          </cell>
          <cell r="K941">
            <v>43326</v>
          </cell>
          <cell r="L941" t="str">
            <v>CAJA DE VIVIENDA POPULAR</v>
          </cell>
          <cell r="M941">
            <v>1</v>
          </cell>
          <cell r="N941" t="str">
            <v>RELACION DE AUTORIZACION</v>
          </cell>
          <cell r="O941">
            <v>55</v>
          </cell>
          <cell r="P941">
            <v>43326</v>
          </cell>
          <cell r="Q941" t="str">
            <v>PAGO D EMI PLANILLA SEGURIDAD SOCIAL Y PARAFISCALES DE LA PLANTA TEMPORAL DE LA ENTIDAD DEL MES DE JULIO DE 2018 PROYECTO 404</v>
          </cell>
          <cell r="R941">
            <v>11921900</v>
          </cell>
          <cell r="S941">
            <v>0</v>
          </cell>
          <cell r="T941">
            <v>0</v>
          </cell>
          <cell r="U941">
            <v>11921900</v>
          </cell>
          <cell r="V941">
            <v>11921900</v>
          </cell>
        </row>
        <row r="942">
          <cell r="J942">
            <v>2667</v>
          </cell>
          <cell r="K942">
            <v>43328</v>
          </cell>
          <cell r="L942" t="str">
            <v>CAJA DE VIVIENDA POPULAR</v>
          </cell>
          <cell r="M942">
            <v>1</v>
          </cell>
          <cell r="N942" t="str">
            <v>RELACION DE AUTORIZACION</v>
          </cell>
          <cell r="O942">
            <v>50</v>
          </cell>
          <cell r="P942">
            <v>43328</v>
          </cell>
          <cell r="Q942" t="str">
            <v>PAGO DE MI PLANILLA SEGURIDAD SOCIAL Y PARAFISCALES DE LA PLANTA TRANSITORIA DE LA ENTIDAD DEL MES DE JUNIO DE 2018 (AJUSTE POR  MENOR VALOR PAGADO) . PROYECTO 404</v>
          </cell>
          <cell r="R942">
            <v>30000</v>
          </cell>
          <cell r="S942">
            <v>0</v>
          </cell>
          <cell r="T942">
            <v>0</v>
          </cell>
          <cell r="U942">
            <v>30000</v>
          </cell>
          <cell r="V942">
            <v>30000</v>
          </cell>
        </row>
        <row r="943">
          <cell r="J943">
            <v>2731</v>
          </cell>
          <cell r="K943">
            <v>43336</v>
          </cell>
          <cell r="L943" t="str">
            <v>CAJA DE VIVIENDA POPULAR</v>
          </cell>
          <cell r="M943">
            <v>1</v>
          </cell>
          <cell r="N943" t="str">
            <v>RELACION DE AUTORIZACION</v>
          </cell>
          <cell r="O943">
            <v>59</v>
          </cell>
          <cell r="P943">
            <v>43336</v>
          </cell>
          <cell r="Q943" t="str">
            <v>PAGO DE NÓMINA DEL MES DE AGOSTO DE 2018 DE LA PLANTA TRANSITORIA PROYECTO 404</v>
          </cell>
          <cell r="R943">
            <v>4549790</v>
          </cell>
          <cell r="S943">
            <v>0</v>
          </cell>
          <cell r="T943">
            <v>0</v>
          </cell>
          <cell r="U943">
            <v>4549790</v>
          </cell>
          <cell r="V943">
            <v>4549790</v>
          </cell>
        </row>
        <row r="944">
          <cell r="J944">
            <v>2736</v>
          </cell>
          <cell r="K944">
            <v>43336</v>
          </cell>
          <cell r="L944" t="str">
            <v>CAJA DE VIVIENDA POPULAR</v>
          </cell>
          <cell r="M944">
            <v>1</v>
          </cell>
          <cell r="N944" t="str">
            <v>RELACION DE AUTORIZACION</v>
          </cell>
          <cell r="O944">
            <v>58</v>
          </cell>
          <cell r="P944">
            <v>43336</v>
          </cell>
          <cell r="Q944" t="str">
            <v>PAGO DE NÓMINA DEL MES DE AGOSTO DE 2018 DE LA PLANTA TEMPORAL PROYECTO 404</v>
          </cell>
          <cell r="R944">
            <v>33252459</v>
          </cell>
          <cell r="S944">
            <v>0</v>
          </cell>
          <cell r="T944">
            <v>0</v>
          </cell>
          <cell r="U944">
            <v>33252459</v>
          </cell>
          <cell r="V944">
            <v>33252459</v>
          </cell>
        </row>
        <row r="945">
          <cell r="J945">
            <v>307</v>
          </cell>
          <cell r="K945">
            <v>43122</v>
          </cell>
          <cell r="L945" t="str">
            <v>EMPRESA DE TELECOMUNICACIONES DE BOGOTA SA ESP</v>
          </cell>
          <cell r="M945">
            <v>28</v>
          </cell>
          <cell r="N945" t="str">
            <v>FACTURAS</v>
          </cell>
          <cell r="O945">
            <v>565515</v>
          </cell>
          <cell r="P945">
            <v>43122</v>
          </cell>
          <cell r="Q945" t="str">
            <v>PAGO DE INTERNET DE LA CAJA DE LA VIVIENDA POPULAR, PERIODO FACTURADO 01 DE DICIEMBRE DE 2017-31 DE DICIEMBRE DE 2017</v>
          </cell>
          <cell r="R945">
            <v>747183</v>
          </cell>
          <cell r="S945">
            <v>0</v>
          </cell>
          <cell r="T945">
            <v>0</v>
          </cell>
          <cell r="U945">
            <v>747183</v>
          </cell>
          <cell r="V945">
            <v>747183</v>
          </cell>
        </row>
        <row r="946">
          <cell r="J946">
            <v>319</v>
          </cell>
          <cell r="K946">
            <v>43122</v>
          </cell>
          <cell r="L946" t="str">
            <v>EMPRESA DE TELECOMUNICACIONES DE BOGOTA SA ESP</v>
          </cell>
          <cell r="M946">
            <v>28</v>
          </cell>
          <cell r="N946" t="str">
            <v>FACTURAS</v>
          </cell>
          <cell r="O946">
            <v>565515</v>
          </cell>
          <cell r="P946">
            <v>43122</v>
          </cell>
          <cell r="Q946" t="str">
            <v>PAGO DE INTERNET DE LA CAJA DE LA VIVIENDA POPULAR, FACTURA 247565515</v>
          </cell>
          <cell r="R946">
            <v>191533</v>
          </cell>
          <cell r="S946">
            <v>0</v>
          </cell>
          <cell r="T946">
            <v>0</v>
          </cell>
          <cell r="U946">
            <v>191533</v>
          </cell>
          <cell r="V946">
            <v>191533</v>
          </cell>
        </row>
        <row r="947">
          <cell r="J947">
            <v>488</v>
          </cell>
          <cell r="K947">
            <v>43126</v>
          </cell>
          <cell r="L947" t="str">
            <v>COLOMBIA TELECOMUNICACIONES S A E S P</v>
          </cell>
          <cell r="M947">
            <v>28</v>
          </cell>
          <cell r="N947" t="str">
            <v>FACTURAS</v>
          </cell>
          <cell r="O947">
            <v>43506</v>
          </cell>
          <cell r="P947">
            <v>43126</v>
          </cell>
          <cell r="Q947" t="str">
            <v>PAGO DE SERVICIO DE TELEFONÍA CELULAR DE LA CAJA DE CICIENDA POPULAR, PERIODO FACTURADO 17 DE ENERO DE 2018- 16 DE FEBRERO DE 2018</v>
          </cell>
          <cell r="R947">
            <v>654012</v>
          </cell>
          <cell r="S947">
            <v>0</v>
          </cell>
          <cell r="T947">
            <v>0</v>
          </cell>
          <cell r="U947">
            <v>654012</v>
          </cell>
          <cell r="V947">
            <v>654012</v>
          </cell>
        </row>
        <row r="948">
          <cell r="J948">
            <v>1457</v>
          </cell>
          <cell r="K948">
            <v>43153</v>
          </cell>
          <cell r="L948" t="str">
            <v>EMPRESA DE TELECOMUNICACIONES DE BOGOTA SA ESP</v>
          </cell>
          <cell r="M948">
            <v>28</v>
          </cell>
          <cell r="N948" t="str">
            <v>FACTURAS</v>
          </cell>
          <cell r="O948">
            <v>37984</v>
          </cell>
          <cell r="P948">
            <v>43153</v>
          </cell>
          <cell r="Q948" t="str">
            <v>PAGO DE SERVICIO DE INTERNET DE LA CAJA DE VIVIENDA POPULAR, PERIODO FACTURADO 01 DE ENERO DE 2018 - 31 DE ENERO DE 2018</v>
          </cell>
          <cell r="R948">
            <v>747185</v>
          </cell>
          <cell r="S948">
            <v>0</v>
          </cell>
          <cell r="T948">
            <v>0</v>
          </cell>
          <cell r="U948">
            <v>747185</v>
          </cell>
          <cell r="V948">
            <v>747185</v>
          </cell>
        </row>
        <row r="949">
          <cell r="J949">
            <v>1467</v>
          </cell>
          <cell r="K949">
            <v>43154</v>
          </cell>
          <cell r="L949" t="str">
            <v>COLOMBIA TELECOMUNICACIONES S A E S P</v>
          </cell>
          <cell r="M949">
            <v>28</v>
          </cell>
          <cell r="N949" t="str">
            <v>FACTURAS</v>
          </cell>
          <cell r="O949">
            <v>16154</v>
          </cell>
          <cell r="P949">
            <v>43154</v>
          </cell>
          <cell r="Q949" t="str">
            <v>PAGO DE SERVICIO DE TELEFONÍA CELULAR DE LA CAJA DE VIVIENDA POPULAR, PERÍODO FACTURADO 17 DE FEBRERO DE 2018 - 16 DE MARZO DE 2018</v>
          </cell>
          <cell r="R949">
            <v>655108</v>
          </cell>
          <cell r="S949">
            <v>0</v>
          </cell>
          <cell r="T949">
            <v>0</v>
          </cell>
          <cell r="U949">
            <v>655108</v>
          </cell>
          <cell r="V949">
            <v>655108</v>
          </cell>
        </row>
        <row r="950">
          <cell r="J950">
            <v>1620</v>
          </cell>
          <cell r="K950">
            <v>43181</v>
          </cell>
          <cell r="L950" t="str">
            <v>EMPRESA DE TELECOMUNICACIONES DE BOGOTA SA ESP</v>
          </cell>
          <cell r="M950">
            <v>28</v>
          </cell>
          <cell r="N950" t="str">
            <v>FACTURAS</v>
          </cell>
          <cell r="O950">
            <v>20173</v>
          </cell>
          <cell r="P950">
            <v>43181</v>
          </cell>
          <cell r="Q950" t="str">
            <v>PAGO DE INTERNET DE LA CAJA DE LA VIVIENDA POPULAR PERIODO FACTURADO FEBRERO 01 AL 28 DE 2018</v>
          </cell>
          <cell r="R950">
            <v>748900</v>
          </cell>
          <cell r="S950">
            <v>0</v>
          </cell>
          <cell r="T950">
            <v>0</v>
          </cell>
          <cell r="U950">
            <v>748900</v>
          </cell>
          <cell r="V950">
            <v>748900</v>
          </cell>
        </row>
        <row r="951">
          <cell r="J951">
            <v>1659</v>
          </cell>
          <cell r="K951">
            <v>43185</v>
          </cell>
          <cell r="L951" t="str">
            <v>COLOMBIA TELECOMUNICACIONES S A E S P</v>
          </cell>
          <cell r="M951">
            <v>28</v>
          </cell>
          <cell r="N951" t="str">
            <v>FACTURAS</v>
          </cell>
          <cell r="O951">
            <v>11910</v>
          </cell>
          <cell r="P951">
            <v>43185</v>
          </cell>
          <cell r="Q951" t="str">
            <v>PAGO DE SERVICIO DE TELEFONÍA CELULAR DE LA CAJA DE VIVIENDA POPULAR, PERÍODO FACTURADO 17 DE MARZO AL 16 DE ABRIL DE 2018</v>
          </cell>
          <cell r="R951">
            <v>654012</v>
          </cell>
          <cell r="S951">
            <v>0</v>
          </cell>
          <cell r="T951">
            <v>0</v>
          </cell>
          <cell r="U951">
            <v>654012</v>
          </cell>
          <cell r="V951">
            <v>654012</v>
          </cell>
        </row>
        <row r="952">
          <cell r="J952">
            <v>1813</v>
          </cell>
          <cell r="K952">
            <v>43209</v>
          </cell>
          <cell r="L952" t="str">
            <v>EMPRESA DE TELECOMUNICACIONES DE BOGOTA SA ESP</v>
          </cell>
          <cell r="M952">
            <v>28</v>
          </cell>
          <cell r="N952" t="str">
            <v>FACTURAS</v>
          </cell>
          <cell r="O952">
            <v>971377</v>
          </cell>
          <cell r="P952">
            <v>43209</v>
          </cell>
          <cell r="Q952" t="str">
            <v>PAGO DE INTERNET DE LA CAJA DE LA VIVIENDA POPULAR PERIODO FACTURADO : MARZO 1-31 DE 2018</v>
          </cell>
          <cell r="R952">
            <v>748901</v>
          </cell>
          <cell r="S952">
            <v>0</v>
          </cell>
          <cell r="T952">
            <v>0</v>
          </cell>
          <cell r="U952">
            <v>748901</v>
          </cell>
          <cell r="V952">
            <v>748901</v>
          </cell>
        </row>
        <row r="953">
          <cell r="J953">
            <v>1847</v>
          </cell>
          <cell r="K953">
            <v>43217</v>
          </cell>
          <cell r="L953" t="str">
            <v>COLOMBIA TELECOMUNICACIONES S A E S P</v>
          </cell>
          <cell r="M953">
            <v>28</v>
          </cell>
          <cell r="N953" t="str">
            <v>FACTURAS</v>
          </cell>
          <cell r="O953">
            <v>493615</v>
          </cell>
          <cell r="P953">
            <v>43217</v>
          </cell>
          <cell r="Q953" t="str">
            <v>PAGO SERVICIO DE TELEFONÍA CELULAR CVP PERIODO 17 ABRIL A 16 MAYO DE 2018</v>
          </cell>
          <cell r="R953">
            <v>654012</v>
          </cell>
          <cell r="S953">
            <v>0</v>
          </cell>
          <cell r="T953">
            <v>0</v>
          </cell>
          <cell r="U953">
            <v>654012</v>
          </cell>
          <cell r="V953">
            <v>654012</v>
          </cell>
        </row>
        <row r="954">
          <cell r="J954">
            <v>1923</v>
          </cell>
          <cell r="K954">
            <v>43241</v>
          </cell>
          <cell r="L954" t="str">
            <v>EMPRESA DE TELECOMUNICACIONES DE BOGOTA SA ESP</v>
          </cell>
          <cell r="M954">
            <v>28</v>
          </cell>
          <cell r="N954" t="str">
            <v>FACTURAS</v>
          </cell>
          <cell r="O954">
            <v>249536</v>
          </cell>
          <cell r="P954">
            <v>43241</v>
          </cell>
          <cell r="Q954" t="str">
            <v>PAGO DE INTERNET DE LA CAJA DE LA VIVIENDA POPULAR PERIODO FACTURADO : ABRIL 1 A MAYO 31 DE 2018</v>
          </cell>
          <cell r="R954">
            <v>517301</v>
          </cell>
          <cell r="S954">
            <v>517301</v>
          </cell>
          <cell r="T954">
            <v>0</v>
          </cell>
          <cell r="U954">
            <v>0</v>
          </cell>
          <cell r="V954">
            <v>0</v>
          </cell>
        </row>
        <row r="955">
          <cell r="J955">
            <v>1931</v>
          </cell>
          <cell r="K955">
            <v>43242</v>
          </cell>
          <cell r="L955" t="str">
            <v>EMPRESA DE TELECOMUNICACIONES DE BOGOTA SA ESP</v>
          </cell>
          <cell r="M955">
            <v>28</v>
          </cell>
          <cell r="N955" t="str">
            <v>FACTURAS</v>
          </cell>
          <cell r="O955">
            <v>249536</v>
          </cell>
          <cell r="P955">
            <v>43242</v>
          </cell>
          <cell r="Q955" t="str">
            <v>PAGO DE INTERNET DE LA CAJA DE LA VIVIENDA POPULAR. PERIODO FACTURADO : ABRIL 1-30 DE 2018</v>
          </cell>
          <cell r="R955">
            <v>517301</v>
          </cell>
          <cell r="S955">
            <v>0</v>
          </cell>
          <cell r="T955">
            <v>0</v>
          </cell>
          <cell r="U955">
            <v>517301</v>
          </cell>
          <cell r="V955">
            <v>517301</v>
          </cell>
        </row>
        <row r="956">
          <cell r="J956">
            <v>1958</v>
          </cell>
          <cell r="K956">
            <v>43249</v>
          </cell>
          <cell r="L956" t="str">
            <v>COLOMBIA TELECOMUNICACIONES S A E S P</v>
          </cell>
          <cell r="M956">
            <v>28</v>
          </cell>
          <cell r="N956" t="str">
            <v>FACTURAS</v>
          </cell>
          <cell r="O956">
            <v>287285</v>
          </cell>
          <cell r="P956">
            <v>43249</v>
          </cell>
          <cell r="Q956" t="str">
            <v>SERVICIO DE TELEFONÍA CELULAR DE LA CAJA DE LA VIVIENDA POPULAR, PERIODO FACTURADO: MAYO 17 A JUNIO 16 DE 2018</v>
          </cell>
          <cell r="R956">
            <v>654012</v>
          </cell>
          <cell r="S956">
            <v>0</v>
          </cell>
          <cell r="T956">
            <v>0</v>
          </cell>
          <cell r="U956">
            <v>654012</v>
          </cell>
          <cell r="V956">
            <v>654012</v>
          </cell>
        </row>
        <row r="957">
          <cell r="J957">
            <v>2038</v>
          </cell>
          <cell r="K957">
            <v>43271</v>
          </cell>
          <cell r="L957" t="str">
            <v>EMPRESA DE TELECOMUNICACIONES DE BOGOTA SA ESP</v>
          </cell>
          <cell r="M957">
            <v>28</v>
          </cell>
          <cell r="N957" t="str">
            <v>FACTURAS</v>
          </cell>
          <cell r="O957">
            <v>545414</v>
          </cell>
          <cell r="P957">
            <v>43271</v>
          </cell>
          <cell r="Q957" t="str">
            <v>PAGO DE INTERNET DE LA CAJA DE LA VIVIENDA POPULAR, PERIODO FACTURADO : MAYO 1-31 DE 2018</v>
          </cell>
          <cell r="R957">
            <v>517301</v>
          </cell>
          <cell r="S957">
            <v>0</v>
          </cell>
          <cell r="T957">
            <v>0</v>
          </cell>
          <cell r="U957">
            <v>517301</v>
          </cell>
          <cell r="V957">
            <v>517301</v>
          </cell>
        </row>
        <row r="958">
          <cell r="J958">
            <v>2146</v>
          </cell>
          <cell r="K958">
            <v>43277</v>
          </cell>
          <cell r="L958" t="str">
            <v>COLOMBIA TELECOMUNICACIONES S A E S P</v>
          </cell>
          <cell r="M958">
            <v>28</v>
          </cell>
          <cell r="N958" t="str">
            <v>FACTURAS</v>
          </cell>
          <cell r="O958">
            <v>8061701</v>
          </cell>
          <cell r="P958">
            <v>43277</v>
          </cell>
          <cell r="Q958" t="str">
            <v>SERVICIO DE TELEFONÍA CELULAR CVP PERIODO JUNIO 17 A JULIO 16 DE 2018 S/G FACTURA EC178061701</v>
          </cell>
          <cell r="R958">
            <v>654012</v>
          </cell>
          <cell r="S958">
            <v>0</v>
          </cell>
          <cell r="T958">
            <v>0</v>
          </cell>
          <cell r="U958">
            <v>654012</v>
          </cell>
          <cell r="V958">
            <v>654012</v>
          </cell>
        </row>
        <row r="959">
          <cell r="J959">
            <v>2504</v>
          </cell>
          <cell r="K959">
            <v>43299</v>
          </cell>
          <cell r="L959" t="str">
            <v>EMPRESA DE TELECOMUNICACIONES DE BOGOTA SA ESP</v>
          </cell>
          <cell r="M959">
            <v>28</v>
          </cell>
          <cell r="N959" t="str">
            <v>FACTURAS</v>
          </cell>
          <cell r="O959">
            <v>944029</v>
          </cell>
          <cell r="P959">
            <v>43299</v>
          </cell>
          <cell r="Q959" t="str">
            <v>PAGO DE INTERNET DE LA CAJA DE LA VIVIENDA POPULAR, PERIODO FACTURADO : JUNIO1-30 DE 2018</v>
          </cell>
          <cell r="R959">
            <v>694800</v>
          </cell>
          <cell r="S959">
            <v>0</v>
          </cell>
          <cell r="T959">
            <v>0</v>
          </cell>
          <cell r="U959">
            <v>694800</v>
          </cell>
          <cell r="V959">
            <v>694800</v>
          </cell>
        </row>
        <row r="960">
          <cell r="J960">
            <v>2532</v>
          </cell>
          <cell r="K960">
            <v>43305</v>
          </cell>
          <cell r="L960" t="str">
            <v>COLOMBIA TELECOMUNICACIONES S A E S P</v>
          </cell>
          <cell r="M960">
            <v>28</v>
          </cell>
          <cell r="N960" t="str">
            <v>FACTURAS</v>
          </cell>
          <cell r="O960">
            <v>841394</v>
          </cell>
          <cell r="P960">
            <v>43305</v>
          </cell>
          <cell r="Q960" t="str">
            <v>PAGO SERVICIO DE TELEFONÍA CELULAR, PERIODO FACTURADO: JULIO 17 A AGOSTO 16 DE 2018.</v>
          </cell>
          <cell r="R960">
            <v>692722</v>
          </cell>
          <cell r="S960">
            <v>0</v>
          </cell>
          <cell r="T960">
            <v>0</v>
          </cell>
          <cell r="U960">
            <v>692722</v>
          </cell>
          <cell r="V960">
            <v>692722</v>
          </cell>
        </row>
        <row r="961">
          <cell r="J961">
            <v>2687</v>
          </cell>
          <cell r="K961">
            <v>43333</v>
          </cell>
          <cell r="L961" t="str">
            <v>EMPRESA DE TELECOMUNICACIONES DE BOGOTA SA ESP</v>
          </cell>
          <cell r="M961">
            <v>28</v>
          </cell>
          <cell r="N961" t="str">
            <v>FACTURAS</v>
          </cell>
          <cell r="O961">
            <v>132793</v>
          </cell>
          <cell r="P961">
            <v>43333</v>
          </cell>
          <cell r="Q961" t="str">
            <v>PAGO DE INTERNET DE LA CAJA DE LA VIVIENDA POPULAR. PERIODO FACTURADO : JULIO 1- 31 DE 2018</v>
          </cell>
          <cell r="R961">
            <v>745331</v>
          </cell>
          <cell r="S961">
            <v>0</v>
          </cell>
          <cell r="T961">
            <v>0</v>
          </cell>
          <cell r="U961">
            <v>745331</v>
          </cell>
          <cell r="V961">
            <v>745331</v>
          </cell>
        </row>
        <row r="962">
          <cell r="J962">
            <v>2751</v>
          </cell>
          <cell r="K962">
            <v>43336</v>
          </cell>
          <cell r="L962" t="str">
            <v>COLOMBIA TELECOMUNICACIONES S A E S P</v>
          </cell>
          <cell r="M962">
            <v>28</v>
          </cell>
          <cell r="N962" t="str">
            <v>FACTURAS</v>
          </cell>
          <cell r="O962">
            <v>652520</v>
          </cell>
          <cell r="P962">
            <v>43336</v>
          </cell>
          <cell r="Q962" t="str">
            <v>SERVICIO DE TELEFONÍA CELULAR PERIODO AGOSTO 17 A SEPTIEMBRE 16 DE 2018 S/F 183652520</v>
          </cell>
          <cell r="R962">
            <v>692357</v>
          </cell>
          <cell r="S962">
            <v>692357</v>
          </cell>
          <cell r="T962">
            <v>0</v>
          </cell>
          <cell r="U962">
            <v>0</v>
          </cell>
          <cell r="V962">
            <v>0</v>
          </cell>
        </row>
        <row r="963">
          <cell r="J963">
            <v>2753</v>
          </cell>
          <cell r="K963">
            <v>43339</v>
          </cell>
          <cell r="L963" t="str">
            <v>COLOMBIA TELECOMUNICACIONES S A E S P</v>
          </cell>
          <cell r="M963">
            <v>28</v>
          </cell>
          <cell r="N963" t="str">
            <v>FACTURAS</v>
          </cell>
          <cell r="O963">
            <v>652520</v>
          </cell>
          <cell r="P963">
            <v>43339</v>
          </cell>
          <cell r="Q963" t="str">
            <v>SERVICIO DE TELEFONÍA CELULAR PERIODO AGOSTO 17 A SEPTIEMBRE 16 DE 2018 S/F 183652520</v>
          </cell>
          <cell r="R963">
            <v>692357</v>
          </cell>
          <cell r="S963">
            <v>0</v>
          </cell>
          <cell r="T963">
            <v>0</v>
          </cell>
          <cell r="U963">
            <v>692357</v>
          </cell>
          <cell r="V963">
            <v>692357</v>
          </cell>
        </row>
        <row r="964">
          <cell r="J964">
            <v>122</v>
          </cell>
          <cell r="K964">
            <v>43117</v>
          </cell>
          <cell r="L964" t="str">
            <v>CODENSA S. A. ESP</v>
          </cell>
          <cell r="M964">
            <v>28</v>
          </cell>
          <cell r="N964" t="str">
            <v>FACTURAS</v>
          </cell>
          <cell r="O964">
            <v>608365</v>
          </cell>
          <cell r="P964">
            <v>43117</v>
          </cell>
          <cell r="Q964" t="str">
            <v>PAGO DEL SERVICIOS DE ENERGIA DE LA CAJA DE LA VIVIENDA POPULAR PERIODO DEL12 DICIEMBRE AL 11 DE ENERO 2018</v>
          </cell>
          <cell r="R964">
            <v>11671210</v>
          </cell>
          <cell r="S964">
            <v>0</v>
          </cell>
          <cell r="T964">
            <v>0</v>
          </cell>
          <cell r="U964">
            <v>11671210</v>
          </cell>
          <cell r="V964">
            <v>11671210</v>
          </cell>
        </row>
        <row r="965">
          <cell r="J965">
            <v>1378</v>
          </cell>
          <cell r="K965">
            <v>43147</v>
          </cell>
          <cell r="L965" t="str">
            <v>CODENSA S. A. ESP</v>
          </cell>
          <cell r="M965">
            <v>28</v>
          </cell>
          <cell r="N965" t="str">
            <v>FACTURAS</v>
          </cell>
          <cell r="O965">
            <v>697031</v>
          </cell>
          <cell r="P965">
            <v>43147</v>
          </cell>
          <cell r="Q965" t="str">
            <v>PAGO DEL SERVICIOS DE ENERGIA DE LA CAJA DE LA VIVIENDA POPULAR, PERIODO FACTURADO AL 11 DE ENERO DE 2018 AL 09 DE FEBRERO DE 2018.</v>
          </cell>
          <cell r="R965">
            <v>12461870</v>
          </cell>
          <cell r="S965">
            <v>0</v>
          </cell>
          <cell r="T965">
            <v>0</v>
          </cell>
          <cell r="U965">
            <v>12461870</v>
          </cell>
          <cell r="V965">
            <v>12461870</v>
          </cell>
        </row>
        <row r="966">
          <cell r="J966">
            <v>1600</v>
          </cell>
          <cell r="K966">
            <v>43179</v>
          </cell>
          <cell r="L966" t="str">
            <v>CODENSA S. A. ESP</v>
          </cell>
          <cell r="M966">
            <v>28</v>
          </cell>
          <cell r="N966" t="str">
            <v>FACTURAS</v>
          </cell>
          <cell r="O966">
            <v>818060</v>
          </cell>
          <cell r="P966">
            <v>43179</v>
          </cell>
          <cell r="Q966" t="str">
            <v>PAGO DEL SERVICIOS DE ENERGIA DE LA CAJA DE LA VIVIENDA POPULAR, PERIODO FACTURADO AL 09 DE FEBRERO DE 2018 AL 09 DE MARZO DE 2018</v>
          </cell>
          <cell r="R966">
            <v>12139210</v>
          </cell>
          <cell r="S966">
            <v>0</v>
          </cell>
          <cell r="T966">
            <v>0</v>
          </cell>
          <cell r="U966">
            <v>12139210</v>
          </cell>
          <cell r="V966">
            <v>12139210</v>
          </cell>
        </row>
        <row r="967">
          <cell r="J967">
            <v>1805</v>
          </cell>
          <cell r="K967">
            <v>43207</v>
          </cell>
          <cell r="L967" t="str">
            <v>CODENSA S. A. ESP</v>
          </cell>
          <cell r="M967">
            <v>28</v>
          </cell>
          <cell r="N967" t="str">
            <v>FACTURAS</v>
          </cell>
          <cell r="O967">
            <v>886232</v>
          </cell>
          <cell r="P967">
            <v>43207</v>
          </cell>
          <cell r="Q967" t="str">
            <v>PAGO DEL SERVICIOS DE ENERGIA DE LA CAJA DE LA VIVIENDA POPULAR- CUENTA N°0429213-0, PERIODO FACTURADO: MARZO 9- ABRIL 11 DE 2018</v>
          </cell>
          <cell r="R967">
            <v>14173580</v>
          </cell>
          <cell r="S967">
            <v>0</v>
          </cell>
          <cell r="T967">
            <v>0</v>
          </cell>
          <cell r="U967">
            <v>14173580</v>
          </cell>
          <cell r="V967">
            <v>14173580</v>
          </cell>
        </row>
        <row r="968">
          <cell r="J968">
            <v>1917</v>
          </cell>
          <cell r="K968">
            <v>43241</v>
          </cell>
          <cell r="L968" t="str">
            <v>CODENSA S. A. ESP</v>
          </cell>
          <cell r="M968">
            <v>28</v>
          </cell>
          <cell r="N968" t="str">
            <v>FACTURAS</v>
          </cell>
          <cell r="O968">
            <v>138680</v>
          </cell>
          <cell r="P968">
            <v>43241</v>
          </cell>
          <cell r="Q968" t="str">
            <v>PAGO DEL SERVICIOS DE ENERGIA DE LA CAJA DE LA VIVIENDA POPULAR- CUENTA N0429213-0,PERIODO FCATURADO: ABRIL 11 A MAYO 10 DE 2018</v>
          </cell>
          <cell r="R968">
            <v>13018290</v>
          </cell>
          <cell r="S968">
            <v>0</v>
          </cell>
          <cell r="T968">
            <v>0</v>
          </cell>
          <cell r="U968">
            <v>13018290</v>
          </cell>
          <cell r="V968">
            <v>13018290</v>
          </cell>
        </row>
        <row r="969">
          <cell r="J969">
            <v>2037</v>
          </cell>
          <cell r="K969">
            <v>43271</v>
          </cell>
          <cell r="L969" t="str">
            <v>CODENSA S. A. ESP</v>
          </cell>
          <cell r="M969">
            <v>28</v>
          </cell>
          <cell r="N969" t="str">
            <v>FACTURAS</v>
          </cell>
          <cell r="O969">
            <v>3023709</v>
          </cell>
          <cell r="P969">
            <v>43271</v>
          </cell>
          <cell r="Q969" t="str">
            <v>PAGO DEL SERVICIOS DE ENERGIA DE LA CAJA DE LA VIVIENDA POPULAR S/G FACTURA 513023709 PERIODO MAYO 10 A JUNIO 12 DE 2018</v>
          </cell>
          <cell r="R969">
            <v>12747380</v>
          </cell>
          <cell r="S969">
            <v>0</v>
          </cell>
          <cell r="T969">
            <v>0</v>
          </cell>
          <cell r="U969">
            <v>12747380</v>
          </cell>
          <cell r="V969">
            <v>12747380</v>
          </cell>
        </row>
        <row r="970">
          <cell r="J970">
            <v>2502</v>
          </cell>
          <cell r="K970">
            <v>43299</v>
          </cell>
          <cell r="L970" t="str">
            <v>CODENSA S. A. ESP</v>
          </cell>
          <cell r="M970">
            <v>28</v>
          </cell>
          <cell r="N970" t="str">
            <v>FACTURAS</v>
          </cell>
          <cell r="O970">
            <v>384559</v>
          </cell>
          <cell r="P970">
            <v>43299</v>
          </cell>
          <cell r="Q970" t="str">
            <v>PAGO DEL SERVICIOS DE ENERGIA DE LA CAJA DE LA VIVIENDA POPULAR S/G FACTURA 516384559 PERIODO 12 JUNIO A 11 JULIO DE 2018</v>
          </cell>
          <cell r="R970">
            <v>12613650</v>
          </cell>
          <cell r="S970">
            <v>0</v>
          </cell>
          <cell r="T970">
            <v>0</v>
          </cell>
          <cell r="U970">
            <v>12613650</v>
          </cell>
          <cell r="V970">
            <v>12613650</v>
          </cell>
        </row>
        <row r="971">
          <cell r="J971">
            <v>2720</v>
          </cell>
          <cell r="K971">
            <v>43335</v>
          </cell>
          <cell r="L971" t="str">
            <v>CODENSA S. A. ESP</v>
          </cell>
          <cell r="M971">
            <v>28</v>
          </cell>
          <cell r="N971" t="str">
            <v>FACTURAS</v>
          </cell>
          <cell r="O971">
            <v>994486</v>
          </cell>
          <cell r="P971">
            <v>43335</v>
          </cell>
          <cell r="Q971" t="str">
            <v>PAGO DEL SERVICIOS DE ENERGIA DE LA CAJA DE LA VIVIENDA POPULAR CUENTA N°0429213-0, PERIODO FACTURADO : 11 DE JULIO A AGOSTO 10 DE 2018</v>
          </cell>
          <cell r="R971">
            <v>12687370</v>
          </cell>
          <cell r="S971">
            <v>0</v>
          </cell>
          <cell r="T971">
            <v>0</v>
          </cell>
          <cell r="U971">
            <v>12687370</v>
          </cell>
          <cell r="V971">
            <v>12687370</v>
          </cell>
        </row>
        <row r="972">
          <cell r="J972">
            <v>1360</v>
          </cell>
          <cell r="K972">
            <v>43146</v>
          </cell>
          <cell r="L972" t="str">
            <v>EMPRESA DE ACUEDUCTO ALCANTARILLADO Y ASEO DE BOGOTA ESP</v>
          </cell>
          <cell r="M972">
            <v>115</v>
          </cell>
          <cell r="N972" t="str">
            <v>RECIBO</v>
          </cell>
          <cell r="O972">
            <v>416516</v>
          </cell>
          <cell r="P972">
            <v>43146</v>
          </cell>
          <cell r="Q972" t="str">
            <v>PAGO DEL SERVICIO DE ACUEDUCTO Y ALCANTARILLADO DE LA CAJA DE LA VIVIENDA POPULAR, PERIODO FACTURADO 16 DE NOVIEMBRE DE 2017-16 DE ENERO DE 2018</v>
          </cell>
          <cell r="R972">
            <v>3148870</v>
          </cell>
          <cell r="S972">
            <v>3148870</v>
          </cell>
          <cell r="T972">
            <v>0</v>
          </cell>
          <cell r="U972">
            <v>0</v>
          </cell>
          <cell r="V972">
            <v>0</v>
          </cell>
        </row>
        <row r="973">
          <cell r="J973">
            <v>1379</v>
          </cell>
          <cell r="K973">
            <v>43147</v>
          </cell>
          <cell r="L973" t="str">
            <v>EMPRESA DE ACUEDUCTO ALCANTARILLADO Y ASEO DE BOGOTA ESP</v>
          </cell>
          <cell r="M973">
            <v>28</v>
          </cell>
          <cell r="N973" t="str">
            <v>FACTURAS</v>
          </cell>
          <cell r="O973">
            <v>416516</v>
          </cell>
          <cell r="P973">
            <v>43147</v>
          </cell>
          <cell r="Q973" t="str">
            <v>PAGO DEL SERVICIO DE ACUEDUCTO Y ALCANTARILLADO DE LA CAJA DE LA VIVIENDA POPULAR, PERIODO FACTURADO 16 DE NOVIEMBRE DE 2017-16 DE ENERO DE 2018</v>
          </cell>
          <cell r="R973">
            <v>3148870</v>
          </cell>
          <cell r="S973">
            <v>0</v>
          </cell>
          <cell r="T973">
            <v>0</v>
          </cell>
          <cell r="U973">
            <v>3148870</v>
          </cell>
          <cell r="V973">
            <v>3148870</v>
          </cell>
        </row>
        <row r="974">
          <cell r="J974">
            <v>1804</v>
          </cell>
          <cell r="K974">
            <v>43206</v>
          </cell>
          <cell r="L974" t="str">
            <v>EMPRESA DE ACUEDUCTO ALCANTARILLADO Y ASEO DE BOGOTA ESP</v>
          </cell>
          <cell r="M974">
            <v>28</v>
          </cell>
          <cell r="N974" t="str">
            <v>FACTURAS</v>
          </cell>
          <cell r="O974">
            <v>864118</v>
          </cell>
          <cell r="P974">
            <v>43206</v>
          </cell>
          <cell r="Q974" t="str">
            <v>PAGO DEL SERVICIO DE ACUEDUCTO DE LA CAJA DE LA VIVIENDA POPULAR- PERIODO FACTURADO: ENERO 17 A MARZO 15 DE 2018</v>
          </cell>
          <cell r="R974">
            <v>4058310</v>
          </cell>
          <cell r="S974">
            <v>0</v>
          </cell>
          <cell r="T974">
            <v>0</v>
          </cell>
          <cell r="U974">
            <v>4058310</v>
          </cell>
          <cell r="V974">
            <v>4058310</v>
          </cell>
        </row>
        <row r="975">
          <cell r="J975">
            <v>2016</v>
          </cell>
          <cell r="K975">
            <v>43266</v>
          </cell>
          <cell r="L975" t="str">
            <v>EMPRESA DE ACUEDUCTO ALCANTARILLADO Y ASEO DE BOGOTA ESP</v>
          </cell>
          <cell r="M975">
            <v>28</v>
          </cell>
          <cell r="N975" t="str">
            <v>FACTURAS</v>
          </cell>
          <cell r="O975">
            <v>961012</v>
          </cell>
          <cell r="P975">
            <v>43266</v>
          </cell>
          <cell r="Q975" t="str">
            <v>PAGO DEL SERVICIO DE ACUEDUCTO Y ALCANTARILLADO DE LA CAJA DE LA VIVIENDA POPULAR PERIODO FACTURADO MARZO 16 A MAYO 16 DE 2018 S/G FACTURA 29420961012</v>
          </cell>
          <cell r="R975">
            <v>1901250</v>
          </cell>
          <cell r="S975">
            <v>0</v>
          </cell>
          <cell r="T975">
            <v>0</v>
          </cell>
          <cell r="U975">
            <v>1901250</v>
          </cell>
          <cell r="V975">
            <v>1901250</v>
          </cell>
        </row>
        <row r="976">
          <cell r="J976">
            <v>2646</v>
          </cell>
          <cell r="K976">
            <v>43326</v>
          </cell>
          <cell r="L976" t="str">
            <v>EMPRESA DE ACUEDUCTO ALCANTARILLADO Y ASEO DE BOGOTA ESP</v>
          </cell>
          <cell r="M976">
            <v>28</v>
          </cell>
          <cell r="N976" t="str">
            <v>FACTURAS</v>
          </cell>
          <cell r="O976">
            <v>960615</v>
          </cell>
          <cell r="P976">
            <v>43326</v>
          </cell>
          <cell r="Q976" t="str">
            <v>PAGO DEL SERVICIO DE ACUEDUCTO Y ALCANTARILLADO DE LA CAJA DE LA VIVIENDA POPULAR, PERIODO FACTURADO: MAYO17 A JULIO 13 DE 2018</v>
          </cell>
          <cell r="R976">
            <v>2125180</v>
          </cell>
          <cell r="S976">
            <v>0</v>
          </cell>
          <cell r="T976">
            <v>0</v>
          </cell>
          <cell r="U976">
            <v>2125180</v>
          </cell>
          <cell r="V976">
            <v>2125180</v>
          </cell>
        </row>
        <row r="977">
          <cell r="J977">
            <v>1380</v>
          </cell>
          <cell r="K977">
            <v>43147</v>
          </cell>
          <cell r="L977" t="str">
            <v>EMPRESA DE ACUEDUCTO ALCANTARILLADO Y ASEO DE BOGOTA ESP</v>
          </cell>
          <cell r="M977">
            <v>28</v>
          </cell>
          <cell r="N977" t="str">
            <v>FACTURAS</v>
          </cell>
          <cell r="O977">
            <v>807319</v>
          </cell>
          <cell r="P977">
            <v>43147</v>
          </cell>
          <cell r="Q977" t="str">
            <v>PAGO DEL SERVICIO DE ASEO DE LA CAJA DE LA VIVIENDA POPULAR, PERIODO FACTURADO 18 DE OCTUBRE DE 2017- 16 DE DICIEMBRE DE 2017</v>
          </cell>
          <cell r="R977">
            <v>1730670</v>
          </cell>
          <cell r="S977">
            <v>0</v>
          </cell>
          <cell r="T977">
            <v>0</v>
          </cell>
          <cell r="U977">
            <v>1730670</v>
          </cell>
          <cell r="V977">
            <v>1730670</v>
          </cell>
        </row>
        <row r="978">
          <cell r="J978">
            <v>1803</v>
          </cell>
          <cell r="K978">
            <v>43206</v>
          </cell>
          <cell r="L978" t="str">
            <v>EMPRESA DE ACUEDUCTO ALCANTARILLADO Y ASEO DE BOGOTA ESP</v>
          </cell>
          <cell r="M978">
            <v>28</v>
          </cell>
          <cell r="N978" t="str">
            <v>FACTURAS</v>
          </cell>
          <cell r="O978">
            <v>272015</v>
          </cell>
          <cell r="P978">
            <v>43206</v>
          </cell>
          <cell r="Q978" t="str">
            <v>PAGO DEL SERVICIO DE ASEO DE LA CAJA DE LA VIVIENDA POPULAR- PERIODO FACTURADO : DICIEMBRE 17 DE 2017 A FEBRERO 14 DE 2018</v>
          </cell>
          <cell r="R978">
            <v>1863913</v>
          </cell>
          <cell r="S978">
            <v>0</v>
          </cell>
          <cell r="T978">
            <v>0</v>
          </cell>
          <cell r="U978">
            <v>1863913</v>
          </cell>
          <cell r="V978">
            <v>1863913</v>
          </cell>
        </row>
        <row r="979">
          <cell r="J979">
            <v>2586</v>
          </cell>
          <cell r="K979">
            <v>43315</v>
          </cell>
          <cell r="L979" t="str">
            <v>PROMOAMBIENTAL DISTRITO S A S ESP</v>
          </cell>
          <cell r="M979">
            <v>28</v>
          </cell>
          <cell r="N979" t="str">
            <v>FACTURAS</v>
          </cell>
          <cell r="O979">
            <v>666406</v>
          </cell>
          <cell r="P979">
            <v>43315</v>
          </cell>
          <cell r="Q979" t="str">
            <v>PAGO DEL SERVICIO DE ASEO DE LA CAJA DE LA VIVIENDA POPULAR- PERIODO FACTURADO: FEBRERO 12 A ABRIL 30 DE 2018</v>
          </cell>
          <cell r="R979">
            <v>1254380</v>
          </cell>
          <cell r="S979">
            <v>0</v>
          </cell>
          <cell r="T979">
            <v>0</v>
          </cell>
          <cell r="U979">
            <v>1254380</v>
          </cell>
          <cell r="V979">
            <v>1254380</v>
          </cell>
        </row>
        <row r="980">
          <cell r="J980">
            <v>313</v>
          </cell>
          <cell r="K980">
            <v>43122</v>
          </cell>
          <cell r="L980" t="str">
            <v>EMPRESA DE TELECOMUNICACIONES DE BOGOTA SA ESP</v>
          </cell>
          <cell r="M980">
            <v>28</v>
          </cell>
          <cell r="N980" t="str">
            <v>FACTURAS</v>
          </cell>
          <cell r="O980">
            <v>564832</v>
          </cell>
          <cell r="P980">
            <v>43122</v>
          </cell>
          <cell r="Q980" t="str">
            <v>PAGO DEL SERVICIO DE TELEFONO DE LA CAJA DE LA VIVIENDA POPULAR PERIODO FACTURADO DEL 01 DE DICIEMBRE AL 31 DICIEMBRE DE 2017</v>
          </cell>
          <cell r="R980">
            <v>5467334</v>
          </cell>
          <cell r="S980">
            <v>0</v>
          </cell>
          <cell r="T980">
            <v>0</v>
          </cell>
          <cell r="U980">
            <v>5467334</v>
          </cell>
          <cell r="V980">
            <v>5467334</v>
          </cell>
        </row>
        <row r="981">
          <cell r="J981">
            <v>1456</v>
          </cell>
          <cell r="K981">
            <v>43153</v>
          </cell>
          <cell r="L981" t="str">
            <v>EMPRESA DE TELECOMUNICACIONES DE BOGOTA SA ESP</v>
          </cell>
          <cell r="M981">
            <v>28</v>
          </cell>
          <cell r="N981" t="str">
            <v>FACTURAS</v>
          </cell>
          <cell r="O981">
            <v>37319</v>
          </cell>
          <cell r="P981">
            <v>43153</v>
          </cell>
          <cell r="Q981" t="str">
            <v>PAGO DE SERVICIO DE TELEFONO DE LA CAJA DE VIVIENDA POPULAR, PERIODO FACTURADO 01 DE ENERO DE 2018 - 31 DE ENERO DE 2018</v>
          </cell>
          <cell r="R981">
            <v>5852635</v>
          </cell>
          <cell r="S981">
            <v>0</v>
          </cell>
          <cell r="T981">
            <v>0</v>
          </cell>
          <cell r="U981">
            <v>5852635</v>
          </cell>
          <cell r="V981">
            <v>5852635</v>
          </cell>
        </row>
        <row r="982">
          <cell r="J982">
            <v>1619</v>
          </cell>
          <cell r="K982">
            <v>43181</v>
          </cell>
          <cell r="L982" t="str">
            <v>EMPRESA DE TELECOMUNICACIONES DE BOGOTA SA ESP</v>
          </cell>
          <cell r="M982">
            <v>28</v>
          </cell>
          <cell r="N982" t="str">
            <v>FACTURAS</v>
          </cell>
          <cell r="O982">
            <v>19533</v>
          </cell>
          <cell r="P982">
            <v>43181</v>
          </cell>
          <cell r="Q982" t="str">
            <v>PAGO DEL SERVICIO DE TELEFO DE LA CAJA DE LA VIVIENDA POPULAR PERIODO FACTURADO FEBRERO 01 AL 28 DE 2018</v>
          </cell>
          <cell r="R982">
            <v>5483480</v>
          </cell>
          <cell r="S982">
            <v>0</v>
          </cell>
          <cell r="T982">
            <v>0</v>
          </cell>
          <cell r="U982">
            <v>5483480</v>
          </cell>
          <cell r="V982">
            <v>5483480</v>
          </cell>
        </row>
        <row r="983">
          <cell r="J983">
            <v>1812</v>
          </cell>
          <cell r="K983">
            <v>43209</v>
          </cell>
          <cell r="L983" t="str">
            <v>EMPRESA DE TELECOMUNICACIONES DE BOGOTA SA ESP</v>
          </cell>
          <cell r="M983">
            <v>28</v>
          </cell>
          <cell r="N983" t="str">
            <v>FACTURAS</v>
          </cell>
          <cell r="O983">
            <v>970711</v>
          </cell>
          <cell r="P983">
            <v>43209</v>
          </cell>
          <cell r="Q983" t="str">
            <v>PAGO DEL SERVICIO DE TELEFO DE LA CAJA DE LA VIVIENDA POPULAR PERIODO FACTURADO: MARZO 1-31 DE 2018</v>
          </cell>
          <cell r="R983">
            <v>5483369</v>
          </cell>
          <cell r="S983">
            <v>0</v>
          </cell>
          <cell r="T983">
            <v>0</v>
          </cell>
          <cell r="U983">
            <v>5483369</v>
          </cell>
          <cell r="V983">
            <v>5483369</v>
          </cell>
        </row>
        <row r="984">
          <cell r="J984">
            <v>1922</v>
          </cell>
          <cell r="K984">
            <v>43241</v>
          </cell>
          <cell r="L984" t="str">
            <v>EMPRESA DE TELECOMUNICACIONES DE BOGOTA SA ESP</v>
          </cell>
          <cell r="M984">
            <v>28</v>
          </cell>
          <cell r="N984" t="str">
            <v>FACTURAS</v>
          </cell>
          <cell r="O984">
            <v>249536</v>
          </cell>
          <cell r="P984">
            <v>43241</v>
          </cell>
          <cell r="Q984" t="str">
            <v>PAGO DEL SERVICIO DE TELEFO DE LA CAJA DE LA VIVIENDA POPULAR PERIODO FACTURADO: MARZO1-31 DE 2018</v>
          </cell>
          <cell r="R984">
            <v>6302510</v>
          </cell>
          <cell r="S984">
            <v>6302510</v>
          </cell>
          <cell r="T984">
            <v>0</v>
          </cell>
          <cell r="U984">
            <v>0</v>
          </cell>
          <cell r="V984">
            <v>0</v>
          </cell>
        </row>
        <row r="985">
          <cell r="J985">
            <v>1930</v>
          </cell>
          <cell r="K985">
            <v>43242</v>
          </cell>
          <cell r="L985" t="str">
            <v>EMPRESA DE TELECOMUNICACIONES DE BOGOTA SA ESP</v>
          </cell>
          <cell r="M985">
            <v>28</v>
          </cell>
          <cell r="N985" t="str">
            <v>FACTURAS</v>
          </cell>
          <cell r="O985">
            <v>249536</v>
          </cell>
          <cell r="P985">
            <v>43242</v>
          </cell>
          <cell r="Q985" t="str">
            <v>PAGO DEL SERVICIO DE TELEFO DE LA CAJA DE LA VIVIENDA POPULAR. PERIODO FACTURADO : ABRIL 1-30 DE 2018</v>
          </cell>
          <cell r="R985">
            <v>6302510</v>
          </cell>
          <cell r="S985">
            <v>0</v>
          </cell>
          <cell r="T985">
            <v>0</v>
          </cell>
          <cell r="U985">
            <v>6302510</v>
          </cell>
          <cell r="V985">
            <v>6302510</v>
          </cell>
        </row>
        <row r="986">
          <cell r="J986">
            <v>2039</v>
          </cell>
          <cell r="K986">
            <v>43271</v>
          </cell>
          <cell r="L986" t="str">
            <v>EMPRESA DE TELECOMUNICACIONES DE BOGOTA SA ESP</v>
          </cell>
          <cell r="M986">
            <v>28</v>
          </cell>
          <cell r="N986" t="str">
            <v>FACTURAS</v>
          </cell>
          <cell r="O986">
            <v>545414</v>
          </cell>
          <cell r="P986">
            <v>43271</v>
          </cell>
          <cell r="Q986" t="str">
            <v>PAGO DEL SERVICIO DE TELEFONO DE LA CAJA DE LA VIVIENDA POPULAR, PERIODO FACTURADO : MAYO 1-31 DE 2018</v>
          </cell>
          <cell r="R986">
            <v>5786059</v>
          </cell>
          <cell r="S986">
            <v>0</v>
          </cell>
          <cell r="T986">
            <v>0</v>
          </cell>
          <cell r="U986">
            <v>5786059</v>
          </cell>
          <cell r="V986">
            <v>5786059</v>
          </cell>
        </row>
        <row r="987">
          <cell r="J987">
            <v>2503</v>
          </cell>
          <cell r="K987">
            <v>43299</v>
          </cell>
          <cell r="L987" t="str">
            <v>EMPRESA DE TELECOMUNICACIONES DE BOGOTA SA ESP</v>
          </cell>
          <cell r="M987">
            <v>28</v>
          </cell>
          <cell r="N987" t="str">
            <v>FACTURAS</v>
          </cell>
          <cell r="O987">
            <v>943433</v>
          </cell>
          <cell r="P987">
            <v>43299</v>
          </cell>
          <cell r="Q987" t="str">
            <v>PAGO DEL SERVICIO DE TELEFONO DE LA CAJA DE LA VIVIENDA POPULAR, PERIODO FACTURADO : JUNIO1-30 DE 2018</v>
          </cell>
          <cell r="R987">
            <v>5786759</v>
          </cell>
          <cell r="S987">
            <v>0</v>
          </cell>
          <cell r="T987">
            <v>0</v>
          </cell>
          <cell r="U987">
            <v>5786759</v>
          </cell>
          <cell r="V987">
            <v>5786759</v>
          </cell>
        </row>
        <row r="988">
          <cell r="J988">
            <v>2688</v>
          </cell>
          <cell r="K988">
            <v>43333</v>
          </cell>
          <cell r="L988" t="str">
            <v>EMPRESA DE TELECOMUNICACIONES DE BOGOTA SA ESP</v>
          </cell>
          <cell r="M988">
            <v>28</v>
          </cell>
          <cell r="N988" t="str">
            <v>FACTURAS</v>
          </cell>
          <cell r="O988">
            <v>132207</v>
          </cell>
          <cell r="P988">
            <v>43333</v>
          </cell>
          <cell r="Q988" t="str">
            <v>PAGO DEL SERVICIO DE TELEFO DE LA CAJA DE LA VIVIENDA POPULAR. PERIODO FACTURADO: JULIO 1-31 DE 2018</v>
          </cell>
          <cell r="R988">
            <v>5794509</v>
          </cell>
          <cell r="S988">
            <v>0</v>
          </cell>
          <cell r="T988">
            <v>0</v>
          </cell>
          <cell r="U988">
            <v>5794509</v>
          </cell>
          <cell r="V988">
            <v>5794509</v>
          </cell>
        </row>
        <row r="989">
          <cell r="J989">
            <v>220</v>
          </cell>
          <cell r="K989">
            <v>43118</v>
          </cell>
          <cell r="L989" t="str">
            <v>CODENSA S. A. ESP</v>
          </cell>
          <cell r="M989">
            <v>28</v>
          </cell>
          <cell r="N989" t="str">
            <v>FACTURAS</v>
          </cell>
          <cell r="O989">
            <v>608364</v>
          </cell>
          <cell r="P989">
            <v>43118</v>
          </cell>
          <cell r="Q989" t="str">
            <v>PAGO DE SERVICIOS PUBLICOS CAJA DE LA VIVIENDA POPULAR LOCAL CARRERA 13 54-21  PERIODO DICIEMBRE 12 AL 11 ENERO DE 2018</v>
          </cell>
          <cell r="R989">
            <v>255180</v>
          </cell>
          <cell r="S989">
            <v>0</v>
          </cell>
          <cell r="T989">
            <v>0</v>
          </cell>
          <cell r="U989">
            <v>255180</v>
          </cell>
          <cell r="V989">
            <v>255180</v>
          </cell>
        </row>
        <row r="990">
          <cell r="J990">
            <v>316</v>
          </cell>
          <cell r="K990">
            <v>43122</v>
          </cell>
          <cell r="L990" t="str">
            <v>EMPRESA DE ACUEDUCTO ALCANTARILLADO Y ASEO DE BOGOTA ESP</v>
          </cell>
          <cell r="M990">
            <v>28</v>
          </cell>
          <cell r="N990" t="str">
            <v>FACTURAS</v>
          </cell>
          <cell r="O990">
            <v>303816</v>
          </cell>
          <cell r="P990">
            <v>43122</v>
          </cell>
          <cell r="Q990" t="str">
            <v>PAGO DE SERVICIOS PUBLICOS CAJA DE LA VIVIENDA POPULAR LOCAL CARRERA 13 N. 54 13 PERIODO 19 OCTUBRE A DICIEMBRE 16 DE 2017</v>
          </cell>
          <cell r="R990">
            <v>253880</v>
          </cell>
          <cell r="S990">
            <v>0</v>
          </cell>
          <cell r="T990">
            <v>0</v>
          </cell>
          <cell r="U990">
            <v>253880</v>
          </cell>
          <cell r="V990">
            <v>253880</v>
          </cell>
        </row>
        <row r="991">
          <cell r="J991">
            <v>446</v>
          </cell>
          <cell r="K991">
            <v>43125</v>
          </cell>
          <cell r="L991" t="str">
            <v>CODENSA S. A. ESP</v>
          </cell>
          <cell r="M991">
            <v>28</v>
          </cell>
          <cell r="N991" t="str">
            <v>FACTURAS</v>
          </cell>
          <cell r="O991">
            <v>56370</v>
          </cell>
          <cell r="P991">
            <v>43125</v>
          </cell>
          <cell r="Q991" t="str">
            <v>PAGO DE SERVICIOS PUBLICOS CAJA DE LA VIVIENDA POPULAR CIUDAD BOLIVAR KR 73 57 R SUR- 12 LC 120   S/G FACTURA 496356370-0 PERIODO FACTURADO DICIEMBRE 16 DE 2017 A ENERO 17 DE 2018.</v>
          </cell>
          <cell r="R991">
            <v>28780</v>
          </cell>
          <cell r="S991">
            <v>0</v>
          </cell>
          <cell r="T991">
            <v>0</v>
          </cell>
          <cell r="U991">
            <v>28780</v>
          </cell>
          <cell r="V991">
            <v>28780</v>
          </cell>
        </row>
        <row r="992">
          <cell r="J992">
            <v>447</v>
          </cell>
          <cell r="K992">
            <v>43125</v>
          </cell>
          <cell r="L992" t="str">
            <v>EMPRESA DE ACUEDUCTO ALCANTARILLADO Y ASEO DE BOGOTA ESP</v>
          </cell>
          <cell r="M992">
            <v>28</v>
          </cell>
          <cell r="N992" t="str">
            <v>FACTURAS</v>
          </cell>
          <cell r="O992">
            <v>25015</v>
          </cell>
          <cell r="P992">
            <v>43125</v>
          </cell>
          <cell r="Q992" t="str">
            <v>PAGO DE SERVICIOS PUBLICOS CAJA DE LA VIVIENDA POPULAR BODEGA CL 70 NO. 23 46   S/G FACTURA 38909125015PERIODO FACTURADO OCTUBRE 24 DE 2017 A DICIEMBRE 21 DE 2017.</v>
          </cell>
          <cell r="R992">
            <v>148030</v>
          </cell>
          <cell r="S992">
            <v>0</v>
          </cell>
          <cell r="T992">
            <v>0</v>
          </cell>
          <cell r="U992">
            <v>148030</v>
          </cell>
          <cell r="V992">
            <v>148030</v>
          </cell>
        </row>
        <row r="993">
          <cell r="J993">
            <v>448</v>
          </cell>
          <cell r="K993">
            <v>43125</v>
          </cell>
          <cell r="L993" t="str">
            <v>EMPRESA DE ACUEDUCTO ALCANTARILLADO Y ASEO DE BOGOTA ESP</v>
          </cell>
          <cell r="M993">
            <v>28</v>
          </cell>
          <cell r="N993" t="str">
            <v>FACTURAS</v>
          </cell>
          <cell r="O993">
            <v>30012</v>
          </cell>
          <cell r="P993">
            <v>43125</v>
          </cell>
          <cell r="Q993" t="str">
            <v>PAGO DE SERVICIOS PUBLICOS CAJA DE LA VIVIENDA POPULAR CIUDAD BOLIVAR KR 73 59 SUR LC 120   S/G FACTURA 10783730012PERIODO FACTURADO OCTUBRE 24 DE 2017 A DICIEMBRE 21 DE 2017.</v>
          </cell>
          <cell r="R993">
            <v>63330</v>
          </cell>
          <cell r="S993">
            <v>0</v>
          </cell>
          <cell r="T993">
            <v>0</v>
          </cell>
          <cell r="U993">
            <v>63330</v>
          </cell>
          <cell r="V993">
            <v>63330</v>
          </cell>
        </row>
        <row r="994">
          <cell r="J994">
            <v>487</v>
          </cell>
          <cell r="K994">
            <v>43126</v>
          </cell>
          <cell r="L994" t="str">
            <v>COLOMBIA TELECOMUNICACIONES S A E S P</v>
          </cell>
          <cell r="M994">
            <v>28</v>
          </cell>
          <cell r="N994" t="str">
            <v>FACTURAS</v>
          </cell>
          <cell r="O994">
            <v>43506</v>
          </cell>
          <cell r="P994">
            <v>43126</v>
          </cell>
          <cell r="Q994" t="str">
            <v>PAGO DE SERVICIO DE TELEFONÍA CELULAR DE LA CAJA DE LA VIVIENDA POPULAR, PERIODO FACTURADO 17 DE ENERO DE 2018- 116 DE FEBRERO DE 2018</v>
          </cell>
          <cell r="R994">
            <v>534012</v>
          </cell>
          <cell r="S994">
            <v>0</v>
          </cell>
          <cell r="T994">
            <v>0</v>
          </cell>
          <cell r="U994">
            <v>534012</v>
          </cell>
          <cell r="V994">
            <v>534012</v>
          </cell>
        </row>
        <row r="995">
          <cell r="J995">
            <v>514</v>
          </cell>
          <cell r="K995">
            <v>43130</v>
          </cell>
          <cell r="L995" t="str">
            <v>CODENSA S. A. ESP</v>
          </cell>
          <cell r="M995">
            <v>28</v>
          </cell>
          <cell r="N995" t="str">
            <v>FACTURAS</v>
          </cell>
          <cell r="O995">
            <v>149404</v>
          </cell>
          <cell r="P995">
            <v>43130</v>
          </cell>
          <cell r="Q995" t="str">
            <v>PAGO DE SERVICIOS PUBLICOS CAJA DE LA VIVIENDA POPULAR, BODEGA CL 70 N° 23-46, FACTURA 1507149404.</v>
          </cell>
          <cell r="R995">
            <v>115640</v>
          </cell>
          <cell r="S995">
            <v>0</v>
          </cell>
          <cell r="T995">
            <v>0</v>
          </cell>
          <cell r="U995">
            <v>115640</v>
          </cell>
          <cell r="V995">
            <v>115640</v>
          </cell>
        </row>
        <row r="996">
          <cell r="J996">
            <v>753</v>
          </cell>
          <cell r="K996">
            <v>43137</v>
          </cell>
          <cell r="L996" t="str">
            <v>EMPRESA DE ACUEDUCTO ALCANTARILLADO Y ASEO DE BOGOTA ESP</v>
          </cell>
          <cell r="M996">
            <v>28</v>
          </cell>
          <cell r="N996" t="str">
            <v>FACTURAS</v>
          </cell>
          <cell r="O996">
            <v>58315</v>
          </cell>
          <cell r="P996">
            <v>43137</v>
          </cell>
          <cell r="Q996" t="str">
            <v>PAGO DE SERVICIOS PUBLICOS CAJA DE LA VIVIENDA POPULAR -OTROS PREDIOS. S/G FACTURA NO. 32760558315 PERIODO FACTURADO AGOSTO 19 DE 2017 A OCTUBRE 17 DE 2017.</v>
          </cell>
          <cell r="R996">
            <v>12390</v>
          </cell>
          <cell r="S996">
            <v>0</v>
          </cell>
          <cell r="T996">
            <v>0</v>
          </cell>
          <cell r="U996">
            <v>12390</v>
          </cell>
          <cell r="V996">
            <v>12390</v>
          </cell>
        </row>
        <row r="997">
          <cell r="J997">
            <v>754</v>
          </cell>
          <cell r="K997">
            <v>43137</v>
          </cell>
          <cell r="L997" t="str">
            <v>EMPRESA DE ACUEDUCTO ALCANTARILLADO Y ASEO DE BOGOTA ESP</v>
          </cell>
          <cell r="M997">
            <v>28</v>
          </cell>
          <cell r="N997" t="str">
            <v>FACTURAS</v>
          </cell>
          <cell r="O997">
            <v>1315</v>
          </cell>
          <cell r="P997">
            <v>43137</v>
          </cell>
          <cell r="Q997" t="str">
            <v>PAGO DE SERVICIOS PUBLICOS CAJA DE LA VIVIENDA POPULAR -OTROS PREDIOS. S/G FACTURA NO. 31385401315 PERIODO FACTURADO AGOSTO 19 DE 2017 A OCTUBRE 17 DE 2017.</v>
          </cell>
          <cell r="R997">
            <v>6200</v>
          </cell>
          <cell r="S997">
            <v>0</v>
          </cell>
          <cell r="T997">
            <v>0</v>
          </cell>
          <cell r="U997">
            <v>6200</v>
          </cell>
          <cell r="V997">
            <v>6200</v>
          </cell>
        </row>
        <row r="998">
          <cell r="J998">
            <v>1362</v>
          </cell>
          <cell r="K998">
            <v>43147</v>
          </cell>
          <cell r="L998" t="str">
            <v>CODENSA S. A. ESP</v>
          </cell>
          <cell r="M998">
            <v>28</v>
          </cell>
          <cell r="N998" t="str">
            <v>FACTURAS</v>
          </cell>
          <cell r="O998">
            <v>969702</v>
          </cell>
          <cell r="P998">
            <v>43147</v>
          </cell>
          <cell r="Q998" t="str">
            <v>PAGO DE SERVICIOS PUBLICOS CARRERA 13 # 54-21 S/G FACTURA 498969702 PERIODO FACTURO ENERO 11 DE 2018 A FEBRERO 09 DE 2018</v>
          </cell>
          <cell r="R998">
            <v>300200</v>
          </cell>
          <cell r="S998">
            <v>0</v>
          </cell>
          <cell r="T998">
            <v>0</v>
          </cell>
          <cell r="U998">
            <v>300200</v>
          </cell>
          <cell r="V998">
            <v>300200</v>
          </cell>
        </row>
        <row r="999">
          <cell r="J999">
            <v>1459</v>
          </cell>
          <cell r="K999">
            <v>43154</v>
          </cell>
          <cell r="L999" t="str">
            <v>CODENSA S. A. ESP</v>
          </cell>
          <cell r="M999">
            <v>28</v>
          </cell>
          <cell r="N999" t="str">
            <v>FACTURAS</v>
          </cell>
          <cell r="O999">
            <v>911907</v>
          </cell>
          <cell r="P999">
            <v>43154</v>
          </cell>
          <cell r="Q999" t="str">
            <v>PAGO DE SERVICIOS PUBLICOS CAJA DE LA VIVIENDA POPULAR CIUDAD BODEGA CL 70 N°23-46 S/G FACTURA N°499791190-7 PERIODO FACTURADO ENERO 18 DE 2018 A FEBRERO 16 DE 2018</v>
          </cell>
          <cell r="R999">
            <v>123440</v>
          </cell>
          <cell r="S999">
            <v>0</v>
          </cell>
          <cell r="T999">
            <v>0</v>
          </cell>
          <cell r="U999">
            <v>123440</v>
          </cell>
          <cell r="V999">
            <v>123440</v>
          </cell>
        </row>
        <row r="1000">
          <cell r="J1000">
            <v>1460</v>
          </cell>
          <cell r="K1000">
            <v>43154</v>
          </cell>
          <cell r="L1000" t="str">
            <v>CODENSA S. A. ESP</v>
          </cell>
          <cell r="M1000">
            <v>28</v>
          </cell>
          <cell r="N1000" t="str">
            <v>FACTURAS</v>
          </cell>
          <cell r="O1000">
            <v>164835</v>
          </cell>
          <cell r="P1000">
            <v>43154</v>
          </cell>
          <cell r="Q1000" t="str">
            <v>PAGO DE SERVICIOS PUBLICOS CAJA DE LA VIVIENDA POPULAR CIUDAD BOLIVAR KR 73 57 R SUR- 12 LC 120 S/G FACTURA N°499716483-5 PERIODO FACTURADO ENERO 17 DE 2018 A FEBRERO 15 DE 2018</v>
          </cell>
          <cell r="R1000">
            <v>22540</v>
          </cell>
          <cell r="S1000">
            <v>0</v>
          </cell>
          <cell r="T1000">
            <v>0</v>
          </cell>
          <cell r="U1000">
            <v>22540</v>
          </cell>
          <cell r="V1000">
            <v>22540</v>
          </cell>
        </row>
        <row r="1001">
          <cell r="J1001">
            <v>1466</v>
          </cell>
          <cell r="K1001">
            <v>43154</v>
          </cell>
          <cell r="L1001" t="str">
            <v>COLOMBIA TELECOMUNICACIONES S A E S P</v>
          </cell>
          <cell r="M1001">
            <v>28</v>
          </cell>
          <cell r="N1001" t="str">
            <v>FACTURAS</v>
          </cell>
          <cell r="O1001">
            <v>16154</v>
          </cell>
          <cell r="P1001">
            <v>43154</v>
          </cell>
          <cell r="Q1001" t="str">
            <v>PAGO DE SERVICIO DE TELEFONÍA CELULAR DE LA CAJA DE VIVIENDA POPULAR, PERÍODO FACTURADO 17 DE FEBRERO DE 2018 - 16 DE MARZO DE 2018</v>
          </cell>
          <cell r="R1001">
            <v>533942</v>
          </cell>
          <cell r="S1001">
            <v>0</v>
          </cell>
          <cell r="T1001">
            <v>0</v>
          </cell>
          <cell r="U1001">
            <v>533942</v>
          </cell>
          <cell r="V1001">
            <v>533942</v>
          </cell>
        </row>
        <row r="1002">
          <cell r="J1002">
            <v>1588</v>
          </cell>
          <cell r="K1002">
            <v>43174</v>
          </cell>
          <cell r="L1002" t="str">
            <v>EMPRESA DE ACUEDUCTO ALCANTARILLADO Y ASEO DE BOGOTA ESP</v>
          </cell>
          <cell r="M1002">
            <v>28</v>
          </cell>
          <cell r="N1002" t="str">
            <v>FACTURAS</v>
          </cell>
          <cell r="O1002">
            <v>49013</v>
          </cell>
          <cell r="P1002">
            <v>43174</v>
          </cell>
          <cell r="Q1002" t="str">
            <v>PAGO DE SERVICIOS PUBLICOS CAJA DE LA VIVIENDA POPULAR CARRERA 13 N. 54-21 FACTURA 30074049013 PERIODO FACTURADO DICIEMBRE 17 DEL 2017 AL 14 DE FEBRERO 2018</v>
          </cell>
          <cell r="R1002">
            <v>217148</v>
          </cell>
          <cell r="S1002">
            <v>0</v>
          </cell>
          <cell r="T1002">
            <v>0</v>
          </cell>
          <cell r="U1002">
            <v>217148</v>
          </cell>
          <cell r="V1002">
            <v>217148</v>
          </cell>
        </row>
        <row r="1003">
          <cell r="J1003">
            <v>1590</v>
          </cell>
          <cell r="K1003">
            <v>43175</v>
          </cell>
          <cell r="L1003" t="str">
            <v>CODENSA S. A. ESP</v>
          </cell>
          <cell r="M1003">
            <v>28</v>
          </cell>
          <cell r="N1003" t="str">
            <v>FACTURAS</v>
          </cell>
          <cell r="O1003">
            <v>681805</v>
          </cell>
          <cell r="P1003">
            <v>43175</v>
          </cell>
          <cell r="Q1003" t="str">
            <v>PAGO DE SERVICIOS PUBLICOS CAJA DE LA VIVIENDA POPULAR CARRERA 13 # 54-21 S/G FACTURA 502681802 PERIODO FEBRERO 09 DE 2018 A MARZO 09 DE 2018</v>
          </cell>
          <cell r="R1003">
            <v>317770</v>
          </cell>
          <cell r="S1003">
            <v>0</v>
          </cell>
          <cell r="T1003">
            <v>0</v>
          </cell>
          <cell r="U1003">
            <v>317770</v>
          </cell>
          <cell r="V1003">
            <v>317770</v>
          </cell>
        </row>
        <row r="1004">
          <cell r="J1004">
            <v>1614</v>
          </cell>
          <cell r="K1004">
            <v>43181</v>
          </cell>
          <cell r="L1004" t="str">
            <v>CODENSA S. A. ESP</v>
          </cell>
          <cell r="M1004">
            <v>28</v>
          </cell>
          <cell r="N1004" t="str">
            <v>FACTURAS</v>
          </cell>
          <cell r="O1004">
            <v>595915</v>
          </cell>
          <cell r="P1004">
            <v>43181</v>
          </cell>
          <cell r="Q1004" t="str">
            <v>PAGO DE SERVICIOS PUBLICOS CAJA DE LA VIVIENDA POPULAR CIUDADA BOLIVAR KR 73 # 57 R SUR -12 LC 120 PERIODO 15 FEBRERO A 15 MARZO 2018</v>
          </cell>
          <cell r="R1004">
            <v>24570</v>
          </cell>
          <cell r="S1004">
            <v>0</v>
          </cell>
          <cell r="T1004">
            <v>0</v>
          </cell>
          <cell r="U1004">
            <v>24570</v>
          </cell>
          <cell r="V1004">
            <v>24570</v>
          </cell>
        </row>
        <row r="1005">
          <cell r="J1005">
            <v>1616</v>
          </cell>
          <cell r="K1005">
            <v>43181</v>
          </cell>
          <cell r="L1005" t="str">
            <v>EMPRESA DE ACUEDUCTO ALCANTARILLADO Y ASEO DE BOGOTA ESP</v>
          </cell>
          <cell r="M1005">
            <v>28</v>
          </cell>
          <cell r="N1005" t="str">
            <v>FACTURAS</v>
          </cell>
          <cell r="O1005">
            <v>444713</v>
          </cell>
          <cell r="P1005">
            <v>43181</v>
          </cell>
          <cell r="Q1005" t="str">
            <v>PAGO DE SERVICIOS PUBLICOS CAJA DE LA VIVIENDA POPULAR CIUDAD BOLIVAR KR 73 59 SUR LC 120 FACTURA 28033444713 PERIODO DICIEMBRE 22 DE 2017 A FEBRERO 20 DE 2018</v>
          </cell>
          <cell r="R1005">
            <v>61453</v>
          </cell>
          <cell r="S1005">
            <v>0</v>
          </cell>
          <cell r="T1005">
            <v>0</v>
          </cell>
          <cell r="U1005">
            <v>61453</v>
          </cell>
          <cell r="V1005">
            <v>61453</v>
          </cell>
        </row>
        <row r="1006">
          <cell r="J1006">
            <v>1617</v>
          </cell>
          <cell r="K1006">
            <v>43181</v>
          </cell>
          <cell r="L1006" t="str">
            <v>CODENSA S. A. ESP</v>
          </cell>
          <cell r="M1006">
            <v>28</v>
          </cell>
          <cell r="N1006" t="str">
            <v>FACTURAS</v>
          </cell>
          <cell r="O1006">
            <v>713430</v>
          </cell>
          <cell r="P1006">
            <v>43181</v>
          </cell>
          <cell r="Q1006" t="str">
            <v>PAGO DE SERVICIOS PUBLICOS CAJA DE LA VIVIENDA POPULAR BODEGA CL 70 # 23 46 S/G FACTURA 503713430 PERIODO FEBRERO 16 DE 2018 A MARZO 16 DE 2018</v>
          </cell>
          <cell r="R1006">
            <v>140590</v>
          </cell>
          <cell r="S1006">
            <v>0</v>
          </cell>
          <cell r="T1006">
            <v>0</v>
          </cell>
          <cell r="U1006">
            <v>140590</v>
          </cell>
          <cell r="V1006">
            <v>140590</v>
          </cell>
        </row>
        <row r="1007">
          <cell r="J1007">
            <v>1618</v>
          </cell>
          <cell r="K1007">
            <v>43181</v>
          </cell>
          <cell r="L1007" t="str">
            <v>EMPRESA DE ACUEDUCTO ALCANTARILLADO Y ASEO DE BOGOTA ESP</v>
          </cell>
          <cell r="M1007">
            <v>28</v>
          </cell>
          <cell r="N1007" t="str">
            <v>FACTURAS</v>
          </cell>
          <cell r="O1007">
            <v>5319811</v>
          </cell>
          <cell r="P1007">
            <v>43181</v>
          </cell>
          <cell r="Q1007" t="str">
            <v>PAGO DE SERVICIOS PUBLICOS CAJA DE LA VIVIENDA POPULAR BODEGA CL 70 A BIS 23-26 S/G FACTURA 30075319811 PERIODO DICIEMBRE 22 DE 2017 A FEBRERO 20 DE 2018</v>
          </cell>
          <cell r="R1007">
            <v>133258</v>
          </cell>
          <cell r="S1007">
            <v>0</v>
          </cell>
          <cell r="T1007">
            <v>0</v>
          </cell>
          <cell r="U1007">
            <v>133258</v>
          </cell>
          <cell r="V1007">
            <v>133258</v>
          </cell>
        </row>
        <row r="1008">
          <cell r="J1008">
            <v>1660</v>
          </cell>
          <cell r="K1008">
            <v>43185</v>
          </cell>
          <cell r="L1008" t="str">
            <v>COLOMBIA TELECOMUNICACIONES S A E S P</v>
          </cell>
          <cell r="M1008">
            <v>28</v>
          </cell>
          <cell r="N1008" t="str">
            <v>FACTURAS</v>
          </cell>
          <cell r="O1008">
            <v>11910</v>
          </cell>
          <cell r="P1008">
            <v>43185</v>
          </cell>
          <cell r="Q1008" t="str">
            <v>PAGO DE SERVICIO DE TELEFONÍA CELULAR DE LA CAJA DE VIVIENDA POPULAR, PERÍODO FACTURADO 17 DE MARZO AL 16 DE ABRIL DE 2018</v>
          </cell>
          <cell r="R1008">
            <v>534012</v>
          </cell>
          <cell r="S1008">
            <v>0</v>
          </cell>
          <cell r="T1008">
            <v>0</v>
          </cell>
          <cell r="U1008">
            <v>534012</v>
          </cell>
          <cell r="V1008">
            <v>534012</v>
          </cell>
        </row>
        <row r="1009">
          <cell r="J1009">
            <v>1811</v>
          </cell>
          <cell r="K1009">
            <v>43209</v>
          </cell>
          <cell r="L1009" t="str">
            <v>CODENSA S. A. ESP</v>
          </cell>
          <cell r="M1009">
            <v>28</v>
          </cell>
          <cell r="N1009" t="str">
            <v>FACTURAS</v>
          </cell>
          <cell r="O1009">
            <v>45478</v>
          </cell>
          <cell r="P1009">
            <v>43209</v>
          </cell>
          <cell r="Q1009" t="str">
            <v>PAGO DE SERVICIOS PUBLICOS CAJA DE LA VIVIENDA POPULAR CARRERA 13 N°54-21 S/G COMPROBANTE DE PAGO N°163004547-8 PERIODO FACTURADO MARZO09 DE 2018 A 11 DE ABRIL DE 2018</v>
          </cell>
          <cell r="R1009">
            <v>340895</v>
          </cell>
          <cell r="S1009">
            <v>0</v>
          </cell>
          <cell r="T1009">
            <v>0</v>
          </cell>
          <cell r="U1009">
            <v>340895</v>
          </cell>
          <cell r="V1009">
            <v>340895</v>
          </cell>
        </row>
        <row r="1010">
          <cell r="J1010">
            <v>1839</v>
          </cell>
          <cell r="K1010">
            <v>43214</v>
          </cell>
          <cell r="L1010" t="str">
            <v>CODENSA S. A. ESP</v>
          </cell>
          <cell r="M1010">
            <v>28</v>
          </cell>
          <cell r="N1010" t="str">
            <v>FACTURAS</v>
          </cell>
          <cell r="O1010">
            <v>391458</v>
          </cell>
          <cell r="P1010">
            <v>43214</v>
          </cell>
          <cell r="Q1010" t="str">
            <v>PAGO DE SERVICIOS PUBLICOS CAJA DE LA VIVIENDA POPULAR CIUDAD BOLIVAR KR 73 57 R SUR-12 LC 120 S/G FACTURA 507139145-8 PERIODO FACTURADO MARZO 15 DE 2018 A 17 ABRIL DE 2018</v>
          </cell>
          <cell r="R1010">
            <v>27270</v>
          </cell>
          <cell r="S1010">
            <v>0</v>
          </cell>
          <cell r="T1010">
            <v>0</v>
          </cell>
          <cell r="U1010">
            <v>27270</v>
          </cell>
          <cell r="V1010">
            <v>27270</v>
          </cell>
        </row>
        <row r="1011">
          <cell r="J1011">
            <v>1841</v>
          </cell>
          <cell r="K1011">
            <v>43214</v>
          </cell>
          <cell r="L1011" t="str">
            <v>CODENSA S. A. ESP</v>
          </cell>
          <cell r="M1011">
            <v>28</v>
          </cell>
          <cell r="N1011" t="str">
            <v>FACTURAS</v>
          </cell>
          <cell r="O1011">
            <v>106676</v>
          </cell>
          <cell r="P1011">
            <v>43214</v>
          </cell>
          <cell r="Q1011" t="str">
            <v>PAGO DE SERVICIOS PUBLICOS CAJA DE LA VIVIENDA POPULAR BODEGA CL 70A BIS N°23-46 S/G FACTURA 507210667-6 PERIODO FACTURADO MARZO16 DE 2018 A 17 ABRIL DE 2018</v>
          </cell>
          <cell r="R1011">
            <v>149870</v>
          </cell>
          <cell r="S1011">
            <v>0</v>
          </cell>
          <cell r="T1011">
            <v>0</v>
          </cell>
          <cell r="U1011">
            <v>149870</v>
          </cell>
          <cell r="V1011">
            <v>149870</v>
          </cell>
        </row>
        <row r="1012">
          <cell r="J1012">
            <v>1848</v>
          </cell>
          <cell r="K1012">
            <v>43217</v>
          </cell>
          <cell r="L1012" t="str">
            <v>COLOMBIA TELECOMUNICACIONES S A E S P</v>
          </cell>
          <cell r="M1012">
            <v>28</v>
          </cell>
          <cell r="N1012" t="str">
            <v>FACTURAS</v>
          </cell>
          <cell r="O1012">
            <v>493615</v>
          </cell>
          <cell r="P1012">
            <v>43217</v>
          </cell>
          <cell r="Q1012" t="str">
            <v>PAGO SERVICIO DE TELEFONÍA CELULAR CVP PERIODO 17 ABRIL A 16 MAYO DE 2018</v>
          </cell>
          <cell r="R1012">
            <v>534012</v>
          </cell>
          <cell r="S1012">
            <v>0</v>
          </cell>
          <cell r="T1012">
            <v>0</v>
          </cell>
          <cell r="U1012">
            <v>534012</v>
          </cell>
          <cell r="V1012">
            <v>534012</v>
          </cell>
        </row>
        <row r="1013">
          <cell r="J1013">
            <v>1849</v>
          </cell>
          <cell r="K1013">
            <v>43220</v>
          </cell>
          <cell r="L1013" t="str">
            <v>EMPRESA DE ACUEDUCTO ALCANTARILLADO Y ASEO DE BOGOTA ESP</v>
          </cell>
          <cell r="M1013">
            <v>28</v>
          </cell>
          <cell r="N1013" t="str">
            <v>FACTURAS</v>
          </cell>
          <cell r="O1013">
            <v>446714</v>
          </cell>
          <cell r="P1013">
            <v>43220</v>
          </cell>
          <cell r="Q1013" t="str">
            <v>PAGO DE SERVICIOS PUBLICOS PREDIOS - DE LA ENTIDAD S/G FACTURA 3278144614 PERIODO FACTURADO DICIEMBRE 21 A 14 DE FEBRERO DE 2018</v>
          </cell>
          <cell r="R1013">
            <v>511229</v>
          </cell>
          <cell r="S1013">
            <v>0</v>
          </cell>
          <cell r="T1013">
            <v>0</v>
          </cell>
          <cell r="U1013">
            <v>511229</v>
          </cell>
          <cell r="V1013">
            <v>511229</v>
          </cell>
        </row>
        <row r="1014">
          <cell r="J1014">
            <v>1919</v>
          </cell>
          <cell r="K1014">
            <v>43241</v>
          </cell>
          <cell r="L1014" t="str">
            <v>EMPRESA DE ACUEDUCTO ALCANTARILLADO Y ASEO DE BOGOTA ESP</v>
          </cell>
          <cell r="M1014">
            <v>28</v>
          </cell>
          <cell r="N1014" t="str">
            <v>FACTURAS</v>
          </cell>
          <cell r="O1014">
            <v>572214</v>
          </cell>
          <cell r="P1014">
            <v>43241</v>
          </cell>
          <cell r="Q1014" t="str">
            <v>PAGO DE SERVICIOS PUBLICOS CAJA DE LA VIVIENDA POPULAR CRA 13 54-13 S/G FACTURA 31419572214 PERIODO FEBRERO 15 AL 16 ABRIL 2018</v>
          </cell>
          <cell r="R1014">
            <v>302740</v>
          </cell>
          <cell r="S1014">
            <v>0</v>
          </cell>
          <cell r="T1014">
            <v>0</v>
          </cell>
          <cell r="U1014">
            <v>302740</v>
          </cell>
          <cell r="V1014">
            <v>302740</v>
          </cell>
        </row>
        <row r="1015">
          <cell r="J1015">
            <v>1921</v>
          </cell>
          <cell r="K1015">
            <v>43241</v>
          </cell>
          <cell r="L1015" t="str">
            <v>CODENSA S. A. ESP</v>
          </cell>
          <cell r="M1015">
            <v>28</v>
          </cell>
          <cell r="N1015" t="str">
            <v>FACTURAS</v>
          </cell>
          <cell r="O1015">
            <v>138673</v>
          </cell>
          <cell r="P1015">
            <v>43241</v>
          </cell>
          <cell r="Q1015" t="str">
            <v>PAGO DE SERVICIOS PUBLICOS CAJA DE LA VIVIENDA POPULAR LOCAL CARRERA 13 N°54-21 S/G FACTURA N°509713867-3 PERIODO FACTURADO ABRIL 11 DE 2018 A 10 DE MAYO DE 2018</v>
          </cell>
          <cell r="R1015">
            <v>332760</v>
          </cell>
          <cell r="S1015">
            <v>0</v>
          </cell>
          <cell r="T1015">
            <v>0</v>
          </cell>
          <cell r="U1015">
            <v>332760</v>
          </cell>
          <cell r="V1015">
            <v>332760</v>
          </cell>
        </row>
        <row r="1016">
          <cell r="J1016">
            <v>1943</v>
          </cell>
          <cell r="K1016">
            <v>43243</v>
          </cell>
          <cell r="L1016" t="str">
            <v>EMPRESA DE ACUEDUCTO ALCANTARILLADO Y ASEO DE BOGOTA ESP</v>
          </cell>
          <cell r="M1016">
            <v>28</v>
          </cell>
          <cell r="N1016" t="str">
            <v>FACTURAS</v>
          </cell>
          <cell r="O1016">
            <v>730313</v>
          </cell>
          <cell r="P1016">
            <v>43243</v>
          </cell>
          <cell r="Q1016" t="str">
            <v>PAGO DE SERVICIOS PUBLICOS CAJA DE LA VIVIENDA POPULAR BODEGA CL 70 BIS A BIS N.23 - 46 S/G FACTURA 28054730313 PERIODO FACTURADO 21 FEBRERO AL 21 ABRIL DE 2018</v>
          </cell>
          <cell r="R1016">
            <v>150690</v>
          </cell>
          <cell r="S1016">
            <v>0</v>
          </cell>
          <cell r="T1016">
            <v>0</v>
          </cell>
          <cell r="U1016">
            <v>150690</v>
          </cell>
          <cell r="V1016">
            <v>150690</v>
          </cell>
        </row>
        <row r="1017">
          <cell r="J1017">
            <v>1944</v>
          </cell>
          <cell r="K1017">
            <v>43243</v>
          </cell>
          <cell r="L1017" t="str">
            <v>EMPRESA DE ACUEDUCTO ALCANTARILLADO Y ASEO DE BOGOTA ESP</v>
          </cell>
          <cell r="M1017">
            <v>115</v>
          </cell>
          <cell r="N1017" t="str">
            <v>RECIBO</v>
          </cell>
          <cell r="O1017">
            <v>337012</v>
          </cell>
          <cell r="P1017">
            <v>43243</v>
          </cell>
          <cell r="Q1017" t="str">
            <v>PAGO DE SERVICIOS PUBLICOS CAJA DE LA VIVIENDA POPULAR, CIUDAD BOLIVAR KR 73 59 SUR 12 LC 120 FACTURA 25363337012</v>
          </cell>
          <cell r="R1017">
            <v>65780</v>
          </cell>
          <cell r="S1017">
            <v>0</v>
          </cell>
          <cell r="T1017">
            <v>0</v>
          </cell>
          <cell r="U1017">
            <v>65780</v>
          </cell>
          <cell r="V1017">
            <v>65780</v>
          </cell>
        </row>
        <row r="1018">
          <cell r="J1018">
            <v>1953</v>
          </cell>
          <cell r="K1018">
            <v>43244</v>
          </cell>
          <cell r="L1018" t="str">
            <v>CODENSA S. A. ESP</v>
          </cell>
          <cell r="M1018">
            <v>28</v>
          </cell>
          <cell r="N1018" t="str">
            <v>FACTURAS</v>
          </cell>
          <cell r="O1018">
            <v>469599</v>
          </cell>
          <cell r="P1018">
            <v>43244</v>
          </cell>
          <cell r="Q1018" t="str">
            <v>PAGO DE SERVICIOS PUBLICOS CAJA DE LA VIVIENDA POPULAR CIUDAD BOLIVAR KR 73 57 SUR CL 120 S/G FACTURA 510469599 PERIODO 17 ABRIL A MAYO 17 DE 2018</v>
          </cell>
          <cell r="R1018">
            <v>24300</v>
          </cell>
          <cell r="S1018">
            <v>0</v>
          </cell>
          <cell r="T1018">
            <v>0</v>
          </cell>
          <cell r="U1018">
            <v>24300</v>
          </cell>
          <cell r="V1018">
            <v>24300</v>
          </cell>
        </row>
        <row r="1019">
          <cell r="J1019">
            <v>1954</v>
          </cell>
          <cell r="K1019">
            <v>43244</v>
          </cell>
          <cell r="L1019" t="str">
            <v>CODENSA S. A. ESP</v>
          </cell>
          <cell r="M1019">
            <v>28</v>
          </cell>
          <cell r="N1019" t="str">
            <v>FACTURAS</v>
          </cell>
          <cell r="O1019">
            <v>545051</v>
          </cell>
          <cell r="P1019">
            <v>43244</v>
          </cell>
          <cell r="Q1019" t="str">
            <v>PAGO DE SERVICIOS PUBLICOS CAJA DE LA VIVIENDA POPULAR BODEGA CL 70 A BIS 23-46 S/G FACTURA 510545051 PERIODO ABRIL 18 A MAYO 18 DE 2018</v>
          </cell>
          <cell r="R1019">
            <v>149380</v>
          </cell>
          <cell r="S1019">
            <v>0</v>
          </cell>
          <cell r="T1019">
            <v>0</v>
          </cell>
          <cell r="U1019">
            <v>149380</v>
          </cell>
          <cell r="V1019">
            <v>149380</v>
          </cell>
        </row>
        <row r="1020">
          <cell r="J1020">
            <v>1955</v>
          </cell>
          <cell r="K1020">
            <v>43244</v>
          </cell>
          <cell r="L1020" t="str">
            <v>EMPRESA DE ACUEDUCTO ALCANTARILLADO Y ASEO DE BOGOTA ESP</v>
          </cell>
          <cell r="M1020">
            <v>28</v>
          </cell>
          <cell r="N1020" t="str">
            <v>FACTURAS</v>
          </cell>
          <cell r="O1020">
            <v>362114</v>
          </cell>
          <cell r="P1020">
            <v>43244</v>
          </cell>
          <cell r="Q1020" t="str">
            <v>PAGO DE SERVICIOS PUBLICOS CAJA DE LA VIVIENDA POPULAR OTROS PREDIOS DG 9B SUR ESTE 41 S/G FACTURA 27364362114</v>
          </cell>
          <cell r="R1020">
            <v>310064</v>
          </cell>
          <cell r="S1020">
            <v>0</v>
          </cell>
          <cell r="T1020">
            <v>0</v>
          </cell>
          <cell r="U1020">
            <v>310064</v>
          </cell>
          <cell r="V1020">
            <v>310064</v>
          </cell>
        </row>
        <row r="1021">
          <cell r="J1021">
            <v>1959</v>
          </cell>
          <cell r="K1021">
            <v>43249</v>
          </cell>
          <cell r="L1021" t="str">
            <v>COLOMBIA TELECOMUNICACIONES S A E S P</v>
          </cell>
          <cell r="M1021">
            <v>28</v>
          </cell>
          <cell r="N1021" t="str">
            <v>FACTURAS</v>
          </cell>
          <cell r="O1021">
            <v>287285</v>
          </cell>
          <cell r="P1021">
            <v>43249</v>
          </cell>
          <cell r="Q1021" t="str">
            <v>SERVICIO DE TELEFONÍA CELULAR DE LA CAJA DE LA VIVIENDA POPULAR, PERIODO FACTURADO: MAYO 17 A JUNIO 16 DE 2018</v>
          </cell>
          <cell r="R1021">
            <v>534012</v>
          </cell>
          <cell r="S1021">
            <v>0</v>
          </cell>
          <cell r="T1021">
            <v>0</v>
          </cell>
          <cell r="U1021">
            <v>534012</v>
          </cell>
          <cell r="V1021">
            <v>534012</v>
          </cell>
        </row>
        <row r="1022">
          <cell r="J1022">
            <v>2031</v>
          </cell>
          <cell r="K1022">
            <v>43269</v>
          </cell>
          <cell r="L1022" t="str">
            <v>CODENSA S. A. ESP</v>
          </cell>
          <cell r="M1022">
            <v>28</v>
          </cell>
          <cell r="N1022" t="str">
            <v>FACTURAS</v>
          </cell>
          <cell r="O1022">
            <v>3023708</v>
          </cell>
          <cell r="P1022">
            <v>43269</v>
          </cell>
          <cell r="Q1022" t="str">
            <v>PAGO DE SERVICIOS PUBLICOS CAJA DE LA VIVIENDA POPULAR LOCAL CARRERA 13 N. 54-21 S/G FACTURA 513023708 PERIODO FACTURADO MAYO 10 A 12 JUNIO DE2018</v>
          </cell>
          <cell r="R1022">
            <v>259090</v>
          </cell>
          <cell r="S1022">
            <v>0</v>
          </cell>
          <cell r="T1022">
            <v>0</v>
          </cell>
          <cell r="U1022">
            <v>259090</v>
          </cell>
          <cell r="V1022">
            <v>259090</v>
          </cell>
        </row>
        <row r="1023">
          <cell r="J1023">
            <v>2145</v>
          </cell>
          <cell r="K1023">
            <v>43276</v>
          </cell>
          <cell r="L1023" t="str">
            <v>CODENSA S. A. ESP</v>
          </cell>
          <cell r="M1023">
            <v>28</v>
          </cell>
          <cell r="N1023" t="str">
            <v>FACTURAS</v>
          </cell>
          <cell r="O1023">
            <v>874119</v>
          </cell>
          <cell r="P1023">
            <v>43276</v>
          </cell>
          <cell r="Q1023" t="str">
            <v>PAGO DE SERVICIOS PUBLICOS CAJA DE LA VIVIENDA POPULAR BODEGA CL 70 A BIS 23-46 S/G FACTURA 513874119 PERIODO MAYO 18 A 19 DE JUNIO DE 2018</v>
          </cell>
          <cell r="R1023">
            <v>146070</v>
          </cell>
          <cell r="S1023">
            <v>0</v>
          </cell>
          <cell r="T1023">
            <v>0</v>
          </cell>
          <cell r="U1023">
            <v>146070</v>
          </cell>
          <cell r="V1023">
            <v>146070</v>
          </cell>
        </row>
        <row r="1024">
          <cell r="J1024">
            <v>2147</v>
          </cell>
          <cell r="K1024">
            <v>43277</v>
          </cell>
          <cell r="L1024" t="str">
            <v>COLOMBIA TELECOMUNICACIONES S A E S P</v>
          </cell>
          <cell r="M1024">
            <v>28</v>
          </cell>
          <cell r="N1024" t="str">
            <v>FACTURAS</v>
          </cell>
          <cell r="O1024">
            <v>8061701</v>
          </cell>
          <cell r="P1024">
            <v>43277</v>
          </cell>
          <cell r="Q1024" t="str">
            <v>SERVICIO DE TELEFONÍA CELULAR CVP PERIODO JUNIO 17 A JULIO 16 DE 2018 S/G FACTURA EC178061701</v>
          </cell>
          <cell r="R1024">
            <v>534012</v>
          </cell>
          <cell r="S1024">
            <v>0</v>
          </cell>
          <cell r="T1024">
            <v>0</v>
          </cell>
          <cell r="U1024">
            <v>534012</v>
          </cell>
          <cell r="V1024">
            <v>534012</v>
          </cell>
        </row>
        <row r="1025">
          <cell r="J1025">
            <v>2508</v>
          </cell>
          <cell r="K1025">
            <v>43299</v>
          </cell>
          <cell r="L1025" t="str">
            <v>EMPRESA DE ACUEDUCTO ALCANTARILLADO Y ASEO DE BOGOTA ESP</v>
          </cell>
          <cell r="M1025">
            <v>28</v>
          </cell>
          <cell r="N1025" t="str">
            <v>FACTURAS</v>
          </cell>
          <cell r="O1025">
            <v>941717</v>
          </cell>
          <cell r="P1025">
            <v>43299</v>
          </cell>
          <cell r="Q1025" t="str">
            <v>PAGO DE SERVICIOS PUBLICOS CAJA DE LA VIVIENDA POPULAR LOCAL CARRERA 13 N. 54 21 PERIODO 17 ABRIL A JUNIO 15 DE 2018</v>
          </cell>
          <cell r="R1025">
            <v>366980</v>
          </cell>
          <cell r="S1025">
            <v>0</v>
          </cell>
          <cell r="T1025">
            <v>0</v>
          </cell>
          <cell r="U1025">
            <v>366980</v>
          </cell>
          <cell r="V1025">
            <v>366980</v>
          </cell>
        </row>
        <row r="1026">
          <cell r="J1026">
            <v>2509</v>
          </cell>
          <cell r="K1026">
            <v>43299</v>
          </cell>
          <cell r="L1026" t="str">
            <v>CODENSA S. A. ESP</v>
          </cell>
          <cell r="M1026">
            <v>28</v>
          </cell>
          <cell r="N1026" t="str">
            <v>FACTURAS</v>
          </cell>
          <cell r="O1026">
            <v>384923</v>
          </cell>
          <cell r="P1026">
            <v>43299</v>
          </cell>
          <cell r="Q1026" t="str">
            <v>PAGO DE SERVICIOS PUBLICOS CAJA DE LA VIVIENDA POPULAR CARRERA 13 54-21 PERIODO JUNIO 12 A JULIO 11 DE 2018</v>
          </cell>
          <cell r="R1026">
            <v>269200</v>
          </cell>
          <cell r="S1026">
            <v>0</v>
          </cell>
          <cell r="T1026">
            <v>0</v>
          </cell>
          <cell r="U1026">
            <v>269200</v>
          </cell>
          <cell r="V1026">
            <v>269200</v>
          </cell>
        </row>
        <row r="1027">
          <cell r="J1027">
            <v>2510</v>
          </cell>
          <cell r="K1027">
            <v>43299</v>
          </cell>
          <cell r="L1027" t="str">
            <v>EMPRESA DE ACUEDUCTO ALCANTARILLADO Y ASEO DE BOGOTA ESP</v>
          </cell>
          <cell r="M1027">
            <v>28</v>
          </cell>
          <cell r="N1027" t="str">
            <v>FACTURAS</v>
          </cell>
          <cell r="O1027">
            <v>4817318</v>
          </cell>
          <cell r="P1027">
            <v>43299</v>
          </cell>
          <cell r="Q1027" t="str">
            <v>PAGO DE SERVICIOS PUBLICOS CAJA DE LA VIVIENDA POPULAR BODEGA CL 70 BIS N. 23-46 PERIODO 22 ABRIL A 20 JUNIO DE 2018</v>
          </cell>
          <cell r="R1027">
            <v>139090</v>
          </cell>
          <cell r="S1027">
            <v>0</v>
          </cell>
          <cell r="T1027">
            <v>0</v>
          </cell>
          <cell r="U1027">
            <v>139090</v>
          </cell>
          <cell r="V1027">
            <v>139090</v>
          </cell>
        </row>
        <row r="1028">
          <cell r="J1028">
            <v>2531</v>
          </cell>
          <cell r="K1028">
            <v>43305</v>
          </cell>
          <cell r="L1028" t="str">
            <v>COLOMBIA TELECOMUNICACIONES S A E S P</v>
          </cell>
          <cell r="M1028">
            <v>28</v>
          </cell>
          <cell r="N1028" t="str">
            <v>FACTURAS</v>
          </cell>
          <cell r="O1028">
            <v>841394</v>
          </cell>
          <cell r="P1028">
            <v>43305</v>
          </cell>
          <cell r="Q1028" t="str">
            <v>SERVICIO DE TELEFONÍA CELULAR, PERIODO FACTURADO: JULIO 17 A AGOSTO 16 DE 2018.</v>
          </cell>
          <cell r="R1028">
            <v>565357</v>
          </cell>
          <cell r="S1028">
            <v>0</v>
          </cell>
          <cell r="T1028">
            <v>0</v>
          </cell>
          <cell r="U1028">
            <v>565357</v>
          </cell>
          <cell r="V1028">
            <v>565357</v>
          </cell>
        </row>
        <row r="1029">
          <cell r="J1029">
            <v>2543</v>
          </cell>
          <cell r="K1029">
            <v>43306</v>
          </cell>
          <cell r="L1029" t="str">
            <v>CODENSA S. A. ESP</v>
          </cell>
          <cell r="M1029">
            <v>28</v>
          </cell>
          <cell r="N1029" t="str">
            <v>FACTURAS</v>
          </cell>
          <cell r="O1029">
            <v>542832</v>
          </cell>
          <cell r="P1029">
            <v>43306</v>
          </cell>
          <cell r="Q1029" t="str">
            <v>PAGO DE SERVICIOS PUBLICOS CAJA DE LA VIVIENDA POPULAR - BODEGA CL 70 A BIS N. 23-46 PERIODO JUNIO 19 A JULIO 18 DE 2018</v>
          </cell>
          <cell r="R1029">
            <v>153000</v>
          </cell>
          <cell r="S1029">
            <v>0</v>
          </cell>
          <cell r="T1029">
            <v>0</v>
          </cell>
          <cell r="U1029">
            <v>153000</v>
          </cell>
          <cell r="V1029">
            <v>153000</v>
          </cell>
        </row>
        <row r="1030">
          <cell r="J1030">
            <v>2714</v>
          </cell>
          <cell r="K1030">
            <v>43334</v>
          </cell>
          <cell r="L1030" t="str">
            <v>CODENSA S. A. ESP</v>
          </cell>
          <cell r="M1030">
            <v>28</v>
          </cell>
          <cell r="N1030" t="str">
            <v>FACTURAS</v>
          </cell>
          <cell r="O1030">
            <v>98120</v>
          </cell>
          <cell r="P1030">
            <v>43334</v>
          </cell>
          <cell r="Q1030" t="str">
            <v>PAGO DE SERVICIO PUBLICO CAJA DE LA VIVIENDA POPULAR LOCAL CARRERA 13 N. 54 - 21 S/G FACTURA N. 519799812-0 PERÍODO FACTURADO JULIO 11 DE 2018 A 10 AGOSTO DE 2018.</v>
          </cell>
          <cell r="R1030">
            <v>244820</v>
          </cell>
          <cell r="S1030">
            <v>0</v>
          </cell>
          <cell r="T1030">
            <v>0</v>
          </cell>
          <cell r="U1030">
            <v>244820</v>
          </cell>
          <cell r="V1030">
            <v>244820</v>
          </cell>
        </row>
        <row r="1031">
          <cell r="J1031">
            <v>2743</v>
          </cell>
          <cell r="K1031">
            <v>43336</v>
          </cell>
          <cell r="L1031" t="str">
            <v>CODENSA S. A. ESP</v>
          </cell>
          <cell r="M1031">
            <v>28</v>
          </cell>
          <cell r="N1031" t="str">
            <v>FACTURAS</v>
          </cell>
          <cell r="O1031">
            <v>571772</v>
          </cell>
          <cell r="P1031">
            <v>43336</v>
          </cell>
          <cell r="Q1031" t="str">
            <v>PAGO DE SERVICIOS PUBLICOS CAJA DE LA VIVIENDA POPULAR BODEGA CL 70 A BIS 23-46  PERIODO JULIO 18 A 17 AGOSTO DE 2018</v>
          </cell>
          <cell r="R1031">
            <v>150970</v>
          </cell>
          <cell r="S1031">
            <v>0</v>
          </cell>
          <cell r="T1031">
            <v>0</v>
          </cell>
          <cell r="U1031">
            <v>150970</v>
          </cell>
          <cell r="V1031">
            <v>150970</v>
          </cell>
        </row>
        <row r="1032">
          <cell r="J1032">
            <v>2752</v>
          </cell>
          <cell r="K1032">
            <v>43336</v>
          </cell>
          <cell r="L1032" t="str">
            <v>COLOMBIA TELECOMUNICACIONES S A E S P</v>
          </cell>
          <cell r="M1032">
            <v>28</v>
          </cell>
          <cell r="N1032" t="str">
            <v>FACTURAS</v>
          </cell>
          <cell r="O1032">
            <v>652520</v>
          </cell>
          <cell r="P1032">
            <v>43336</v>
          </cell>
          <cell r="Q1032" t="str">
            <v>SERVICIO DE TELEFONÍA CELULAR PERIODO AGOSTO 17 A SEPTIEMBRE 16 DE 2018 S/F 183652520</v>
          </cell>
          <cell r="R1032">
            <v>565357</v>
          </cell>
          <cell r="S1032">
            <v>565357</v>
          </cell>
          <cell r="T1032">
            <v>0</v>
          </cell>
          <cell r="U1032">
            <v>0</v>
          </cell>
          <cell r="V1032">
            <v>0</v>
          </cell>
        </row>
        <row r="1033">
          <cell r="J1033">
            <v>2754</v>
          </cell>
          <cell r="K1033">
            <v>43339</v>
          </cell>
          <cell r="L1033" t="str">
            <v>COLOMBIA TELECOMUNICACIONES S A E S P</v>
          </cell>
          <cell r="M1033">
            <v>28</v>
          </cell>
          <cell r="N1033" t="str">
            <v>FACTURAS</v>
          </cell>
          <cell r="O1033">
            <v>652520</v>
          </cell>
          <cell r="P1033">
            <v>43339</v>
          </cell>
          <cell r="Q1033" t="str">
            <v>SERVICIO DE TELEFONÍA CELULAR PERIODO AGOSTO 17 A SEPTIEMBRE 16 DE 2018 S/F 183652520</v>
          </cell>
          <cell r="R1033">
            <v>565357</v>
          </cell>
          <cell r="S1033">
            <v>0</v>
          </cell>
          <cell r="T1033">
            <v>0</v>
          </cell>
          <cell r="U1033">
            <v>565357</v>
          </cell>
          <cell r="V1033">
            <v>565357</v>
          </cell>
        </row>
        <row r="1034">
          <cell r="J1034">
            <v>1585</v>
          </cell>
          <cell r="K1034">
            <v>43174</v>
          </cell>
          <cell r="L1034" t="str">
            <v>CAJA DE VIVIENDA POPULAR</v>
          </cell>
          <cell r="M1034">
            <v>27</v>
          </cell>
          <cell r="N1034" t="str">
            <v>CAJA MENOR</v>
          </cell>
          <cell r="O1034">
            <v>2</v>
          </cell>
          <cell r="P1034">
            <v>43174</v>
          </cell>
          <cell r="Q1034" t="str">
            <v>REEMBOLSO DE CAJA MENOR DEL MES DE FEBRERO DE 2018</v>
          </cell>
          <cell r="R1034">
            <v>114900</v>
          </cell>
          <cell r="S1034">
            <v>0</v>
          </cell>
          <cell r="T1034">
            <v>0</v>
          </cell>
          <cell r="U1034">
            <v>114900</v>
          </cell>
          <cell r="V1034">
            <v>114900</v>
          </cell>
        </row>
        <row r="1035">
          <cell r="J1035">
            <v>1820</v>
          </cell>
          <cell r="K1035">
            <v>43209</v>
          </cell>
          <cell r="L1035" t="str">
            <v>CAJA DE VIVIENDA POPULAR</v>
          </cell>
          <cell r="M1035">
            <v>27</v>
          </cell>
          <cell r="N1035" t="str">
            <v>CAJA MENOR</v>
          </cell>
          <cell r="O1035">
            <v>3</v>
          </cell>
          <cell r="P1035">
            <v>43209</v>
          </cell>
          <cell r="Q1035" t="str">
            <v>REEMBOLSO CAJA MENOR DEL MES DE MARZO DE 2018.</v>
          </cell>
          <cell r="R1035">
            <v>106000</v>
          </cell>
          <cell r="S1035">
            <v>0</v>
          </cell>
          <cell r="T1035">
            <v>0</v>
          </cell>
          <cell r="U1035">
            <v>106000</v>
          </cell>
          <cell r="V1035">
            <v>106000</v>
          </cell>
        </row>
        <row r="1036">
          <cell r="J1036">
            <v>1897</v>
          </cell>
          <cell r="K1036">
            <v>43231</v>
          </cell>
          <cell r="L1036" t="str">
            <v>CAJA DE VIVIENDA POPULAR</v>
          </cell>
          <cell r="M1036">
            <v>27</v>
          </cell>
          <cell r="N1036" t="str">
            <v>CAJA MENOR</v>
          </cell>
          <cell r="O1036">
            <v>4</v>
          </cell>
          <cell r="P1036">
            <v>43231</v>
          </cell>
          <cell r="Q1036" t="str">
            <v>REEMBOLSO DE CAJA MENOR MES ABRIL DEL 2018</v>
          </cell>
          <cell r="R1036">
            <v>13200</v>
          </cell>
          <cell r="S1036">
            <v>0</v>
          </cell>
          <cell r="T1036">
            <v>0</v>
          </cell>
          <cell r="U1036">
            <v>13200</v>
          </cell>
          <cell r="V1036">
            <v>13200</v>
          </cell>
        </row>
        <row r="1037">
          <cell r="J1037">
            <v>2042</v>
          </cell>
          <cell r="K1037">
            <v>43271</v>
          </cell>
          <cell r="L1037" t="str">
            <v>CAJA DE VIVIENDA POPULAR</v>
          </cell>
          <cell r="M1037">
            <v>27</v>
          </cell>
          <cell r="N1037" t="str">
            <v>CAJA MENOR</v>
          </cell>
          <cell r="O1037">
            <v>5</v>
          </cell>
          <cell r="P1037">
            <v>43271</v>
          </cell>
          <cell r="Q1037" t="str">
            <v>REEMBOLSO DE CAJA MENOR MES DE MAYO DE 2018</v>
          </cell>
          <cell r="R1037">
            <v>60000</v>
          </cell>
          <cell r="S1037">
            <v>0</v>
          </cell>
          <cell r="T1037">
            <v>0</v>
          </cell>
          <cell r="U1037">
            <v>60000</v>
          </cell>
          <cell r="V1037">
            <v>60000</v>
          </cell>
        </row>
        <row r="1038">
          <cell r="J1038">
            <v>2513</v>
          </cell>
          <cell r="K1038">
            <v>43300</v>
          </cell>
          <cell r="L1038" t="str">
            <v>CAJA DE VIVIENDA POPULAR</v>
          </cell>
          <cell r="M1038">
            <v>27</v>
          </cell>
          <cell r="N1038" t="str">
            <v>CAJA MENOR</v>
          </cell>
          <cell r="O1038">
            <v>6</v>
          </cell>
          <cell r="P1038">
            <v>43300</v>
          </cell>
          <cell r="Q1038" t="str">
            <v>REEMBOLSO DE CAJA MENOR MES DE JUNIO DE 2018</v>
          </cell>
          <cell r="R1038">
            <v>22000</v>
          </cell>
          <cell r="S1038">
            <v>0</v>
          </cell>
          <cell r="T1038">
            <v>0</v>
          </cell>
          <cell r="U1038">
            <v>22000</v>
          </cell>
          <cell r="V1038">
            <v>22000</v>
          </cell>
        </row>
        <row r="1039">
          <cell r="J1039">
            <v>2717</v>
          </cell>
          <cell r="K1039">
            <v>43335</v>
          </cell>
          <cell r="L1039" t="str">
            <v>CAJA DE VIVIENDA POPULAR</v>
          </cell>
          <cell r="M1039">
            <v>27</v>
          </cell>
          <cell r="N1039" t="str">
            <v>CAJA MENOR</v>
          </cell>
          <cell r="O1039">
            <v>7</v>
          </cell>
          <cell r="P1039">
            <v>43335</v>
          </cell>
          <cell r="Q1039" t="str">
            <v>REEMBOLSO DE CAJA MENOR DEL MES DE JULIO 2018</v>
          </cell>
          <cell r="R1039">
            <v>70686</v>
          </cell>
          <cell r="S1039">
            <v>0</v>
          </cell>
          <cell r="T1039">
            <v>0</v>
          </cell>
          <cell r="U1039">
            <v>70686</v>
          </cell>
          <cell r="V1039">
            <v>70686</v>
          </cell>
        </row>
        <row r="1040">
          <cell r="J1040">
            <v>1359</v>
          </cell>
          <cell r="K1040">
            <v>43146</v>
          </cell>
          <cell r="L1040" t="str">
            <v>CAJA DE VIVIENDA POPULAR</v>
          </cell>
          <cell r="M1040">
            <v>27</v>
          </cell>
          <cell r="N1040" t="str">
            <v>CAJA MENOR</v>
          </cell>
          <cell r="O1040">
            <v>1</v>
          </cell>
          <cell r="P1040">
            <v>43146</v>
          </cell>
          <cell r="Q1040" t="str">
            <v>REEMBOLSO DE CAJA MENOR DEL MES DE ENERO DE 2018</v>
          </cell>
          <cell r="R1040">
            <v>45200</v>
          </cell>
          <cell r="S1040">
            <v>0</v>
          </cell>
          <cell r="T1040">
            <v>0</v>
          </cell>
          <cell r="U1040">
            <v>45200</v>
          </cell>
          <cell r="V1040">
            <v>45200</v>
          </cell>
        </row>
        <row r="1041">
          <cell r="J1041">
            <v>1601</v>
          </cell>
          <cell r="K1041">
            <v>43179</v>
          </cell>
          <cell r="L1041" t="str">
            <v>CAJA DE VIVIENDA POPULAR</v>
          </cell>
          <cell r="M1041">
            <v>27</v>
          </cell>
          <cell r="N1041" t="str">
            <v>CAJA MENOR</v>
          </cell>
          <cell r="O1041">
            <v>2</v>
          </cell>
          <cell r="P1041">
            <v>43179</v>
          </cell>
          <cell r="Q1041" t="str">
            <v>REEMBOLSO DE CAJA MENOR DEL MES DE FEBRERO DE 2018</v>
          </cell>
          <cell r="R1041">
            <v>135800</v>
          </cell>
          <cell r="S1041">
            <v>0</v>
          </cell>
          <cell r="T1041">
            <v>0</v>
          </cell>
          <cell r="U1041">
            <v>135800</v>
          </cell>
          <cell r="V1041">
            <v>135800</v>
          </cell>
        </row>
        <row r="1042">
          <cell r="J1042">
            <v>1821</v>
          </cell>
          <cell r="K1042">
            <v>43209</v>
          </cell>
          <cell r="L1042" t="str">
            <v>CAJA DE VIVIENDA POPULAR</v>
          </cell>
          <cell r="M1042">
            <v>27</v>
          </cell>
          <cell r="N1042" t="str">
            <v>CAJA MENOR</v>
          </cell>
          <cell r="O1042">
            <v>3</v>
          </cell>
          <cell r="P1042">
            <v>43209</v>
          </cell>
          <cell r="Q1042" t="str">
            <v>REEMBOLSO DE CAJA MENOR DEL MES DE MARZO DE 2018</v>
          </cell>
          <cell r="R1042">
            <v>124700</v>
          </cell>
          <cell r="S1042">
            <v>0</v>
          </cell>
          <cell r="T1042">
            <v>0</v>
          </cell>
          <cell r="U1042">
            <v>124700</v>
          </cell>
          <cell r="V1042">
            <v>124700</v>
          </cell>
        </row>
        <row r="1043">
          <cell r="J1043">
            <v>1898</v>
          </cell>
          <cell r="K1043">
            <v>43231</v>
          </cell>
          <cell r="L1043" t="str">
            <v>CAJA DE VIVIENDA POPULAR</v>
          </cell>
          <cell r="M1043">
            <v>27</v>
          </cell>
          <cell r="N1043" t="str">
            <v>CAJA MENOR</v>
          </cell>
          <cell r="O1043">
            <v>4</v>
          </cell>
          <cell r="P1043">
            <v>43231</v>
          </cell>
          <cell r="Q1043" t="str">
            <v>REEMBOLSO DE CAJA MENOR MES ABRIL DEL 2018</v>
          </cell>
          <cell r="R1043">
            <v>153200</v>
          </cell>
          <cell r="S1043">
            <v>0</v>
          </cell>
          <cell r="T1043">
            <v>0</v>
          </cell>
          <cell r="U1043">
            <v>153200</v>
          </cell>
          <cell r="V1043">
            <v>153200</v>
          </cell>
        </row>
        <row r="1044">
          <cell r="J1044">
            <v>2043</v>
          </cell>
          <cell r="K1044">
            <v>43271</v>
          </cell>
          <cell r="L1044" t="str">
            <v>CAJA DE VIVIENDA POPULAR</v>
          </cell>
          <cell r="M1044">
            <v>27</v>
          </cell>
          <cell r="N1044" t="str">
            <v>CAJA MENOR</v>
          </cell>
          <cell r="O1044">
            <v>5</v>
          </cell>
          <cell r="P1044">
            <v>43271</v>
          </cell>
          <cell r="Q1044" t="str">
            <v>REEMBOLSO DE CAJA MENOR MES DE MAYO DE 2018</v>
          </cell>
          <cell r="R1044">
            <v>338815</v>
          </cell>
          <cell r="S1044">
            <v>0</v>
          </cell>
          <cell r="T1044">
            <v>0</v>
          </cell>
          <cell r="U1044">
            <v>338815</v>
          </cell>
          <cell r="V1044">
            <v>338815</v>
          </cell>
        </row>
        <row r="1045">
          <cell r="J1045">
            <v>2514</v>
          </cell>
          <cell r="K1045">
            <v>43300</v>
          </cell>
          <cell r="L1045" t="str">
            <v>CAJA DE VIVIENDA POPULAR</v>
          </cell>
          <cell r="M1045">
            <v>27</v>
          </cell>
          <cell r="N1045" t="str">
            <v>CAJA MENOR</v>
          </cell>
          <cell r="O1045">
            <v>6</v>
          </cell>
          <cell r="P1045">
            <v>43300</v>
          </cell>
          <cell r="Q1045" t="str">
            <v>REEMBOLSO DE CAJA MENOR MES DE JUNIO DE 2018</v>
          </cell>
          <cell r="R1045">
            <v>263500</v>
          </cell>
          <cell r="S1045">
            <v>0</v>
          </cell>
          <cell r="T1045">
            <v>0</v>
          </cell>
          <cell r="U1045">
            <v>263500</v>
          </cell>
          <cell r="V1045">
            <v>263500</v>
          </cell>
        </row>
        <row r="1046">
          <cell r="J1046">
            <v>2718</v>
          </cell>
          <cell r="K1046">
            <v>43335</v>
          </cell>
          <cell r="L1046" t="str">
            <v>CAJA DE VIVIENDA POPULAR</v>
          </cell>
          <cell r="M1046">
            <v>27</v>
          </cell>
          <cell r="N1046" t="str">
            <v>CAJA MENOR</v>
          </cell>
          <cell r="O1046">
            <v>7</v>
          </cell>
          <cell r="P1046">
            <v>43335</v>
          </cell>
          <cell r="Q1046" t="str">
            <v>REEMBOLSO DE CAJA MENOR DEL MES DE JULIO 2018</v>
          </cell>
          <cell r="R1046">
            <v>181210</v>
          </cell>
          <cell r="S1046">
            <v>0</v>
          </cell>
          <cell r="T1046">
            <v>0</v>
          </cell>
          <cell r="U1046">
            <v>181210</v>
          </cell>
          <cell r="V1046">
            <v>181210</v>
          </cell>
        </row>
        <row r="1047">
          <cell r="J1047">
            <v>1586</v>
          </cell>
          <cell r="K1047">
            <v>43174</v>
          </cell>
          <cell r="L1047" t="str">
            <v>CAJA DE VIVIENDA POPULAR</v>
          </cell>
          <cell r="M1047">
            <v>27</v>
          </cell>
          <cell r="N1047" t="str">
            <v>CAJA MENOR</v>
          </cell>
          <cell r="O1047">
            <v>2</v>
          </cell>
          <cell r="P1047">
            <v>43174</v>
          </cell>
          <cell r="Q1047" t="str">
            <v>REEMBOLSO DE CAJA MENOR DEL MES DE FEBRERO DE 2018</v>
          </cell>
          <cell r="R1047">
            <v>120000</v>
          </cell>
          <cell r="S1047">
            <v>0</v>
          </cell>
          <cell r="T1047">
            <v>0</v>
          </cell>
          <cell r="U1047">
            <v>120000</v>
          </cell>
          <cell r="V1047">
            <v>120000</v>
          </cell>
        </row>
        <row r="1048">
          <cell r="J1048">
            <v>1899</v>
          </cell>
          <cell r="K1048">
            <v>43231</v>
          </cell>
          <cell r="L1048" t="str">
            <v>CAJA DE VIVIENDA POPULAR</v>
          </cell>
          <cell r="M1048">
            <v>27</v>
          </cell>
          <cell r="N1048" t="str">
            <v>CAJA MENOR</v>
          </cell>
          <cell r="O1048">
            <v>4</v>
          </cell>
          <cell r="P1048">
            <v>43231</v>
          </cell>
          <cell r="Q1048" t="str">
            <v>REEMBOLSO DE CAJA MENOR MES ABRIL DEL 2018</v>
          </cell>
          <cell r="R1048">
            <v>38556</v>
          </cell>
          <cell r="S1048">
            <v>0</v>
          </cell>
          <cell r="T1048">
            <v>0</v>
          </cell>
          <cell r="U1048">
            <v>38556</v>
          </cell>
          <cell r="V1048">
            <v>38556</v>
          </cell>
        </row>
        <row r="1049">
          <cell r="J1049">
            <v>2044</v>
          </cell>
          <cell r="K1049">
            <v>43271</v>
          </cell>
          <cell r="L1049" t="str">
            <v>CAJA DE VIVIENDA POPULAR</v>
          </cell>
          <cell r="M1049">
            <v>27</v>
          </cell>
          <cell r="N1049" t="str">
            <v>CAJA MENOR</v>
          </cell>
          <cell r="O1049">
            <v>5</v>
          </cell>
          <cell r="P1049">
            <v>43271</v>
          </cell>
          <cell r="Q1049" t="str">
            <v>REEMBOLSO DE CAJA MENOR MES DE MAYO DE 2018</v>
          </cell>
          <cell r="R1049">
            <v>33900</v>
          </cell>
          <cell r="S1049">
            <v>0</v>
          </cell>
          <cell r="T1049">
            <v>0</v>
          </cell>
          <cell r="U1049">
            <v>33900</v>
          </cell>
          <cell r="V1049">
            <v>33900</v>
          </cell>
        </row>
        <row r="1050">
          <cell r="J1050">
            <v>2515</v>
          </cell>
          <cell r="K1050">
            <v>43300</v>
          </cell>
          <cell r="L1050" t="str">
            <v>CAJA DE VIVIENDA POPULAR</v>
          </cell>
          <cell r="M1050">
            <v>27</v>
          </cell>
          <cell r="N1050" t="str">
            <v>CAJA MENOR</v>
          </cell>
          <cell r="O1050">
            <v>6</v>
          </cell>
          <cell r="P1050">
            <v>43300</v>
          </cell>
          <cell r="Q1050" t="str">
            <v>REEMBOLSO DE CAJA MENOR MES DE JUNIO DE 2018</v>
          </cell>
          <cell r="R1050">
            <v>56700</v>
          </cell>
          <cell r="S1050">
            <v>0</v>
          </cell>
          <cell r="T1050">
            <v>0</v>
          </cell>
          <cell r="U1050">
            <v>56700</v>
          </cell>
          <cell r="V1050">
            <v>56700</v>
          </cell>
        </row>
        <row r="1051">
          <cell r="J1051">
            <v>2719</v>
          </cell>
          <cell r="K1051">
            <v>43335</v>
          </cell>
          <cell r="L1051" t="str">
            <v>CAJA DE VIVIENDA POPULAR</v>
          </cell>
          <cell r="M1051">
            <v>27</v>
          </cell>
          <cell r="N1051" t="str">
            <v>CAJA MENOR</v>
          </cell>
          <cell r="O1051">
            <v>7</v>
          </cell>
          <cell r="P1051">
            <v>43335</v>
          </cell>
          <cell r="Q1051" t="str">
            <v>REEMBOLSO DE CAJA MENOR DEL MES DE JULIO 2018</v>
          </cell>
          <cell r="R1051">
            <v>29170</v>
          </cell>
          <cell r="S1051">
            <v>0</v>
          </cell>
          <cell r="T1051">
            <v>0</v>
          </cell>
          <cell r="U1051">
            <v>29170</v>
          </cell>
          <cell r="V1051">
            <v>29170</v>
          </cell>
        </row>
        <row r="1052">
          <cell r="J1052">
            <v>1822</v>
          </cell>
          <cell r="K1052">
            <v>43209</v>
          </cell>
          <cell r="L1052" t="str">
            <v>CAJA DE VIVIENDA POPULAR</v>
          </cell>
          <cell r="M1052">
            <v>27</v>
          </cell>
          <cell r="N1052" t="str">
            <v>CAJA MENOR</v>
          </cell>
          <cell r="O1052">
            <v>3</v>
          </cell>
          <cell r="P1052">
            <v>43209</v>
          </cell>
          <cell r="Q1052" t="str">
            <v>REEMBOLSO DE CAJA MENOR DEL MES DE MARZO DE 2018</v>
          </cell>
          <cell r="R1052">
            <v>128300</v>
          </cell>
          <cell r="S1052">
            <v>0</v>
          </cell>
          <cell r="T1052">
            <v>0</v>
          </cell>
          <cell r="U1052">
            <v>128300</v>
          </cell>
          <cell r="V1052">
            <v>128300</v>
          </cell>
        </row>
        <row r="1053">
          <cell r="J1053">
            <v>2045</v>
          </cell>
          <cell r="K1053">
            <v>43271</v>
          </cell>
          <cell r="L1053" t="str">
            <v>CAJA DE VIVIENDA POPULAR</v>
          </cell>
          <cell r="M1053">
            <v>27</v>
          </cell>
          <cell r="N1053" t="str">
            <v>CAJA MENOR</v>
          </cell>
          <cell r="O1053">
            <v>5</v>
          </cell>
          <cell r="P1053">
            <v>43271</v>
          </cell>
          <cell r="Q1053" t="str">
            <v>REEMBOLSO DE CAJA MENOR MES DE MAYO DE 2018</v>
          </cell>
          <cell r="R1053">
            <v>100000</v>
          </cell>
          <cell r="S1053">
            <v>0</v>
          </cell>
          <cell r="T1053">
            <v>0</v>
          </cell>
          <cell r="U1053">
            <v>100000</v>
          </cell>
          <cell r="V1053">
            <v>100000</v>
          </cell>
        </row>
        <row r="1054">
          <cell r="J1054">
            <v>2516</v>
          </cell>
          <cell r="K1054">
            <v>43300</v>
          </cell>
          <cell r="L1054" t="str">
            <v>CAJA DE VIVIENDA POPULAR</v>
          </cell>
          <cell r="M1054">
            <v>27</v>
          </cell>
          <cell r="N1054" t="str">
            <v>CAJA MENOR</v>
          </cell>
          <cell r="O1054">
            <v>6</v>
          </cell>
          <cell r="P1054">
            <v>43300</v>
          </cell>
          <cell r="Q1054" t="str">
            <v>REEMBOLSO DE CAJA MENOR MES DE JUNIO DE 2018</v>
          </cell>
          <cell r="R1054">
            <v>121900</v>
          </cell>
          <cell r="S1054">
            <v>0</v>
          </cell>
          <cell r="T1054">
            <v>0</v>
          </cell>
          <cell r="U1054">
            <v>121900</v>
          </cell>
          <cell r="V1054">
            <v>121900</v>
          </cell>
        </row>
        <row r="1055">
          <cell r="J1055">
            <v>1587</v>
          </cell>
          <cell r="K1055">
            <v>43174</v>
          </cell>
          <cell r="L1055" t="str">
            <v>CAJA DE VIVIENDA POPULAR</v>
          </cell>
          <cell r="M1055">
            <v>27</v>
          </cell>
          <cell r="N1055" t="str">
            <v>CAJA MENOR</v>
          </cell>
          <cell r="O1055">
            <v>2</v>
          </cell>
          <cell r="P1055">
            <v>43174</v>
          </cell>
          <cell r="Q1055" t="str">
            <v>REEMBOLSO DE CAJA MENOR DEL MES DE FEBRERO DE 2018</v>
          </cell>
          <cell r="R1055">
            <v>124288</v>
          </cell>
          <cell r="S1055">
            <v>0</v>
          </cell>
          <cell r="T1055">
            <v>0</v>
          </cell>
          <cell r="U1055">
            <v>124288</v>
          </cell>
          <cell r="V1055">
            <v>124288</v>
          </cell>
        </row>
        <row r="1056">
          <cell r="J1056">
            <v>1823</v>
          </cell>
          <cell r="K1056">
            <v>43209</v>
          </cell>
          <cell r="L1056" t="str">
            <v>CAJA DE VIVIENDA POPULAR</v>
          </cell>
          <cell r="M1056">
            <v>27</v>
          </cell>
          <cell r="N1056" t="str">
            <v>CAJA MENOR</v>
          </cell>
          <cell r="O1056">
            <v>3</v>
          </cell>
          <cell r="P1056">
            <v>43209</v>
          </cell>
          <cell r="Q1056" t="str">
            <v>REEMBOLSO DE CAJA MENOR DEL MES DE MARZO DE 2018</v>
          </cell>
          <cell r="R1056">
            <v>45972</v>
          </cell>
          <cell r="S1056">
            <v>0</v>
          </cell>
          <cell r="T1056">
            <v>0</v>
          </cell>
          <cell r="U1056">
            <v>45972</v>
          </cell>
          <cell r="V1056">
            <v>45972</v>
          </cell>
        </row>
        <row r="1057">
          <cell r="J1057">
            <v>1900</v>
          </cell>
          <cell r="K1057">
            <v>43231</v>
          </cell>
          <cell r="L1057" t="str">
            <v>CAJA DE VIVIENDA POPULAR</v>
          </cell>
          <cell r="M1057">
            <v>27</v>
          </cell>
          <cell r="N1057" t="str">
            <v>CAJA MENOR</v>
          </cell>
          <cell r="O1057">
            <v>4</v>
          </cell>
          <cell r="P1057">
            <v>43231</v>
          </cell>
          <cell r="Q1057" t="str">
            <v>REEMBOLSO DE CAJA MENOR MES ABRIL DEL 2018</v>
          </cell>
          <cell r="R1057">
            <v>42545</v>
          </cell>
          <cell r="S1057">
            <v>0</v>
          </cell>
          <cell r="T1057">
            <v>0</v>
          </cell>
          <cell r="U1057">
            <v>42545</v>
          </cell>
          <cell r="V1057">
            <v>42545</v>
          </cell>
        </row>
        <row r="1058">
          <cell r="J1058">
            <v>2046</v>
          </cell>
          <cell r="K1058">
            <v>43271</v>
          </cell>
          <cell r="L1058" t="str">
            <v>CAJA DE VIVIENDA POPULAR</v>
          </cell>
          <cell r="M1058">
            <v>27</v>
          </cell>
          <cell r="N1058" t="str">
            <v>CAJA MENOR</v>
          </cell>
          <cell r="O1058">
            <v>5</v>
          </cell>
          <cell r="P1058">
            <v>43271</v>
          </cell>
          <cell r="Q1058" t="str">
            <v>REEMBOLSO DE CAJA MENOR MES DE MAYO DE 2018</v>
          </cell>
          <cell r="R1058">
            <v>122094</v>
          </cell>
          <cell r="S1058">
            <v>0</v>
          </cell>
          <cell r="T1058">
            <v>0</v>
          </cell>
          <cell r="U1058">
            <v>122094</v>
          </cell>
          <cell r="V1058">
            <v>122094</v>
          </cell>
        </row>
        <row r="1059">
          <cell r="J1059">
            <v>2517</v>
          </cell>
          <cell r="K1059">
            <v>43300</v>
          </cell>
          <cell r="L1059" t="str">
            <v>CAJA DE VIVIENDA POPULAR</v>
          </cell>
          <cell r="M1059">
            <v>27</v>
          </cell>
          <cell r="N1059" t="str">
            <v>CAJA MENOR</v>
          </cell>
          <cell r="O1059">
            <v>6</v>
          </cell>
          <cell r="P1059">
            <v>43300</v>
          </cell>
          <cell r="Q1059" t="str">
            <v>REEMBOLSO DE CAJA MENOR MES DE JUNIO DE 2018</v>
          </cell>
          <cell r="R1059">
            <v>126187</v>
          </cell>
          <cell r="S1059">
            <v>0</v>
          </cell>
          <cell r="T1059">
            <v>0</v>
          </cell>
          <cell r="U1059">
            <v>126187</v>
          </cell>
          <cell r="V1059">
            <v>126187</v>
          </cell>
        </row>
        <row r="1060">
          <cell r="J1060">
            <v>457</v>
          </cell>
          <cell r="K1060">
            <v>43126</v>
          </cell>
          <cell r="L1060" t="str">
            <v>GERMAN ALBERTO BAHAMON JARAMILLO</v>
          </cell>
          <cell r="M1060">
            <v>31</v>
          </cell>
          <cell r="N1060" t="str">
            <v>RESOLUCION</v>
          </cell>
          <cell r="O1060">
            <v>198</v>
          </cell>
          <cell r="P1060">
            <v>43126</v>
          </cell>
          <cell r="Q1060" t="str">
            <v>PAGO DE PRESTACIONES SOCIALES DEFINITIVAS DE UN EXFUNCIONARIO DE LA ENTIDAD</v>
          </cell>
          <cell r="R1060">
            <v>1910032</v>
          </cell>
          <cell r="S1060">
            <v>1910032</v>
          </cell>
          <cell r="T1060">
            <v>0</v>
          </cell>
          <cell r="U1060">
            <v>0</v>
          </cell>
          <cell r="V1060">
            <v>0</v>
          </cell>
        </row>
        <row r="1061">
          <cell r="J1061">
            <v>471</v>
          </cell>
          <cell r="K1061">
            <v>43126</v>
          </cell>
          <cell r="L1061" t="str">
            <v>GERMAN ALBERTO BAHAMON JARAMILLO</v>
          </cell>
          <cell r="M1061">
            <v>31</v>
          </cell>
          <cell r="N1061" t="str">
            <v>RESOLUCION</v>
          </cell>
          <cell r="O1061">
            <v>198</v>
          </cell>
          <cell r="P1061">
            <v>43126</v>
          </cell>
          <cell r="Q1061" t="str">
            <v>PAGO DE PRESTACIONES SOCIALES DEFINITIVAS DE UN EXFUNCIONARIO DE LA ENTIDAD</v>
          </cell>
          <cell r="R1061">
            <v>1910302</v>
          </cell>
          <cell r="S1061">
            <v>0</v>
          </cell>
          <cell r="T1061">
            <v>0</v>
          </cell>
          <cell r="U1061">
            <v>1910302</v>
          </cell>
          <cell r="V1061">
            <v>1910302</v>
          </cell>
        </row>
        <row r="1062">
          <cell r="J1062">
            <v>1939</v>
          </cell>
          <cell r="K1062">
            <v>43242</v>
          </cell>
          <cell r="L1062" t="str">
            <v>GERMAN ALBERTO BAHAMON JARAMILLO</v>
          </cell>
          <cell r="M1062">
            <v>31</v>
          </cell>
          <cell r="N1062" t="str">
            <v>RESOLUCION</v>
          </cell>
          <cell r="O1062">
            <v>2068</v>
          </cell>
          <cell r="P1062">
            <v>43242</v>
          </cell>
          <cell r="Q1062" t="str">
            <v>PAGO DE REAJUSTE DE PRESTACIONES SOCIALES DEFINITIVAS DE UN EXFUNCIONARIO DE LA ENTIDAD</v>
          </cell>
          <cell r="R1062">
            <v>41186</v>
          </cell>
          <cell r="S1062">
            <v>0</v>
          </cell>
          <cell r="T1062">
            <v>0</v>
          </cell>
          <cell r="U1062">
            <v>41186</v>
          </cell>
          <cell r="V1062">
            <v>41186</v>
          </cell>
        </row>
        <row r="1063">
          <cell r="J1063">
            <v>2697</v>
          </cell>
          <cell r="K1063">
            <v>43334</v>
          </cell>
          <cell r="L1063" t="str">
            <v>JUAN PABLO VELASQUEZ SILVA</v>
          </cell>
          <cell r="M1063">
            <v>31</v>
          </cell>
          <cell r="N1063" t="str">
            <v>RESOLUCION</v>
          </cell>
          <cell r="O1063">
            <v>3143</v>
          </cell>
          <cell r="P1063">
            <v>43334</v>
          </cell>
          <cell r="Q1063" t="str">
            <v>PAGO DE PRESTACIONES SOCIALES DEFINITIVAS A EXFUNCIONARIO DE LA ENTIDAD</v>
          </cell>
          <cell r="R1063">
            <v>2350621</v>
          </cell>
          <cell r="S1063">
            <v>2350621</v>
          </cell>
          <cell r="T1063">
            <v>0</v>
          </cell>
          <cell r="U1063">
            <v>0</v>
          </cell>
          <cell r="V1063">
            <v>0</v>
          </cell>
        </row>
        <row r="1064">
          <cell r="J1064">
            <v>2721</v>
          </cell>
          <cell r="K1064">
            <v>43335</v>
          </cell>
          <cell r="L1064" t="str">
            <v>JUAN PABLO VELASQUEZ SILVA</v>
          </cell>
          <cell r="M1064">
            <v>31</v>
          </cell>
          <cell r="N1064" t="str">
            <v>RESOLUCION</v>
          </cell>
          <cell r="O1064">
            <v>3143</v>
          </cell>
          <cell r="P1064">
            <v>43335</v>
          </cell>
          <cell r="Q1064" t="str">
            <v>PAGO DE PRESTACIONES SOCIALES DEFINITIVAS A EXFUNCIONARIO DE LA ENTIDAD</v>
          </cell>
          <cell r="R1064">
            <v>2350621</v>
          </cell>
          <cell r="S1064">
            <v>0</v>
          </cell>
          <cell r="T1064">
            <v>0</v>
          </cell>
          <cell r="U1064">
            <v>2350621</v>
          </cell>
          <cell r="V1064">
            <v>2350621</v>
          </cell>
        </row>
        <row r="1065">
          <cell r="J1065">
            <v>1939</v>
          </cell>
          <cell r="K1065">
            <v>43242</v>
          </cell>
          <cell r="L1065" t="str">
            <v>GERMAN ALBERTO BAHAMON JARAMILLO</v>
          </cell>
          <cell r="M1065">
            <v>31</v>
          </cell>
          <cell r="N1065" t="str">
            <v>RESOLUCION</v>
          </cell>
          <cell r="O1065">
            <v>2068</v>
          </cell>
          <cell r="P1065">
            <v>43242</v>
          </cell>
          <cell r="Q1065" t="str">
            <v>PAGO DE REAJUSTE DE PRESTACIONES SOCIALES DEFINITIVAS DE UN EXFUNCIONARIO DE LA ENTIDAD</v>
          </cell>
          <cell r="R1065">
            <v>41186</v>
          </cell>
          <cell r="S1065">
            <v>0</v>
          </cell>
          <cell r="T1065">
            <v>0</v>
          </cell>
          <cell r="U1065">
            <v>41186</v>
          </cell>
          <cell r="V1065">
            <v>41186</v>
          </cell>
        </row>
        <row r="1066">
          <cell r="J1066">
            <v>2697</v>
          </cell>
          <cell r="K1066">
            <v>43334</v>
          </cell>
          <cell r="L1066" t="str">
            <v>JUAN PABLO VELASQUEZ SILVA</v>
          </cell>
          <cell r="M1066">
            <v>31</v>
          </cell>
          <cell r="N1066" t="str">
            <v>RESOLUCION</v>
          </cell>
          <cell r="O1066">
            <v>3143</v>
          </cell>
          <cell r="P1066">
            <v>43334</v>
          </cell>
          <cell r="Q1066" t="str">
            <v>PAGO DE PRESTACIONES SOCIALES DEFINITIVAS A EXFUNCIONARIO DE LA ENTIDAD</v>
          </cell>
          <cell r="R1066">
            <v>1175311</v>
          </cell>
          <cell r="S1066">
            <v>1175311</v>
          </cell>
          <cell r="T1066">
            <v>0</v>
          </cell>
          <cell r="U1066">
            <v>0</v>
          </cell>
          <cell r="V1066">
            <v>0</v>
          </cell>
        </row>
        <row r="1067">
          <cell r="J1067">
            <v>2721</v>
          </cell>
          <cell r="K1067">
            <v>43335</v>
          </cell>
          <cell r="L1067" t="str">
            <v>JUAN PABLO VELASQUEZ SILVA</v>
          </cell>
          <cell r="M1067">
            <v>31</v>
          </cell>
          <cell r="N1067" t="str">
            <v>RESOLUCION</v>
          </cell>
          <cell r="O1067">
            <v>3143</v>
          </cell>
          <cell r="P1067">
            <v>43335</v>
          </cell>
          <cell r="Q1067" t="str">
            <v>PAGO DE PRESTACIONES SOCIALES DEFINITIVAS A EXFUNCIONARIO DE LA ENTIDAD</v>
          </cell>
          <cell r="R1067">
            <v>940248</v>
          </cell>
          <cell r="S1067">
            <v>0</v>
          </cell>
          <cell r="T1067">
            <v>0</v>
          </cell>
          <cell r="U1067">
            <v>940248</v>
          </cell>
          <cell r="V1067">
            <v>940248</v>
          </cell>
        </row>
        <row r="1068">
          <cell r="J1068">
            <v>456</v>
          </cell>
          <cell r="K1068">
            <v>43126</v>
          </cell>
          <cell r="L1068" t="str">
            <v>GERMAN ALBERTO BAHAMON JARAMILLO</v>
          </cell>
          <cell r="M1068">
            <v>31</v>
          </cell>
          <cell r="N1068" t="str">
            <v>RESOLUCION</v>
          </cell>
          <cell r="O1068">
            <v>198</v>
          </cell>
          <cell r="P1068">
            <v>43126</v>
          </cell>
          <cell r="Q1068" t="str">
            <v>PAGO DE PRESTACIONES SOCIALES DEFINITIVAS DE UN EXFUNCIONARIO DE LA ENTIDAD</v>
          </cell>
          <cell r="R1068">
            <v>2103607</v>
          </cell>
          <cell r="S1068">
            <v>0</v>
          </cell>
          <cell r="T1068">
            <v>0</v>
          </cell>
          <cell r="U1068">
            <v>2103607</v>
          </cell>
          <cell r="V1068">
            <v>2103607</v>
          </cell>
        </row>
        <row r="1069">
          <cell r="J1069">
            <v>479</v>
          </cell>
          <cell r="K1069">
            <v>43126</v>
          </cell>
          <cell r="L1069" t="str">
            <v>MARCELA  SIERRA CUELLO</v>
          </cell>
          <cell r="M1069">
            <v>31</v>
          </cell>
          <cell r="N1069" t="str">
            <v>RESOLUCION</v>
          </cell>
          <cell r="O1069">
            <v>199</v>
          </cell>
          <cell r="P1069">
            <v>43126</v>
          </cell>
          <cell r="Q1069" t="str">
            <v>CUBRIR EL PAGO DE PRIMA DE NAVIDAD DE TRES EX FUNCIONARIOS DE LA ENTIDAD.</v>
          </cell>
          <cell r="R1069">
            <v>869758</v>
          </cell>
          <cell r="S1069">
            <v>0</v>
          </cell>
          <cell r="T1069">
            <v>0</v>
          </cell>
          <cell r="U1069">
            <v>869758</v>
          </cell>
          <cell r="V1069">
            <v>869758</v>
          </cell>
        </row>
        <row r="1070">
          <cell r="J1070">
            <v>551</v>
          </cell>
          <cell r="K1070">
            <v>43133</v>
          </cell>
          <cell r="L1070" t="str">
            <v>JUAN MANUEL RODRIGUEZ PARRA</v>
          </cell>
          <cell r="M1070">
            <v>31</v>
          </cell>
          <cell r="N1070" t="str">
            <v>RESOLUCION</v>
          </cell>
          <cell r="O1070">
            <v>200</v>
          </cell>
          <cell r="P1070">
            <v>43102</v>
          </cell>
          <cell r="Q1070" t="str">
            <v>PAGO DE PRTESTACIONES SOCIALES DEFINITIVAS A EXFUNCIONARIO DE LA ENTIDAD.</v>
          </cell>
          <cell r="R1070">
            <v>812003</v>
          </cell>
          <cell r="S1070">
            <v>0</v>
          </cell>
          <cell r="T1070">
            <v>0</v>
          </cell>
          <cell r="U1070">
            <v>812003</v>
          </cell>
          <cell r="V1070">
            <v>812003</v>
          </cell>
        </row>
        <row r="1071">
          <cell r="J1071">
            <v>1941</v>
          </cell>
          <cell r="K1071">
            <v>43242</v>
          </cell>
          <cell r="L1071" t="str">
            <v>GERMAN ALBERTO BAHAMON JARAMILLO</v>
          </cell>
          <cell r="M1071">
            <v>31</v>
          </cell>
          <cell r="N1071" t="str">
            <v>RESOLUCION</v>
          </cell>
          <cell r="O1071">
            <v>2068</v>
          </cell>
          <cell r="P1071">
            <v>43242</v>
          </cell>
          <cell r="Q1071" t="str">
            <v>PAGO DE REAJUSTE DE PRESTACIONES SOCIALES DEFINITIVAS DE UN EXFUNCIONARIO DE LA ENTIDAD</v>
          </cell>
          <cell r="R1071">
            <v>112850</v>
          </cell>
          <cell r="S1071">
            <v>0</v>
          </cell>
          <cell r="T1071">
            <v>0</v>
          </cell>
          <cell r="U1071">
            <v>112850</v>
          </cell>
          <cell r="V1071">
            <v>112850</v>
          </cell>
        </row>
        <row r="1072">
          <cell r="J1072">
            <v>2496</v>
          </cell>
          <cell r="K1072">
            <v>43298</v>
          </cell>
          <cell r="L1072" t="str">
            <v>CAROLINA  FERNANDEZ BOLAÑOS</v>
          </cell>
          <cell r="M1072">
            <v>31</v>
          </cell>
          <cell r="N1072" t="str">
            <v>RESOLUCION</v>
          </cell>
          <cell r="O1072">
            <v>2067</v>
          </cell>
          <cell r="P1072">
            <v>43298</v>
          </cell>
          <cell r="Q1072" t="str">
            <v>PAGO DE PRESTACIONES SOCIALES DEFINITIVAS DE UN EXFUNCIONARIO DE LA ENTIDAD</v>
          </cell>
          <cell r="R1072">
            <v>710864</v>
          </cell>
          <cell r="S1072">
            <v>0</v>
          </cell>
          <cell r="T1072">
            <v>0</v>
          </cell>
          <cell r="U1072">
            <v>710864</v>
          </cell>
          <cell r="V1072">
            <v>710864</v>
          </cell>
        </row>
        <row r="1073">
          <cell r="J1073">
            <v>2693</v>
          </cell>
          <cell r="K1073">
            <v>43334</v>
          </cell>
          <cell r="L1073" t="str">
            <v>GUILLERMO ANDRES ARCILA HOYOS</v>
          </cell>
          <cell r="M1073">
            <v>31</v>
          </cell>
          <cell r="N1073" t="str">
            <v>RESOLUCION</v>
          </cell>
          <cell r="O1073">
            <v>3144</v>
          </cell>
          <cell r="P1073">
            <v>43334</v>
          </cell>
          <cell r="Q1073" t="str">
            <v>PAGO DE PRESTACIONES SOCIALES DEFINITIVAS DE UN EXFUNCIONARIO DE LE ENTIDAD</v>
          </cell>
          <cell r="R1073">
            <v>8700133</v>
          </cell>
          <cell r="S1073">
            <v>0</v>
          </cell>
          <cell r="T1073">
            <v>0</v>
          </cell>
          <cell r="U1073">
            <v>8700133</v>
          </cell>
          <cell r="V1073">
            <v>8700133</v>
          </cell>
        </row>
        <row r="1074">
          <cell r="J1074">
            <v>2700</v>
          </cell>
          <cell r="K1074">
            <v>43334</v>
          </cell>
          <cell r="L1074" t="str">
            <v>JUAN PABLO VELASQUEZ SILVA</v>
          </cell>
          <cell r="M1074">
            <v>31</v>
          </cell>
          <cell r="N1074" t="str">
            <v>RESOLUCION</v>
          </cell>
          <cell r="O1074">
            <v>3143</v>
          </cell>
          <cell r="P1074">
            <v>43334</v>
          </cell>
          <cell r="Q1074" t="str">
            <v>PAGO DE PRIMA DE NAVIDAD A EXFUNCIONARIOS DE LA ENTIDAD.</v>
          </cell>
          <cell r="R1074">
            <v>8176237</v>
          </cell>
          <cell r="S1074">
            <v>0</v>
          </cell>
          <cell r="T1074">
            <v>0</v>
          </cell>
          <cell r="U1074">
            <v>8176237</v>
          </cell>
          <cell r="V1074">
            <v>8176237</v>
          </cell>
        </row>
        <row r="1075">
          <cell r="J1075">
            <v>2702</v>
          </cell>
          <cell r="K1075">
            <v>43334</v>
          </cell>
          <cell r="L1075" t="str">
            <v>JUAN PABLO TOVAR OCHOA</v>
          </cell>
          <cell r="M1075">
            <v>31</v>
          </cell>
          <cell r="N1075" t="str">
            <v>RESOLUCION</v>
          </cell>
          <cell r="O1075">
            <v>3145</v>
          </cell>
          <cell r="P1075">
            <v>43334</v>
          </cell>
          <cell r="Q1075" t="str">
            <v>PAGO DE PRESTACIONES SOCIALES DEFINITIVAS DE UN EXFUNCIONARIO DE LA ENTIDAD</v>
          </cell>
          <cell r="R1075">
            <v>9429253</v>
          </cell>
          <cell r="S1075">
            <v>0</v>
          </cell>
          <cell r="T1075">
            <v>0</v>
          </cell>
          <cell r="U1075">
            <v>9429253</v>
          </cell>
          <cell r="V1075">
            <v>9429253</v>
          </cell>
        </row>
        <row r="1076">
          <cell r="J1076">
            <v>457</v>
          </cell>
          <cell r="K1076">
            <v>43126</v>
          </cell>
          <cell r="L1076" t="str">
            <v>GERMAN ALBERTO BAHAMON JARAMILLO</v>
          </cell>
          <cell r="M1076">
            <v>31</v>
          </cell>
          <cell r="N1076" t="str">
            <v>RESOLUCION</v>
          </cell>
          <cell r="O1076">
            <v>198</v>
          </cell>
          <cell r="P1076">
            <v>43126</v>
          </cell>
          <cell r="Q1076" t="str">
            <v>PAGO DE PRESTACIONES SOCIALES DEFINITIVAS DE UN EXFUNCIONARIO DE LA ENTIDAD</v>
          </cell>
          <cell r="R1076">
            <v>9910663</v>
          </cell>
          <cell r="S1076">
            <v>9910663</v>
          </cell>
          <cell r="T1076">
            <v>0</v>
          </cell>
          <cell r="U1076">
            <v>0</v>
          </cell>
          <cell r="V1076">
            <v>0</v>
          </cell>
        </row>
        <row r="1077">
          <cell r="J1077">
            <v>471</v>
          </cell>
          <cell r="K1077">
            <v>43126</v>
          </cell>
          <cell r="L1077" t="str">
            <v>GERMAN ALBERTO BAHAMON JARAMILLO</v>
          </cell>
          <cell r="M1077">
            <v>31</v>
          </cell>
          <cell r="N1077" t="str">
            <v>RESOLUCION</v>
          </cell>
          <cell r="O1077">
            <v>198</v>
          </cell>
          <cell r="P1077">
            <v>43126</v>
          </cell>
          <cell r="Q1077" t="str">
            <v>PAGO DE PRESTACIONES SOCIALES DEFINITIVAS DE UN EXFUNCIONARIO DE LA ENTIDAD</v>
          </cell>
          <cell r="R1077">
            <v>9910663</v>
          </cell>
          <cell r="S1077">
            <v>0</v>
          </cell>
          <cell r="T1077">
            <v>0</v>
          </cell>
          <cell r="U1077">
            <v>9910663</v>
          </cell>
          <cell r="V1077">
            <v>9910663</v>
          </cell>
        </row>
        <row r="1078">
          <cell r="J1078">
            <v>476</v>
          </cell>
          <cell r="K1078">
            <v>43126</v>
          </cell>
          <cell r="L1078" t="str">
            <v>MARCELA  SIERRA CUELLO</v>
          </cell>
          <cell r="M1078">
            <v>31</v>
          </cell>
          <cell r="N1078" t="str">
            <v>RESOLUCION</v>
          </cell>
          <cell r="O1078">
            <v>199</v>
          </cell>
          <cell r="P1078">
            <v>43126</v>
          </cell>
          <cell r="Q1078" t="str">
            <v>PAGO DE PRESTACIONES SOCIALES DEFINITIVAS DE UNA EXFUNCIANROA DE LA ENTIDAD</v>
          </cell>
          <cell r="R1078">
            <v>15454632</v>
          </cell>
          <cell r="S1078">
            <v>0</v>
          </cell>
          <cell r="T1078">
            <v>0</v>
          </cell>
          <cell r="U1078">
            <v>15454632</v>
          </cell>
          <cell r="V1078">
            <v>15454632</v>
          </cell>
        </row>
        <row r="1079">
          <cell r="J1079">
            <v>542</v>
          </cell>
          <cell r="K1079">
            <v>43133</v>
          </cell>
          <cell r="L1079" t="str">
            <v>JUAN MANUEL RODRIGUEZ PARRA</v>
          </cell>
          <cell r="M1079">
            <v>31</v>
          </cell>
          <cell r="N1079" t="str">
            <v>RESOLUCION</v>
          </cell>
          <cell r="O1079">
            <v>200</v>
          </cell>
          <cell r="P1079">
            <v>43102</v>
          </cell>
          <cell r="Q1079" t="str">
            <v>PAGO DE PRTESTACIONES SOCIALES DEFINITIVAS A EXFUNCIONARIO DE LA ENTIDAD</v>
          </cell>
          <cell r="R1079">
            <v>9402892</v>
          </cell>
          <cell r="S1079">
            <v>0</v>
          </cell>
          <cell r="T1079">
            <v>0</v>
          </cell>
          <cell r="U1079">
            <v>9402892</v>
          </cell>
          <cell r="V1079">
            <v>9402892</v>
          </cell>
        </row>
        <row r="1080">
          <cell r="J1080">
            <v>1939</v>
          </cell>
          <cell r="K1080">
            <v>43242</v>
          </cell>
          <cell r="L1080" t="str">
            <v>GERMAN ALBERTO BAHAMON JARAMILLO</v>
          </cell>
          <cell r="M1080">
            <v>31</v>
          </cell>
          <cell r="N1080" t="str">
            <v>RESOLUCION</v>
          </cell>
          <cell r="O1080">
            <v>2068</v>
          </cell>
          <cell r="P1080">
            <v>43242</v>
          </cell>
          <cell r="Q1080" t="str">
            <v>PAGO DE REAJUSTE DE PRESTACIONES SOCIALES DEFINITIVAS DE UN EXFUNCIONARIO DE LA ENTIDAD</v>
          </cell>
          <cell r="R1080">
            <v>473355</v>
          </cell>
          <cell r="S1080">
            <v>0</v>
          </cell>
          <cell r="T1080">
            <v>0</v>
          </cell>
          <cell r="U1080">
            <v>473355</v>
          </cell>
          <cell r="V1080">
            <v>473355</v>
          </cell>
        </row>
        <row r="1081">
          <cell r="J1081">
            <v>2498</v>
          </cell>
          <cell r="K1081">
            <v>43298</v>
          </cell>
          <cell r="L1081" t="str">
            <v>CAROLINA  FERNANDEZ BOLAÑOS</v>
          </cell>
          <cell r="M1081">
            <v>31</v>
          </cell>
          <cell r="N1081" t="str">
            <v>RESOLUCION</v>
          </cell>
          <cell r="O1081">
            <v>2067</v>
          </cell>
          <cell r="P1081">
            <v>43298</v>
          </cell>
          <cell r="Q1081" t="str">
            <v>PAGO DE PRESTACIONES SOCIALES DEFINITIVAS DE UN EXFUNCIONARIO DE LA ENTIDAD</v>
          </cell>
          <cell r="R1081">
            <v>1237653</v>
          </cell>
          <cell r="S1081">
            <v>0</v>
          </cell>
          <cell r="T1081">
            <v>0</v>
          </cell>
          <cell r="U1081">
            <v>1237653</v>
          </cell>
          <cell r="V1081">
            <v>1237653</v>
          </cell>
        </row>
        <row r="1082">
          <cell r="J1082">
            <v>2694</v>
          </cell>
          <cell r="K1082">
            <v>43334</v>
          </cell>
          <cell r="L1082" t="str">
            <v>GUILLERMO ANDRES ARCILA HOYOS</v>
          </cell>
          <cell r="M1082">
            <v>31</v>
          </cell>
          <cell r="N1082" t="str">
            <v>RESOLUCION</v>
          </cell>
          <cell r="O1082">
            <v>3144</v>
          </cell>
          <cell r="P1082">
            <v>43334</v>
          </cell>
          <cell r="Q1082" t="str">
            <v>PAGO DE PRESTACIONES SOCIALES DEFINITIVAS DE UN EXFUNCIONARIO DE LA ENTIDAD</v>
          </cell>
          <cell r="R1082">
            <v>9048395</v>
          </cell>
          <cell r="S1082">
            <v>0</v>
          </cell>
          <cell r="T1082">
            <v>0</v>
          </cell>
          <cell r="U1082">
            <v>9048395</v>
          </cell>
          <cell r="V1082">
            <v>9048395</v>
          </cell>
        </row>
        <row r="1083">
          <cell r="J1083">
            <v>2697</v>
          </cell>
          <cell r="K1083">
            <v>43334</v>
          </cell>
          <cell r="L1083" t="str">
            <v>JUAN PABLO VELASQUEZ SILVA</v>
          </cell>
          <cell r="M1083">
            <v>31</v>
          </cell>
          <cell r="N1083" t="str">
            <v>RESOLUCION</v>
          </cell>
          <cell r="O1083">
            <v>3143</v>
          </cell>
          <cell r="P1083">
            <v>43334</v>
          </cell>
          <cell r="Q1083" t="str">
            <v>PAGO DE PRESTACIONES SOCIALES DEFINITIVAS A EXFUNCIONARIO DE LA ENTIDAD</v>
          </cell>
          <cell r="R1083">
            <v>2421931</v>
          </cell>
          <cell r="S1083">
            <v>2421931</v>
          </cell>
          <cell r="T1083">
            <v>0</v>
          </cell>
          <cell r="U1083">
            <v>0</v>
          </cell>
          <cell r="V1083">
            <v>0</v>
          </cell>
        </row>
        <row r="1084">
          <cell r="J1084">
            <v>2701</v>
          </cell>
          <cell r="K1084">
            <v>43334</v>
          </cell>
          <cell r="L1084" t="str">
            <v>JUAN PABLO TOVAR OCHOA</v>
          </cell>
          <cell r="M1084">
            <v>31</v>
          </cell>
          <cell r="N1084" t="str">
            <v>RESOLUCION</v>
          </cell>
          <cell r="O1084">
            <v>3145</v>
          </cell>
          <cell r="P1084">
            <v>43334</v>
          </cell>
          <cell r="Q1084" t="str">
            <v>PAGO DE PRESTACIONES SOCIALES DEFINITIVAS DE UN EXFUNCIONARIO DE LA ENTIDAD</v>
          </cell>
          <cell r="R1084">
            <v>16389034</v>
          </cell>
          <cell r="S1084">
            <v>0</v>
          </cell>
          <cell r="T1084">
            <v>0</v>
          </cell>
          <cell r="U1084">
            <v>16389034</v>
          </cell>
          <cell r="V1084">
            <v>16389034</v>
          </cell>
        </row>
        <row r="1085">
          <cell r="J1085">
            <v>2721</v>
          </cell>
          <cell r="K1085">
            <v>43335</v>
          </cell>
          <cell r="L1085" t="str">
            <v>JUAN PABLO VELASQUEZ SILVA</v>
          </cell>
          <cell r="M1085">
            <v>31</v>
          </cell>
          <cell r="N1085" t="str">
            <v>RESOLUCION</v>
          </cell>
          <cell r="O1085">
            <v>3143</v>
          </cell>
          <cell r="P1085">
            <v>43335</v>
          </cell>
          <cell r="Q1085" t="str">
            <v>PAGO DE PRESTACIONES SOCIALES DEFINITIVAS A EXFUNCIONARIO DE LA ENTIDAD</v>
          </cell>
          <cell r="R1085">
            <v>2421931</v>
          </cell>
          <cell r="S1085">
            <v>0</v>
          </cell>
          <cell r="T1085">
            <v>0</v>
          </cell>
          <cell r="U1085">
            <v>2421931</v>
          </cell>
          <cell r="V1085">
            <v>2421931</v>
          </cell>
        </row>
        <row r="1086">
          <cell r="J1086">
            <v>1939</v>
          </cell>
          <cell r="K1086">
            <v>43242</v>
          </cell>
          <cell r="L1086" t="str">
            <v>GERMAN ALBERTO BAHAMON JARAMILLO</v>
          </cell>
          <cell r="M1086">
            <v>31</v>
          </cell>
          <cell r="N1086" t="str">
            <v>RESOLUCION</v>
          </cell>
          <cell r="O1086">
            <v>2068</v>
          </cell>
          <cell r="P1086">
            <v>43242</v>
          </cell>
          <cell r="Q1086" t="str">
            <v>PAGO DE REAJUSTE DE PRESTACIONES SOCIALES DEFINITIVAS DE UN EXFUNCIONARIO DE LA ENTIDAD</v>
          </cell>
          <cell r="R1086">
            <v>20593</v>
          </cell>
          <cell r="S1086">
            <v>0</v>
          </cell>
          <cell r="T1086">
            <v>0</v>
          </cell>
          <cell r="U1086">
            <v>20593</v>
          </cell>
          <cell r="V1086">
            <v>20593</v>
          </cell>
        </row>
        <row r="1087">
          <cell r="J1087">
            <v>2697</v>
          </cell>
          <cell r="K1087">
            <v>43334</v>
          </cell>
          <cell r="L1087" t="str">
            <v>JUAN PABLO VELASQUEZ SILVA</v>
          </cell>
          <cell r="M1087">
            <v>31</v>
          </cell>
          <cell r="N1087" t="str">
            <v>RESOLUCION</v>
          </cell>
          <cell r="O1087">
            <v>3143</v>
          </cell>
          <cell r="P1087">
            <v>43334</v>
          </cell>
          <cell r="Q1087" t="str">
            <v>PAGO DE PRESTACIONES SOCIALES DEFINITIVAS A EXFUNCIONARIO DE LA ENTIDAD</v>
          </cell>
          <cell r="R1087">
            <v>940248</v>
          </cell>
          <cell r="S1087">
            <v>940248</v>
          </cell>
          <cell r="T1087">
            <v>0</v>
          </cell>
          <cell r="U1087">
            <v>0</v>
          </cell>
          <cell r="V1087">
            <v>0</v>
          </cell>
        </row>
        <row r="1088">
          <cell r="J1088">
            <v>2721</v>
          </cell>
          <cell r="K1088">
            <v>43335</v>
          </cell>
          <cell r="L1088" t="str">
            <v>JUAN PABLO VELASQUEZ SILVA</v>
          </cell>
          <cell r="M1088">
            <v>31</v>
          </cell>
          <cell r="N1088" t="str">
            <v>RESOLUCION</v>
          </cell>
          <cell r="O1088">
            <v>3143</v>
          </cell>
          <cell r="P1088">
            <v>43335</v>
          </cell>
          <cell r="Q1088" t="str">
            <v>PAGO DE PRESTACIONES SOCIALES DEFINITIVAS A EXFUNCIONARIO DE LA ENTIDAD</v>
          </cell>
          <cell r="R1088">
            <v>1175311</v>
          </cell>
          <cell r="S1088">
            <v>0</v>
          </cell>
          <cell r="T1088">
            <v>0</v>
          </cell>
          <cell r="U1088">
            <v>1175311</v>
          </cell>
          <cell r="V1088">
            <v>1175311</v>
          </cell>
        </row>
        <row r="1089">
          <cell r="J1089">
            <v>459</v>
          </cell>
          <cell r="K1089">
            <v>43126</v>
          </cell>
          <cell r="L1089" t="str">
            <v>GERMAN ALBERTO BAHAMON JARAMILLO</v>
          </cell>
          <cell r="M1089">
            <v>31</v>
          </cell>
          <cell r="N1089" t="str">
            <v>RESOLUCION</v>
          </cell>
          <cell r="O1089">
            <v>198</v>
          </cell>
          <cell r="P1089">
            <v>43126</v>
          </cell>
          <cell r="Q1089" t="str">
            <v>PAGO DE PRESTACIONES SOCIALES DEFINITIVAS DE UN EXFUNCIONARIO DE LE ENTIDAD</v>
          </cell>
          <cell r="R1089">
            <v>13874928</v>
          </cell>
          <cell r="S1089">
            <v>0</v>
          </cell>
          <cell r="T1089">
            <v>0</v>
          </cell>
          <cell r="U1089">
            <v>13874928</v>
          </cell>
          <cell r="V1089">
            <v>13874928</v>
          </cell>
        </row>
        <row r="1090">
          <cell r="J1090">
            <v>478</v>
          </cell>
          <cell r="K1090">
            <v>43126</v>
          </cell>
          <cell r="L1090" t="str">
            <v>MARCELA  SIERRA CUELLO</v>
          </cell>
          <cell r="M1090">
            <v>31</v>
          </cell>
          <cell r="N1090" t="str">
            <v>RESOLUCION</v>
          </cell>
          <cell r="O1090">
            <v>199</v>
          </cell>
          <cell r="P1090">
            <v>43126</v>
          </cell>
          <cell r="Q1090" t="str">
            <v>Cubrir el pago de vacaciones en dinero de tres exfuncionarios de la entidad.</v>
          </cell>
          <cell r="R1090">
            <v>21994247</v>
          </cell>
          <cell r="S1090">
            <v>0</v>
          </cell>
          <cell r="T1090">
            <v>0</v>
          </cell>
          <cell r="U1090">
            <v>21994247</v>
          </cell>
          <cell r="V1090">
            <v>21994247</v>
          </cell>
        </row>
        <row r="1091">
          <cell r="J1091">
            <v>550</v>
          </cell>
          <cell r="K1091">
            <v>43133</v>
          </cell>
          <cell r="L1091" t="str">
            <v>JUAN MANUEL RODRIGUEZ PARRA</v>
          </cell>
          <cell r="M1091">
            <v>31</v>
          </cell>
          <cell r="N1091" t="str">
            <v>RESOLUCION</v>
          </cell>
          <cell r="O1091">
            <v>200</v>
          </cell>
          <cell r="P1091">
            <v>43102</v>
          </cell>
          <cell r="Q1091" t="str">
            <v>PAGO DE PRTESTACIONES SOCIALES DEFINITIVAS A EXFUNCIONARIO DE LA ENTIDAD</v>
          </cell>
          <cell r="R1091">
            <v>13500366</v>
          </cell>
          <cell r="S1091">
            <v>0</v>
          </cell>
          <cell r="T1091">
            <v>0</v>
          </cell>
          <cell r="U1091">
            <v>13500366</v>
          </cell>
          <cell r="V1091">
            <v>13500366</v>
          </cell>
        </row>
        <row r="1092">
          <cell r="J1092">
            <v>1940</v>
          </cell>
          <cell r="K1092">
            <v>43242</v>
          </cell>
          <cell r="L1092" t="str">
            <v>GERMAN ALBERTO BAHAMON JARAMILLO</v>
          </cell>
          <cell r="M1092">
            <v>31</v>
          </cell>
          <cell r="N1092" t="str">
            <v>RESOLUCION</v>
          </cell>
          <cell r="O1092">
            <v>2068</v>
          </cell>
          <cell r="P1092">
            <v>43242</v>
          </cell>
          <cell r="Q1092" t="str">
            <v>PAGO DE VACACIONES EN DINERO DE UN EXFUNCIONARIO DE LA ENTIDAD.</v>
          </cell>
          <cell r="R1092">
            <v>662697</v>
          </cell>
          <cell r="S1092">
            <v>0</v>
          </cell>
          <cell r="T1092">
            <v>0</v>
          </cell>
          <cell r="U1092">
            <v>662697</v>
          </cell>
          <cell r="V1092">
            <v>662697</v>
          </cell>
        </row>
        <row r="1093">
          <cell r="J1093">
            <v>2497</v>
          </cell>
          <cell r="K1093">
            <v>43298</v>
          </cell>
          <cell r="L1093" t="str">
            <v>CAROLINA  FERNANDEZ BOLAÑOS</v>
          </cell>
          <cell r="M1093">
            <v>31</v>
          </cell>
          <cell r="N1093" t="str">
            <v>RESOLUCION</v>
          </cell>
          <cell r="O1093">
            <v>2067</v>
          </cell>
          <cell r="P1093">
            <v>43298</v>
          </cell>
          <cell r="Q1093" t="str">
            <v>PAGO DE PRESTACIONES SOCIALES DEFINITIVAS DE UN EXFUNCIONARIO DE LA ENTIDAD</v>
          </cell>
          <cell r="R1093">
            <v>1650204</v>
          </cell>
          <cell r="S1093">
            <v>0</v>
          </cell>
          <cell r="T1093">
            <v>0</v>
          </cell>
          <cell r="U1093">
            <v>1650204</v>
          </cell>
          <cell r="V1093">
            <v>1650204</v>
          </cell>
        </row>
        <row r="1094">
          <cell r="J1094">
            <v>2690</v>
          </cell>
          <cell r="K1094">
            <v>43334</v>
          </cell>
          <cell r="L1094" t="str">
            <v>JUAN PABLO TOVAR OCHOA</v>
          </cell>
          <cell r="M1094">
            <v>31</v>
          </cell>
          <cell r="N1094" t="str">
            <v>RESOLUCION</v>
          </cell>
          <cell r="O1094">
            <v>3145</v>
          </cell>
          <cell r="P1094">
            <v>43334</v>
          </cell>
          <cell r="Q1094" t="str">
            <v>PAGO DE VACACIONES EN DINERO DE UN EXFUNCIONARIO DE LA ENTIDAD</v>
          </cell>
          <cell r="R1094">
            <v>24316752</v>
          </cell>
          <cell r="S1094">
            <v>0</v>
          </cell>
          <cell r="T1094">
            <v>0</v>
          </cell>
          <cell r="U1094">
            <v>24316752</v>
          </cell>
          <cell r="V1094">
            <v>24316752</v>
          </cell>
        </row>
        <row r="1095">
          <cell r="J1095">
            <v>2691</v>
          </cell>
          <cell r="K1095">
            <v>43334</v>
          </cell>
          <cell r="L1095" t="str">
            <v>GUILLERMO ANDRES ARCILA HOYOS</v>
          </cell>
          <cell r="M1095">
            <v>31</v>
          </cell>
          <cell r="N1095" t="str">
            <v>RESOLUCION</v>
          </cell>
          <cell r="O1095">
            <v>3144</v>
          </cell>
          <cell r="P1095">
            <v>43334</v>
          </cell>
          <cell r="Q1095" t="str">
            <v>PAGO DE VACACIONES EN DINERO DE UN EXFUNCIONARIOS DE LA ENTIDAD</v>
          </cell>
          <cell r="R1095">
            <v>13270980</v>
          </cell>
          <cell r="S1095">
            <v>0</v>
          </cell>
          <cell r="T1095">
            <v>0</v>
          </cell>
          <cell r="U1095">
            <v>13270980</v>
          </cell>
          <cell r="V1095">
            <v>13270980</v>
          </cell>
        </row>
        <row r="1096">
          <cell r="J1096">
            <v>2699</v>
          </cell>
          <cell r="K1096">
            <v>43334</v>
          </cell>
          <cell r="L1096" t="str">
            <v>JUAN PABLO VELASQUEZ SILVA</v>
          </cell>
          <cell r="M1096">
            <v>31</v>
          </cell>
          <cell r="N1096" t="str">
            <v>RESOLUCION</v>
          </cell>
          <cell r="O1096">
            <v>3143</v>
          </cell>
          <cell r="P1096">
            <v>43334</v>
          </cell>
          <cell r="Q1096" t="str">
            <v>PAGO DE VACACIONES EN DINERO A EXFUNCIONARIOS DE LA ENTIDAD</v>
          </cell>
          <cell r="R1096">
            <v>3552166</v>
          </cell>
          <cell r="S1096">
            <v>0</v>
          </cell>
          <cell r="T1096">
            <v>0</v>
          </cell>
          <cell r="U1096">
            <v>3552166</v>
          </cell>
          <cell r="V1096">
            <v>3552166</v>
          </cell>
        </row>
        <row r="1097">
          <cell r="J1097">
            <v>457</v>
          </cell>
          <cell r="K1097">
            <v>43126</v>
          </cell>
          <cell r="L1097" t="str">
            <v>GERMAN ALBERTO BAHAMON JARAMILLO</v>
          </cell>
          <cell r="M1097">
            <v>31</v>
          </cell>
          <cell r="N1097" t="str">
            <v>RESOLUCION</v>
          </cell>
          <cell r="O1097">
            <v>198</v>
          </cell>
          <cell r="P1097">
            <v>43126</v>
          </cell>
          <cell r="Q1097" t="str">
            <v>PAGO DE PRESTACIONES SOCIALES DEFINITIVAS DE UN EXFUNCIONARIO DE LA ENTIDAD</v>
          </cell>
          <cell r="R1097">
            <v>468378</v>
          </cell>
          <cell r="S1097">
            <v>468378</v>
          </cell>
          <cell r="T1097">
            <v>0</v>
          </cell>
          <cell r="U1097">
            <v>0</v>
          </cell>
          <cell r="V1097">
            <v>0</v>
          </cell>
        </row>
        <row r="1098">
          <cell r="J1098">
            <v>471</v>
          </cell>
          <cell r="K1098">
            <v>43126</v>
          </cell>
          <cell r="L1098" t="str">
            <v>GERMAN ALBERTO BAHAMON JARAMILLO</v>
          </cell>
          <cell r="M1098">
            <v>31</v>
          </cell>
          <cell r="N1098" t="str">
            <v>RESOLUCION</v>
          </cell>
          <cell r="O1098">
            <v>198</v>
          </cell>
          <cell r="P1098">
            <v>43126</v>
          </cell>
          <cell r="Q1098" t="str">
            <v>PAGO DE PRESTACIONES SOCIALES DEFINITIVAS DE UN EXFUNCIONARIO DE LA ENTIDAD</v>
          </cell>
          <cell r="R1098">
            <v>468378</v>
          </cell>
          <cell r="S1098">
            <v>0</v>
          </cell>
          <cell r="T1098">
            <v>0</v>
          </cell>
          <cell r="U1098">
            <v>468378</v>
          </cell>
          <cell r="V1098">
            <v>468378</v>
          </cell>
        </row>
        <row r="1099">
          <cell r="J1099">
            <v>476</v>
          </cell>
          <cell r="K1099">
            <v>43126</v>
          </cell>
          <cell r="L1099" t="str">
            <v>MARCELA  SIERRA CUELLO</v>
          </cell>
          <cell r="M1099">
            <v>31</v>
          </cell>
          <cell r="N1099" t="str">
            <v>RESOLUCION</v>
          </cell>
          <cell r="O1099">
            <v>199</v>
          </cell>
          <cell r="P1099">
            <v>43126</v>
          </cell>
          <cell r="Q1099" t="str">
            <v>PAGO DE PRESTACIONES SOCIALES DEFINITIVAS DE UNA EXFUNCIANROA DE LA ENTIDAD</v>
          </cell>
          <cell r="R1099">
            <v>1016810</v>
          </cell>
          <cell r="S1099">
            <v>0</v>
          </cell>
          <cell r="T1099">
            <v>0</v>
          </cell>
          <cell r="U1099">
            <v>1016810</v>
          </cell>
          <cell r="V1099">
            <v>1016810</v>
          </cell>
        </row>
        <row r="1100">
          <cell r="J1100">
            <v>542</v>
          </cell>
          <cell r="K1100">
            <v>43133</v>
          </cell>
          <cell r="L1100" t="str">
            <v>JUAN MANUEL RODRIGUEZ PARRA</v>
          </cell>
          <cell r="M1100">
            <v>31</v>
          </cell>
          <cell r="N1100" t="str">
            <v>RESOLUCION</v>
          </cell>
          <cell r="O1100">
            <v>200</v>
          </cell>
          <cell r="P1100">
            <v>43102</v>
          </cell>
          <cell r="Q1100" t="str">
            <v>PAGO DE PRTESTACIONES SOCIALES DEFINITIVAS A EXFUNCIONARIO DE LA ENTIDAD</v>
          </cell>
          <cell r="R1100">
            <v>618567</v>
          </cell>
          <cell r="S1100">
            <v>0</v>
          </cell>
          <cell r="T1100">
            <v>0</v>
          </cell>
          <cell r="U1100">
            <v>618567</v>
          </cell>
          <cell r="V1100">
            <v>618567</v>
          </cell>
        </row>
        <row r="1101">
          <cell r="J1101">
            <v>1939</v>
          </cell>
          <cell r="K1101">
            <v>43242</v>
          </cell>
          <cell r="L1101" t="str">
            <v>GERMAN ALBERTO BAHAMON JARAMILLO</v>
          </cell>
          <cell r="M1101">
            <v>31</v>
          </cell>
          <cell r="N1101" t="str">
            <v>RESOLUCION</v>
          </cell>
          <cell r="O1101">
            <v>2068</v>
          </cell>
          <cell r="P1101">
            <v>43242</v>
          </cell>
          <cell r="Q1101" t="str">
            <v>PAGO DE REAJUSTE DE PRESTACIONES SOCIALES DEFINITIVAS DE UN EXFUNCIONARIO DE LA ENTIDAD</v>
          </cell>
          <cell r="R1101">
            <v>25246</v>
          </cell>
          <cell r="S1101">
            <v>0</v>
          </cell>
          <cell r="T1101">
            <v>0</v>
          </cell>
          <cell r="U1101">
            <v>25246</v>
          </cell>
          <cell r="V1101">
            <v>25246</v>
          </cell>
        </row>
        <row r="1102">
          <cell r="J1102">
            <v>2498</v>
          </cell>
          <cell r="K1102">
            <v>43298</v>
          </cell>
          <cell r="L1102" t="str">
            <v>CAROLINA  FERNANDEZ BOLAÑOS</v>
          </cell>
          <cell r="M1102">
            <v>31</v>
          </cell>
          <cell r="N1102" t="str">
            <v>RESOLUCION</v>
          </cell>
          <cell r="O1102">
            <v>2067</v>
          </cell>
          <cell r="P1102">
            <v>43298</v>
          </cell>
          <cell r="Q1102" t="str">
            <v>PAGO DE PRESTACIONES SOCIALES DEFINITIVAS DE UN EXFUNCIONARIO DE LA ENTIDAD</v>
          </cell>
          <cell r="R1102">
            <v>105319</v>
          </cell>
          <cell r="S1102">
            <v>0</v>
          </cell>
          <cell r="T1102">
            <v>0</v>
          </cell>
          <cell r="U1102">
            <v>105319</v>
          </cell>
          <cell r="V1102">
            <v>105319</v>
          </cell>
        </row>
        <row r="1103">
          <cell r="J1103">
            <v>2694</v>
          </cell>
          <cell r="K1103">
            <v>43334</v>
          </cell>
          <cell r="L1103" t="str">
            <v>GUILLERMO ANDRES ARCILA HOYOS</v>
          </cell>
          <cell r="M1103">
            <v>31</v>
          </cell>
          <cell r="N1103" t="str">
            <v>RESOLUCION</v>
          </cell>
          <cell r="O1103">
            <v>3144</v>
          </cell>
          <cell r="P1103">
            <v>43334</v>
          </cell>
          <cell r="Q1103" t="str">
            <v>PAGO DE PRESTACIONES SOCIALES DEFINITIVAS DE UN EXFUNCIONARIO DE LA ENTIDAD</v>
          </cell>
          <cell r="R1103">
            <v>554414</v>
          </cell>
          <cell r="S1103">
            <v>0</v>
          </cell>
          <cell r="T1103">
            <v>0</v>
          </cell>
          <cell r="U1103">
            <v>554414</v>
          </cell>
          <cell r="V1103">
            <v>554414</v>
          </cell>
        </row>
        <row r="1104">
          <cell r="J1104">
            <v>2697</v>
          </cell>
          <cell r="K1104">
            <v>43334</v>
          </cell>
          <cell r="L1104" t="str">
            <v>JUAN PABLO VELASQUEZ SILVA</v>
          </cell>
          <cell r="M1104">
            <v>31</v>
          </cell>
          <cell r="N1104" t="str">
            <v>RESOLUCION</v>
          </cell>
          <cell r="O1104">
            <v>3143</v>
          </cell>
          <cell r="P1104">
            <v>43334</v>
          </cell>
          <cell r="Q1104" t="str">
            <v>PAGO DE PRESTACIONES SOCIALES DEFINITIVAS A EXFUNCIONARIO DE LA ENTIDAD</v>
          </cell>
          <cell r="R1104">
            <v>153147</v>
          </cell>
          <cell r="S1104">
            <v>153147</v>
          </cell>
          <cell r="T1104">
            <v>0</v>
          </cell>
          <cell r="U1104">
            <v>0</v>
          </cell>
          <cell r="V1104">
            <v>0</v>
          </cell>
        </row>
        <row r="1105">
          <cell r="J1105">
            <v>2701</v>
          </cell>
          <cell r="K1105">
            <v>43334</v>
          </cell>
          <cell r="L1105" t="str">
            <v>JUAN PABLO TOVAR OCHOA</v>
          </cell>
          <cell r="M1105">
            <v>31</v>
          </cell>
          <cell r="N1105" t="str">
            <v>RESOLUCION</v>
          </cell>
          <cell r="O1105">
            <v>3145</v>
          </cell>
          <cell r="P1105">
            <v>43334</v>
          </cell>
          <cell r="Q1105" t="str">
            <v>PAGO DE PRESTACIONES SOCIALES DEFINITIVAS DE UN EXFUNCIONARIO DE LA ENTIDAD</v>
          </cell>
          <cell r="R1105">
            <v>1020977</v>
          </cell>
          <cell r="S1105">
            <v>0</v>
          </cell>
          <cell r="T1105">
            <v>0</v>
          </cell>
          <cell r="U1105">
            <v>1020977</v>
          </cell>
          <cell r="V1105">
            <v>1020977</v>
          </cell>
        </row>
        <row r="1106">
          <cell r="J1106">
            <v>2721</v>
          </cell>
          <cell r="K1106">
            <v>43335</v>
          </cell>
          <cell r="L1106" t="str">
            <v>JUAN PABLO VELASQUEZ SILVA</v>
          </cell>
          <cell r="M1106">
            <v>31</v>
          </cell>
          <cell r="N1106" t="str">
            <v>RESOLUCION</v>
          </cell>
          <cell r="O1106">
            <v>3143</v>
          </cell>
          <cell r="P1106">
            <v>43335</v>
          </cell>
          <cell r="Q1106" t="str">
            <v>PAGO DE PRESTACIONES SOCIALES DEFINITIVAS A EXFUNCIONARIO DE LA ENTIDAD</v>
          </cell>
          <cell r="R1106">
            <v>153147</v>
          </cell>
          <cell r="S1106">
            <v>0</v>
          </cell>
          <cell r="T1106">
            <v>0</v>
          </cell>
          <cell r="U1106">
            <v>153147</v>
          </cell>
          <cell r="V1106">
            <v>153147</v>
          </cell>
        </row>
        <row r="1107">
          <cell r="J1107">
            <v>542</v>
          </cell>
          <cell r="K1107">
            <v>43133</v>
          </cell>
          <cell r="L1107" t="str">
            <v>JUAN MANUEL RODRIGUEZ PARRA</v>
          </cell>
          <cell r="M1107">
            <v>31</v>
          </cell>
          <cell r="N1107" t="str">
            <v>RESOLUCION</v>
          </cell>
          <cell r="O1107">
            <v>200</v>
          </cell>
          <cell r="P1107">
            <v>43102</v>
          </cell>
          <cell r="Q1107" t="str">
            <v>PAGO DE PRTESTACIONES SOCIALES DEFINITIVAS A EXFUNCIONARIO DE LA ENTIDAD</v>
          </cell>
          <cell r="R1107">
            <v>7542576</v>
          </cell>
          <cell r="S1107">
            <v>0</v>
          </cell>
          <cell r="T1107">
            <v>0</v>
          </cell>
          <cell r="U1107">
            <v>7542576</v>
          </cell>
          <cell r="V1107">
            <v>7542576</v>
          </cell>
        </row>
        <row r="1108">
          <cell r="J1108">
            <v>1936</v>
          </cell>
          <cell r="K1108">
            <v>43242</v>
          </cell>
          <cell r="L1108" t="str">
            <v>GERMAN ALBERTO BAHAMON JARAMILLO</v>
          </cell>
          <cell r="M1108">
            <v>31</v>
          </cell>
          <cell r="N1108" t="str">
            <v>RESOLUCION</v>
          </cell>
          <cell r="O1108">
            <v>2068</v>
          </cell>
          <cell r="P1108">
            <v>43242</v>
          </cell>
          <cell r="Q1108" t="str">
            <v>PAGO DE REAJUSTE DE PRESTACIONES SOCIALES DEFINITIVAS DE UN FUNCIONARIO DE LA ENTIDAD</v>
          </cell>
          <cell r="R1108">
            <v>58128</v>
          </cell>
          <cell r="S1108">
            <v>0</v>
          </cell>
          <cell r="T1108">
            <v>0</v>
          </cell>
          <cell r="U1108">
            <v>58128</v>
          </cell>
          <cell r="V1108">
            <v>58128</v>
          </cell>
        </row>
        <row r="1109">
          <cell r="J1109">
            <v>2499</v>
          </cell>
          <cell r="K1109">
            <v>43298</v>
          </cell>
          <cell r="L1109" t="str">
            <v>CAROLINA  FERNANDEZ BOLAÑOS</v>
          </cell>
          <cell r="M1109">
            <v>31</v>
          </cell>
          <cell r="N1109" t="str">
            <v>RESOLUCION</v>
          </cell>
          <cell r="O1109">
            <v>2067</v>
          </cell>
          <cell r="P1109">
            <v>43298</v>
          </cell>
          <cell r="Q1109" t="str">
            <v>PAGO DE PRESTACIONES SOCIALES DEFINITIVAS DE UN EXFUNCIONARIO DE LA ENTIDAD</v>
          </cell>
          <cell r="R1109">
            <v>329961</v>
          </cell>
          <cell r="S1109">
            <v>0</v>
          </cell>
          <cell r="T1109">
            <v>0</v>
          </cell>
          <cell r="U1109">
            <v>329961</v>
          </cell>
          <cell r="V1109">
            <v>329961</v>
          </cell>
        </row>
        <row r="1110">
          <cell r="J1110">
            <v>2499</v>
          </cell>
          <cell r="K1110">
            <v>43298</v>
          </cell>
          <cell r="L1110" t="str">
            <v>CAROLINA  FERNANDEZ BOLAÑOS</v>
          </cell>
          <cell r="M1110">
            <v>31</v>
          </cell>
          <cell r="N1110" t="str">
            <v>RESOLUCION</v>
          </cell>
          <cell r="O1110">
            <v>2067</v>
          </cell>
          <cell r="P1110">
            <v>43298</v>
          </cell>
          <cell r="Q1110" t="str">
            <v>PAGO DE PRESTACIONES SOCIALES DEFINITIVAS DE UN EXFUNCIONARIO DE LA ENTIDAD</v>
          </cell>
          <cell r="R1110">
            <v>30332</v>
          </cell>
          <cell r="S1110">
            <v>0</v>
          </cell>
          <cell r="T1110">
            <v>0</v>
          </cell>
          <cell r="U1110">
            <v>30332</v>
          </cell>
          <cell r="V1110">
            <v>30332</v>
          </cell>
        </row>
        <row r="1111">
          <cell r="J1111">
            <v>2698</v>
          </cell>
          <cell r="K1111">
            <v>43334</v>
          </cell>
          <cell r="L1111" t="str">
            <v>JUAN PABLO VELASQUEZ SILVA</v>
          </cell>
          <cell r="M1111">
            <v>31</v>
          </cell>
          <cell r="N1111" t="str">
            <v>RESOLUCION</v>
          </cell>
          <cell r="O1111">
            <v>3143</v>
          </cell>
          <cell r="P1111">
            <v>43334</v>
          </cell>
          <cell r="Q1111" t="str">
            <v>PAGO DE PRESTACIONES SOCIALES DEFINITIVAS A EXFUNCIONARIO DE LA ENTIDAD</v>
          </cell>
          <cell r="R1111">
            <v>47900</v>
          </cell>
          <cell r="S1111">
            <v>0</v>
          </cell>
          <cell r="T1111">
            <v>0</v>
          </cell>
          <cell r="U1111">
            <v>47900</v>
          </cell>
          <cell r="V1111">
            <v>47900</v>
          </cell>
        </row>
        <row r="1112">
          <cell r="J1112">
            <v>2499</v>
          </cell>
          <cell r="K1112">
            <v>43298</v>
          </cell>
          <cell r="L1112" t="str">
            <v>CAROLINA  FERNANDEZ BOLAÑOS</v>
          </cell>
          <cell r="M1112">
            <v>31</v>
          </cell>
          <cell r="N1112" t="str">
            <v>RESOLUCION</v>
          </cell>
          <cell r="O1112">
            <v>2067</v>
          </cell>
          <cell r="P1112">
            <v>43298</v>
          </cell>
          <cell r="Q1112" t="str">
            <v>PAGO DE PRESTACIONES SOCIALES DEFINITIVAS DE UN EXFUNCIONARIO DE LA ENTIDAD</v>
          </cell>
          <cell r="R1112">
            <v>30332</v>
          </cell>
          <cell r="S1112">
            <v>0</v>
          </cell>
          <cell r="T1112">
            <v>0</v>
          </cell>
          <cell r="U1112">
            <v>30332</v>
          </cell>
          <cell r="V1112">
            <v>30332</v>
          </cell>
        </row>
        <row r="1113">
          <cell r="J1113">
            <v>2698</v>
          </cell>
          <cell r="K1113">
            <v>43334</v>
          </cell>
          <cell r="L1113" t="str">
            <v>JUAN PABLO VELASQUEZ SILVA</v>
          </cell>
          <cell r="M1113">
            <v>31</v>
          </cell>
          <cell r="N1113" t="str">
            <v>RESOLUCION</v>
          </cell>
          <cell r="O1113">
            <v>3143</v>
          </cell>
          <cell r="P1113">
            <v>43334</v>
          </cell>
          <cell r="Q1113" t="str">
            <v>PAGO DE PRESTACIONES SOCIALES DEFINITIVAS A EXFUNCIONARIO DE LA ENTIDAD</v>
          </cell>
          <cell r="R1113">
            <v>47900</v>
          </cell>
          <cell r="S1113">
            <v>0</v>
          </cell>
          <cell r="T1113">
            <v>0</v>
          </cell>
          <cell r="U1113">
            <v>47900</v>
          </cell>
          <cell r="V1113">
            <v>47900</v>
          </cell>
        </row>
        <row r="1114">
          <cell r="J1114">
            <v>458</v>
          </cell>
          <cell r="K1114">
            <v>43126</v>
          </cell>
          <cell r="L1114" t="str">
            <v>GERMAN ALBERTO BAHAMON JARAMILLO</v>
          </cell>
          <cell r="M1114">
            <v>31</v>
          </cell>
          <cell r="N1114" t="str">
            <v>RESOLUCION</v>
          </cell>
          <cell r="O1114">
            <v>198</v>
          </cell>
          <cell r="P1114">
            <v>43126</v>
          </cell>
          <cell r="Q1114" t="str">
            <v>PAGO DE PRESTACIONES SOCIALES DEFINITIVAS DE UN EXFUNCIONARIO DE LA ENTIDAD</v>
          </cell>
          <cell r="R1114">
            <v>1035560</v>
          </cell>
          <cell r="S1114">
            <v>0</v>
          </cell>
          <cell r="T1114">
            <v>0</v>
          </cell>
          <cell r="U1114">
            <v>1035560</v>
          </cell>
          <cell r="V1114">
            <v>1035560</v>
          </cell>
        </row>
        <row r="1115">
          <cell r="J1115">
            <v>477</v>
          </cell>
          <cell r="K1115">
            <v>43126</v>
          </cell>
          <cell r="L1115" t="str">
            <v>MARCELA  SIERRA CUELLO</v>
          </cell>
          <cell r="M1115">
            <v>31</v>
          </cell>
          <cell r="N1115" t="str">
            <v>RESOLUCION</v>
          </cell>
          <cell r="O1115">
            <v>199</v>
          </cell>
          <cell r="P1115">
            <v>43126</v>
          </cell>
          <cell r="Q1115" t="str">
            <v>PAGO DE PRESTACIONES SOCIALES DEFINITIVAS DE UNA EXFUNCIONARIA DE LA ENTIDAD</v>
          </cell>
          <cell r="R1115">
            <v>1532760</v>
          </cell>
          <cell r="S1115">
            <v>1532760</v>
          </cell>
          <cell r="T1115">
            <v>0</v>
          </cell>
          <cell r="U1115">
            <v>0</v>
          </cell>
          <cell r="V1115">
            <v>0</v>
          </cell>
        </row>
        <row r="1116">
          <cell r="J1116">
            <v>546</v>
          </cell>
          <cell r="K1116">
            <v>43133</v>
          </cell>
          <cell r="L1116" t="str">
            <v>JUAN MANUEL RODRIGUEZ PARRA</v>
          </cell>
          <cell r="M1116">
            <v>31</v>
          </cell>
          <cell r="N1116" t="str">
            <v>RESOLUCION</v>
          </cell>
          <cell r="O1116">
            <v>200</v>
          </cell>
          <cell r="P1116">
            <v>43102</v>
          </cell>
          <cell r="Q1116" t="str">
            <v>PAGO DE PRTESTACIONES SOCIALES DEFINITIVAS A EXFUNCIONARIO DE LA ENTIDAD</v>
          </cell>
          <cell r="R1116">
            <v>948600</v>
          </cell>
          <cell r="S1116">
            <v>948600</v>
          </cell>
          <cell r="T1116">
            <v>0</v>
          </cell>
          <cell r="U1116">
            <v>0</v>
          </cell>
          <cell r="V1116">
            <v>0</v>
          </cell>
        </row>
        <row r="1117">
          <cell r="J1117">
            <v>1936</v>
          </cell>
          <cell r="K1117">
            <v>43242</v>
          </cell>
          <cell r="L1117" t="str">
            <v>GERMAN ALBERTO BAHAMON JARAMILLO</v>
          </cell>
          <cell r="M1117">
            <v>31</v>
          </cell>
          <cell r="N1117" t="str">
            <v>RESOLUCION</v>
          </cell>
          <cell r="O1117">
            <v>2068</v>
          </cell>
          <cell r="P1117">
            <v>43242</v>
          </cell>
          <cell r="Q1117" t="str">
            <v>PAGO DE REAJUSTE DE PRESTACIONES SOCIALES DEFINITIVAS DE UN FUNCIONARIO DE LA ENTIDAD</v>
          </cell>
          <cell r="R1117">
            <v>49960</v>
          </cell>
          <cell r="S1117">
            <v>0</v>
          </cell>
          <cell r="T1117">
            <v>0</v>
          </cell>
          <cell r="U1117">
            <v>49960</v>
          </cell>
          <cell r="V1117">
            <v>49960</v>
          </cell>
        </row>
        <row r="1118">
          <cell r="J1118">
            <v>2499</v>
          </cell>
          <cell r="K1118">
            <v>43298</v>
          </cell>
          <cell r="L1118" t="str">
            <v>CAROLINA  FERNANDEZ BOLAÑOS</v>
          </cell>
          <cell r="M1118">
            <v>31</v>
          </cell>
          <cell r="N1118" t="str">
            <v>RESOLUCION</v>
          </cell>
          <cell r="O1118">
            <v>2067</v>
          </cell>
          <cell r="P1118">
            <v>43298</v>
          </cell>
          <cell r="Q1118" t="str">
            <v>PAGO DE PRESTACIONES SOCIALES DEFINITIVAS DE UN EXFUNCIONARIO DE LA ENTIDAD</v>
          </cell>
          <cell r="R1118">
            <v>144000</v>
          </cell>
          <cell r="S1118">
            <v>0</v>
          </cell>
          <cell r="T1118">
            <v>0</v>
          </cell>
          <cell r="U1118">
            <v>144000</v>
          </cell>
          <cell r="V1118">
            <v>0</v>
          </cell>
        </row>
        <row r="1119">
          <cell r="J1119">
            <v>2611</v>
          </cell>
          <cell r="K1119">
            <v>43320</v>
          </cell>
          <cell r="L1119" t="str">
            <v>MARCELA  SIERRA CUELLO</v>
          </cell>
          <cell r="M1119">
            <v>31</v>
          </cell>
          <cell r="N1119" t="str">
            <v>RESOLUCION</v>
          </cell>
          <cell r="O1119">
            <v>199</v>
          </cell>
          <cell r="P1119">
            <v>43320</v>
          </cell>
          <cell r="Q1119" t="str">
            <v>PAGO DE MI PLANILLA PARAFISCALES DE LOS EXFUNCIONARIOS DE LA ENTIDAD - MARCELA SIERRA CUELLO</v>
          </cell>
          <cell r="R1119">
            <v>1532800</v>
          </cell>
          <cell r="S1119">
            <v>0</v>
          </cell>
          <cell r="T1119">
            <v>0</v>
          </cell>
          <cell r="U1119">
            <v>1532800</v>
          </cell>
          <cell r="V1119">
            <v>1532800</v>
          </cell>
        </row>
        <row r="1120">
          <cell r="J1120">
            <v>2612</v>
          </cell>
          <cell r="K1120">
            <v>43320</v>
          </cell>
          <cell r="L1120" t="str">
            <v>JUAN MANUEL RODRIGUEZ PARRA</v>
          </cell>
          <cell r="M1120">
            <v>31</v>
          </cell>
          <cell r="N1120" t="str">
            <v>RESOLUCION</v>
          </cell>
          <cell r="O1120">
            <v>200</v>
          </cell>
          <cell r="P1120">
            <v>43320</v>
          </cell>
          <cell r="Q1120" t="str">
            <v>PAGO DE MI PLANILLA PARAFISCALES DE LOS EXFUNCIONARIOS DE LA ENTIDAD - JUAN MANUEL RODRIGUEZ PARRA</v>
          </cell>
          <cell r="R1120">
            <v>948600</v>
          </cell>
          <cell r="S1120">
            <v>0</v>
          </cell>
          <cell r="T1120">
            <v>0</v>
          </cell>
          <cell r="U1120">
            <v>948600</v>
          </cell>
          <cell r="V1120">
            <v>948600</v>
          </cell>
        </row>
        <row r="1121">
          <cell r="J1121">
            <v>2692</v>
          </cell>
          <cell r="K1121">
            <v>43334</v>
          </cell>
          <cell r="L1121" t="str">
            <v>GUILLERMO ANDRES ARCILA HOYOS</v>
          </cell>
          <cell r="M1121">
            <v>31</v>
          </cell>
          <cell r="N1121" t="str">
            <v>RESOLUCION</v>
          </cell>
          <cell r="O1121">
            <v>3144</v>
          </cell>
          <cell r="P1121">
            <v>43334</v>
          </cell>
          <cell r="Q1121" t="str">
            <v>PAGO DE PRETACIONES SOCIALES DEFINITIVAS DE UN EXFUNCIONARIO DE LA ENTIDAD</v>
          </cell>
          <cell r="R1121">
            <v>1036300</v>
          </cell>
          <cell r="S1121">
            <v>0</v>
          </cell>
          <cell r="T1121">
            <v>0</v>
          </cell>
          <cell r="U1121">
            <v>1036300</v>
          </cell>
          <cell r="V1121">
            <v>0</v>
          </cell>
        </row>
        <row r="1122">
          <cell r="J1122">
            <v>2698</v>
          </cell>
          <cell r="K1122">
            <v>43334</v>
          </cell>
          <cell r="L1122" t="str">
            <v>JUAN PABLO VELASQUEZ SILVA</v>
          </cell>
          <cell r="M1122">
            <v>31</v>
          </cell>
          <cell r="N1122" t="str">
            <v>RESOLUCION</v>
          </cell>
          <cell r="O1122">
            <v>3143</v>
          </cell>
          <cell r="P1122">
            <v>43334</v>
          </cell>
          <cell r="Q1122" t="str">
            <v>PAGO DE PRESTACIONES SOCIALES DEFINITIVAS A EXFUNCIONARIO DE LA ENTIDAD</v>
          </cell>
          <cell r="R1122">
            <v>589900</v>
          </cell>
          <cell r="S1122">
            <v>0</v>
          </cell>
          <cell r="T1122">
            <v>0</v>
          </cell>
          <cell r="U1122">
            <v>589900</v>
          </cell>
          <cell r="V1122">
            <v>0</v>
          </cell>
        </row>
        <row r="1123">
          <cell r="J1123">
            <v>2705</v>
          </cell>
          <cell r="K1123">
            <v>43334</v>
          </cell>
          <cell r="L1123" t="str">
            <v>JUAN PABLO TOVAR OCHOA</v>
          </cell>
          <cell r="M1123">
            <v>31</v>
          </cell>
          <cell r="N1123" t="str">
            <v>RESOLUCION</v>
          </cell>
          <cell r="O1123">
            <v>3145</v>
          </cell>
          <cell r="P1123">
            <v>43334</v>
          </cell>
          <cell r="Q1123" t="str">
            <v>PAGO DE PRESTACIONES SOCIALES DEFINITIVAS DE UN EXFUNCIONARIO DE LA ENTIDAD</v>
          </cell>
          <cell r="R1123">
            <v>1072400</v>
          </cell>
          <cell r="S1123">
            <v>0</v>
          </cell>
          <cell r="T1123">
            <v>0</v>
          </cell>
          <cell r="U1123">
            <v>1072400</v>
          </cell>
          <cell r="V1123">
            <v>0</v>
          </cell>
        </row>
        <row r="1124">
          <cell r="J1124">
            <v>413</v>
          </cell>
          <cell r="K1124">
            <v>43124</v>
          </cell>
          <cell r="L1124" t="str">
            <v>ARMANDO  VALENCIA PEÑUELA</v>
          </cell>
          <cell r="M1124">
            <v>31</v>
          </cell>
          <cell r="N1124" t="str">
            <v>RESOLUCION</v>
          </cell>
          <cell r="O1124">
            <v>99</v>
          </cell>
          <cell r="P1124">
            <v>43124</v>
          </cell>
          <cell r="Q1124" t="str">
            <v>PAGO CESANTIAS FONDOS PUBLICOS DE UN FUNCIONARIO DE LA ENTIDAD.</v>
          </cell>
          <cell r="R1124">
            <v>52483043</v>
          </cell>
          <cell r="S1124">
            <v>0</v>
          </cell>
          <cell r="T1124">
            <v>0</v>
          </cell>
          <cell r="U1124">
            <v>52483043</v>
          </cell>
          <cell r="V1124">
            <v>52483043</v>
          </cell>
        </row>
        <row r="1125">
          <cell r="J1125">
            <v>458</v>
          </cell>
          <cell r="K1125">
            <v>43126</v>
          </cell>
          <cell r="L1125" t="str">
            <v>GERMAN ALBERTO BAHAMON JARAMILLO</v>
          </cell>
          <cell r="M1125">
            <v>31</v>
          </cell>
          <cell r="N1125" t="str">
            <v>RESOLUCION</v>
          </cell>
          <cell r="O1125">
            <v>198</v>
          </cell>
          <cell r="P1125">
            <v>43126</v>
          </cell>
          <cell r="Q1125" t="str">
            <v>PAGO DE PRESTACIONES SOCIALES DEFINITIVAS DE UN EXFUNCIONARIO DE LA ENTIDAD</v>
          </cell>
          <cell r="R1125">
            <v>413900</v>
          </cell>
          <cell r="S1125">
            <v>0</v>
          </cell>
          <cell r="T1125">
            <v>0</v>
          </cell>
          <cell r="U1125">
            <v>413900</v>
          </cell>
          <cell r="V1125">
            <v>413900</v>
          </cell>
        </row>
        <row r="1126">
          <cell r="J1126">
            <v>477</v>
          </cell>
          <cell r="K1126">
            <v>43126</v>
          </cell>
          <cell r="L1126" t="str">
            <v>MARCELA  SIERRA CUELLO</v>
          </cell>
          <cell r="M1126">
            <v>31</v>
          </cell>
          <cell r="N1126" t="str">
            <v>RESOLUCION</v>
          </cell>
          <cell r="O1126">
            <v>199</v>
          </cell>
          <cell r="P1126">
            <v>43126</v>
          </cell>
          <cell r="Q1126" t="str">
            <v>PAGO DE PRESTACIONES SOCIALES DEFINITIVAS DE UNA EXFUNCIONARIA DE LA ENTIDAD</v>
          </cell>
          <cell r="R1126">
            <v>13681664</v>
          </cell>
          <cell r="S1126">
            <v>0</v>
          </cell>
          <cell r="T1126">
            <v>0</v>
          </cell>
          <cell r="U1126">
            <v>13681664</v>
          </cell>
          <cell r="V1126">
            <v>13681664</v>
          </cell>
        </row>
        <row r="1127">
          <cell r="J1127">
            <v>546</v>
          </cell>
          <cell r="K1127">
            <v>43133</v>
          </cell>
          <cell r="L1127" t="str">
            <v>JUAN MANUEL RODRIGUEZ PARRA</v>
          </cell>
          <cell r="M1127">
            <v>31</v>
          </cell>
          <cell r="N1127" t="str">
            <v>RESOLUCION</v>
          </cell>
          <cell r="O1127">
            <v>200</v>
          </cell>
          <cell r="P1127">
            <v>43102</v>
          </cell>
          <cell r="Q1127" t="str">
            <v>PAGO DE PRTESTACIONES SOCIALES DEFINITIVAS A EXFUNCIONARIO DE LA ENTIDAD</v>
          </cell>
          <cell r="R1127">
            <v>13195366</v>
          </cell>
          <cell r="S1127">
            <v>0</v>
          </cell>
          <cell r="T1127">
            <v>0</v>
          </cell>
          <cell r="U1127">
            <v>13195366</v>
          </cell>
          <cell r="V1127">
            <v>13195366</v>
          </cell>
        </row>
        <row r="1128">
          <cell r="J1128">
            <v>1709</v>
          </cell>
          <cell r="K1128">
            <v>43195</v>
          </cell>
          <cell r="L1128" t="str">
            <v>JOSE HEYLMEYER MARTINEZ SORIANO</v>
          </cell>
          <cell r="M1128">
            <v>31</v>
          </cell>
          <cell r="N1128" t="str">
            <v>RESOLUCION</v>
          </cell>
          <cell r="O1128">
            <v>1379</v>
          </cell>
          <cell r="P1128">
            <v>43195</v>
          </cell>
          <cell r="Q1128" t="str">
            <v>PAGO DE CESANTIAS FONDOS PÚBLICOS A FUNCIONARIO DE LA ENTIDAD.</v>
          </cell>
          <cell r="R1128">
            <v>47144288</v>
          </cell>
          <cell r="S1128">
            <v>0</v>
          </cell>
          <cell r="T1128">
            <v>0</v>
          </cell>
          <cell r="U1128">
            <v>47144288</v>
          </cell>
          <cell r="V1128">
            <v>47144288</v>
          </cell>
        </row>
        <row r="1129">
          <cell r="J1129">
            <v>1710</v>
          </cell>
          <cell r="K1129">
            <v>43195</v>
          </cell>
          <cell r="L1129" t="str">
            <v>JOSE HEYLMEYER MARTINEZ SORIANO</v>
          </cell>
          <cell r="M1129">
            <v>31</v>
          </cell>
          <cell r="N1129" t="str">
            <v>RESOLUCION</v>
          </cell>
          <cell r="O1129">
            <v>1757</v>
          </cell>
          <cell r="P1129">
            <v>43195</v>
          </cell>
          <cell r="Q1129" t="str">
            <v>PAGO DE CESANTIAS FONDOS PÚBLICOS A FUNCIONARIO DE LA ENTIDAD.</v>
          </cell>
          <cell r="R1129">
            <v>11378482</v>
          </cell>
          <cell r="S1129">
            <v>0</v>
          </cell>
          <cell r="T1129">
            <v>0</v>
          </cell>
          <cell r="U1129">
            <v>11378482</v>
          </cell>
          <cell r="V1129">
            <v>11378482</v>
          </cell>
        </row>
        <row r="1130">
          <cell r="J1130">
            <v>1918</v>
          </cell>
          <cell r="K1130">
            <v>43241</v>
          </cell>
          <cell r="L1130" t="str">
            <v>FIDOLO  MARTINEZ RAMIREZ</v>
          </cell>
          <cell r="M1130">
            <v>31</v>
          </cell>
          <cell r="N1130" t="str">
            <v>RESOLUCION</v>
          </cell>
          <cell r="O1130">
            <v>2062</v>
          </cell>
          <cell r="P1130">
            <v>43241</v>
          </cell>
          <cell r="Q1130" t="str">
            <v>PAGO DE CESANTIAS FONDOS PUBLICOS DE UN FUNCIONARIO DE LA ENTIDAD</v>
          </cell>
          <cell r="R1130">
            <v>61750891</v>
          </cell>
          <cell r="S1130">
            <v>0</v>
          </cell>
          <cell r="T1130">
            <v>0</v>
          </cell>
          <cell r="U1130">
            <v>61750891</v>
          </cell>
          <cell r="V1130">
            <v>61750891</v>
          </cell>
        </row>
        <row r="1131">
          <cell r="J1131">
            <v>1934</v>
          </cell>
          <cell r="K1131">
            <v>43242</v>
          </cell>
          <cell r="L1131" t="str">
            <v>JOSE IGNACIO BLANCO TORRES</v>
          </cell>
          <cell r="M1131">
            <v>31</v>
          </cell>
          <cell r="N1131" t="str">
            <v>RESOLUCION</v>
          </cell>
          <cell r="O1131">
            <v>2066</v>
          </cell>
          <cell r="P1131">
            <v>43242</v>
          </cell>
          <cell r="Q1131" t="str">
            <v>PAGO DE CESANTIAS FONDOS PUBLICOS DE UN FUNCIONARIO  DE LA ENTIDAD.</v>
          </cell>
          <cell r="R1131">
            <v>48760623</v>
          </cell>
          <cell r="S1131">
            <v>0</v>
          </cell>
          <cell r="T1131">
            <v>0</v>
          </cell>
          <cell r="U1131">
            <v>48760623</v>
          </cell>
          <cell r="V1131">
            <v>48760623</v>
          </cell>
        </row>
        <row r="1132">
          <cell r="J1132">
            <v>458</v>
          </cell>
          <cell r="K1132">
            <v>43126</v>
          </cell>
          <cell r="L1132" t="str">
            <v>GERMAN ALBERTO BAHAMON JARAMILLO</v>
          </cell>
          <cell r="M1132">
            <v>31</v>
          </cell>
          <cell r="N1132" t="str">
            <v>RESOLUCION</v>
          </cell>
          <cell r="O1132">
            <v>198</v>
          </cell>
          <cell r="P1132">
            <v>43126</v>
          </cell>
          <cell r="Q1132" t="str">
            <v>PAGO DE PRESTACIONES SOCIALES DEFINITIVAS DE UN EXFUNCIONARIO DE LA ENTIDAD</v>
          </cell>
          <cell r="R1132">
            <v>776670</v>
          </cell>
          <cell r="S1132">
            <v>0</v>
          </cell>
          <cell r="T1132">
            <v>0</v>
          </cell>
          <cell r="U1132">
            <v>776670</v>
          </cell>
          <cell r="V1132">
            <v>776670</v>
          </cell>
        </row>
        <row r="1133">
          <cell r="J1133">
            <v>477</v>
          </cell>
          <cell r="K1133">
            <v>43126</v>
          </cell>
          <cell r="L1133" t="str">
            <v>MARCELA  SIERRA CUELLO</v>
          </cell>
          <cell r="M1133">
            <v>31</v>
          </cell>
          <cell r="N1133" t="str">
            <v>RESOLUCION</v>
          </cell>
          <cell r="O1133">
            <v>199</v>
          </cell>
          <cell r="P1133">
            <v>43126</v>
          </cell>
          <cell r="Q1133" t="str">
            <v>PAGO DE PRESTACIONES SOCIALES DEFINITIVAS DE UNA EXFUNCIONARIA DE LA ENTIDAD</v>
          </cell>
          <cell r="R1133">
            <v>1149570</v>
          </cell>
          <cell r="S1133">
            <v>1149570</v>
          </cell>
          <cell r="T1133">
            <v>0</v>
          </cell>
          <cell r="U1133">
            <v>0</v>
          </cell>
          <cell r="V1133">
            <v>0</v>
          </cell>
        </row>
        <row r="1134">
          <cell r="J1134">
            <v>546</v>
          </cell>
          <cell r="K1134">
            <v>43133</v>
          </cell>
          <cell r="L1134" t="str">
            <v>JUAN MANUEL RODRIGUEZ PARRA</v>
          </cell>
          <cell r="M1134">
            <v>31</v>
          </cell>
          <cell r="N1134" t="str">
            <v>RESOLUCION</v>
          </cell>
          <cell r="O1134">
            <v>200</v>
          </cell>
          <cell r="P1134">
            <v>43102</v>
          </cell>
          <cell r="Q1134" t="str">
            <v>PAGO DE PRTESTACIONES SOCIALES DEFINITIVAS A EXFUNCIONARIO DE LA ENTIDAD</v>
          </cell>
          <cell r="R1134">
            <v>711450</v>
          </cell>
          <cell r="S1134">
            <v>711450</v>
          </cell>
          <cell r="T1134">
            <v>0</v>
          </cell>
          <cell r="U1134">
            <v>0</v>
          </cell>
          <cell r="V1134">
            <v>0</v>
          </cell>
        </row>
        <row r="1135">
          <cell r="J1135">
            <v>1936</v>
          </cell>
          <cell r="K1135">
            <v>43242</v>
          </cell>
          <cell r="L1135" t="str">
            <v>GERMAN ALBERTO BAHAMON JARAMILLO</v>
          </cell>
          <cell r="M1135">
            <v>31</v>
          </cell>
          <cell r="N1135" t="str">
            <v>RESOLUCION</v>
          </cell>
          <cell r="O1135">
            <v>2068</v>
          </cell>
          <cell r="P1135">
            <v>43242</v>
          </cell>
          <cell r="Q1135" t="str">
            <v>PAGO DE REAJUSTE DE PRESTACIONES SOCIALES DEFINITIVAS DE UN FUNCIONARIO DE LA ENTIDAD</v>
          </cell>
          <cell r="R1135">
            <v>37470</v>
          </cell>
          <cell r="S1135">
            <v>0</v>
          </cell>
          <cell r="T1135">
            <v>0</v>
          </cell>
          <cell r="U1135">
            <v>37470</v>
          </cell>
          <cell r="V1135">
            <v>37470</v>
          </cell>
        </row>
        <row r="1136">
          <cell r="J1136">
            <v>2499</v>
          </cell>
          <cell r="K1136">
            <v>43298</v>
          </cell>
          <cell r="L1136" t="str">
            <v>CAROLINA  FERNANDEZ BOLAÑOS</v>
          </cell>
          <cell r="M1136">
            <v>31</v>
          </cell>
          <cell r="N1136" t="str">
            <v>RESOLUCION</v>
          </cell>
          <cell r="O1136">
            <v>2067</v>
          </cell>
          <cell r="P1136">
            <v>43298</v>
          </cell>
          <cell r="Q1136" t="str">
            <v>PAGO DE PRESTACIONES SOCIALES DEFINITIVAS DE UN EXFUNCIONARIO DE LA ENTIDAD</v>
          </cell>
          <cell r="R1136">
            <v>108000</v>
          </cell>
          <cell r="S1136">
            <v>0</v>
          </cell>
          <cell r="T1136">
            <v>0</v>
          </cell>
          <cell r="U1136">
            <v>108000</v>
          </cell>
          <cell r="V1136">
            <v>0</v>
          </cell>
        </row>
        <row r="1137">
          <cell r="J1137">
            <v>2611</v>
          </cell>
          <cell r="K1137">
            <v>43320</v>
          </cell>
          <cell r="L1137" t="str">
            <v>MARCELA  SIERRA CUELLO</v>
          </cell>
          <cell r="M1137">
            <v>31</v>
          </cell>
          <cell r="N1137" t="str">
            <v>RESOLUCION</v>
          </cell>
          <cell r="O1137">
            <v>199</v>
          </cell>
          <cell r="P1137">
            <v>43320</v>
          </cell>
          <cell r="Q1137" t="str">
            <v>PAGO DE MI PLANILLA PARAFISCALES DE LOS EXFUNCIONARIOS DE LA ENTIDAD - MARCELA SIERRA CUELLO</v>
          </cell>
          <cell r="R1137">
            <v>1149600</v>
          </cell>
          <cell r="S1137">
            <v>0</v>
          </cell>
          <cell r="T1137">
            <v>0</v>
          </cell>
          <cell r="U1137">
            <v>1149600</v>
          </cell>
          <cell r="V1137">
            <v>1149600</v>
          </cell>
        </row>
        <row r="1138">
          <cell r="J1138">
            <v>2612</v>
          </cell>
          <cell r="K1138">
            <v>43320</v>
          </cell>
          <cell r="L1138" t="str">
            <v>JUAN MANUEL RODRIGUEZ PARRA</v>
          </cell>
          <cell r="M1138">
            <v>31</v>
          </cell>
          <cell r="N1138" t="str">
            <v>RESOLUCION</v>
          </cell>
          <cell r="O1138">
            <v>200</v>
          </cell>
          <cell r="P1138">
            <v>43320</v>
          </cell>
          <cell r="Q1138" t="str">
            <v>PAGO DE MI PLANILLA PARAFISCALES DE LOS EXFUNCIONARIOS DE LA ENTIDAD - JUAN MANUEL RODRIGUEZ PARRA</v>
          </cell>
          <cell r="R1138">
            <v>711500</v>
          </cell>
          <cell r="S1138">
            <v>0</v>
          </cell>
          <cell r="T1138">
            <v>0</v>
          </cell>
          <cell r="U1138">
            <v>711500</v>
          </cell>
          <cell r="V1138">
            <v>711500</v>
          </cell>
        </row>
        <row r="1139">
          <cell r="J1139">
            <v>2692</v>
          </cell>
          <cell r="K1139">
            <v>43334</v>
          </cell>
          <cell r="L1139" t="str">
            <v>GUILLERMO ANDRES ARCILA HOYOS</v>
          </cell>
          <cell r="M1139">
            <v>31</v>
          </cell>
          <cell r="N1139" t="str">
            <v>RESOLUCION</v>
          </cell>
          <cell r="O1139">
            <v>3144</v>
          </cell>
          <cell r="P1139">
            <v>43334</v>
          </cell>
          <cell r="Q1139" t="str">
            <v>PAGO DE PRETACIONES SOCIALES DEFINITIVAS DE UN EXFUNCIONARIO DE LA ENTIDAD</v>
          </cell>
          <cell r="R1139">
            <v>777200</v>
          </cell>
          <cell r="S1139">
            <v>0</v>
          </cell>
          <cell r="T1139">
            <v>0</v>
          </cell>
          <cell r="U1139">
            <v>777200</v>
          </cell>
          <cell r="V1139">
            <v>0</v>
          </cell>
        </row>
        <row r="1140">
          <cell r="J1140">
            <v>2698</v>
          </cell>
          <cell r="K1140">
            <v>43334</v>
          </cell>
          <cell r="L1140" t="str">
            <v>JUAN PABLO VELASQUEZ SILVA</v>
          </cell>
          <cell r="M1140">
            <v>31</v>
          </cell>
          <cell r="N1140" t="str">
            <v>RESOLUCION</v>
          </cell>
          <cell r="O1140">
            <v>3143</v>
          </cell>
          <cell r="P1140">
            <v>43334</v>
          </cell>
          <cell r="Q1140" t="str">
            <v>PAGO DE PRESTACIONES SOCIALES DEFINITIVAS A EXFUNCIONARIO DE LA ENTIDAD</v>
          </cell>
          <cell r="R1140">
            <v>442400</v>
          </cell>
          <cell r="S1140">
            <v>0</v>
          </cell>
          <cell r="T1140">
            <v>0</v>
          </cell>
          <cell r="U1140">
            <v>442400</v>
          </cell>
          <cell r="V1140">
            <v>0</v>
          </cell>
        </row>
        <row r="1141">
          <cell r="J1141">
            <v>2705</v>
          </cell>
          <cell r="K1141">
            <v>43334</v>
          </cell>
          <cell r="L1141" t="str">
            <v>JUAN PABLO TOVAR OCHOA</v>
          </cell>
          <cell r="M1141">
            <v>31</v>
          </cell>
          <cell r="N1141" t="str">
            <v>RESOLUCION</v>
          </cell>
          <cell r="O1141">
            <v>3145</v>
          </cell>
          <cell r="P1141">
            <v>43334</v>
          </cell>
          <cell r="Q1141" t="str">
            <v>PAGO DE PRESTACIONES SOCIALES DEFINITIVAS DE UN EXFUNCIONARIO DE LA ENTIDAD</v>
          </cell>
          <cell r="R1141">
            <v>804300</v>
          </cell>
          <cell r="S1141">
            <v>0</v>
          </cell>
          <cell r="T1141">
            <v>0</v>
          </cell>
          <cell r="U1141">
            <v>804300</v>
          </cell>
          <cell r="V1141">
            <v>0</v>
          </cell>
        </row>
        <row r="1142">
          <cell r="J1142">
            <v>458</v>
          </cell>
          <cell r="K1142">
            <v>43126</v>
          </cell>
          <cell r="L1142" t="str">
            <v>GERMAN ALBERTO BAHAMON JARAMILLO</v>
          </cell>
          <cell r="M1142">
            <v>31</v>
          </cell>
          <cell r="N1142" t="str">
            <v>RESOLUCION</v>
          </cell>
          <cell r="O1142">
            <v>198</v>
          </cell>
          <cell r="P1142">
            <v>43126</v>
          </cell>
          <cell r="Q1142" t="str">
            <v>PAGO DE PRESTACIONES SOCIALES DEFINITIVAS DE UN EXFUNCIONARIO DE LA ENTIDAD</v>
          </cell>
          <cell r="R1142">
            <v>517780</v>
          </cell>
          <cell r="S1142">
            <v>0</v>
          </cell>
          <cell r="T1142">
            <v>0</v>
          </cell>
          <cell r="U1142">
            <v>517780</v>
          </cell>
          <cell r="V1142">
            <v>517760</v>
          </cell>
        </row>
        <row r="1143">
          <cell r="J1143">
            <v>477</v>
          </cell>
          <cell r="K1143">
            <v>43126</v>
          </cell>
          <cell r="L1143" t="str">
            <v>MARCELA  SIERRA CUELLO</v>
          </cell>
          <cell r="M1143">
            <v>31</v>
          </cell>
          <cell r="N1143" t="str">
            <v>RESOLUCION</v>
          </cell>
          <cell r="O1143">
            <v>199</v>
          </cell>
          <cell r="P1143">
            <v>43126</v>
          </cell>
          <cell r="Q1143" t="str">
            <v>PAGO DE PRESTACIONES SOCIALES DEFINITIVAS DE UNA EXFUNCIONARIA DE LA ENTIDAD</v>
          </cell>
          <cell r="R1143">
            <v>766380</v>
          </cell>
          <cell r="S1143">
            <v>766380</v>
          </cell>
          <cell r="T1143">
            <v>0</v>
          </cell>
          <cell r="U1143">
            <v>0</v>
          </cell>
          <cell r="V1143">
            <v>0</v>
          </cell>
        </row>
        <row r="1144">
          <cell r="J1144">
            <v>546</v>
          </cell>
          <cell r="K1144">
            <v>43133</v>
          </cell>
          <cell r="L1144" t="str">
            <v>JUAN MANUEL RODRIGUEZ PARRA</v>
          </cell>
          <cell r="M1144">
            <v>31</v>
          </cell>
          <cell r="N1144" t="str">
            <v>RESOLUCION</v>
          </cell>
          <cell r="O1144">
            <v>200</v>
          </cell>
          <cell r="P1144">
            <v>43102</v>
          </cell>
          <cell r="Q1144" t="str">
            <v>PAGO DE PRTESTACIONES SOCIALES DEFINITIVAS A EXFUNCIONARIO DE LA ENTIDAD</v>
          </cell>
          <cell r="R1144">
            <v>474300</v>
          </cell>
          <cell r="S1144">
            <v>474300</v>
          </cell>
          <cell r="T1144">
            <v>0</v>
          </cell>
          <cell r="U1144">
            <v>0</v>
          </cell>
          <cell r="V1144">
            <v>0</v>
          </cell>
        </row>
        <row r="1145">
          <cell r="J1145">
            <v>1936</v>
          </cell>
          <cell r="K1145">
            <v>43242</v>
          </cell>
          <cell r="L1145" t="str">
            <v>GERMAN ALBERTO BAHAMON JARAMILLO</v>
          </cell>
          <cell r="M1145">
            <v>31</v>
          </cell>
          <cell r="N1145" t="str">
            <v>RESOLUCION</v>
          </cell>
          <cell r="O1145">
            <v>2068</v>
          </cell>
          <cell r="P1145">
            <v>43242</v>
          </cell>
          <cell r="Q1145" t="str">
            <v>PAGO DE REAJUSTE DE PRESTACIONES SOCIALES DEFINITIVAS DE UN FUNCIONARIO DE LA ENTIDAD</v>
          </cell>
          <cell r="R1145">
            <v>24980</v>
          </cell>
          <cell r="S1145">
            <v>0</v>
          </cell>
          <cell r="T1145">
            <v>0</v>
          </cell>
          <cell r="U1145">
            <v>24980</v>
          </cell>
          <cell r="V1145">
            <v>24980</v>
          </cell>
        </row>
        <row r="1146">
          <cell r="J1146">
            <v>2499</v>
          </cell>
          <cell r="K1146">
            <v>43298</v>
          </cell>
          <cell r="L1146" t="str">
            <v>CAROLINA  FERNANDEZ BOLAÑOS</v>
          </cell>
          <cell r="M1146">
            <v>31</v>
          </cell>
          <cell r="N1146" t="str">
            <v>RESOLUCION</v>
          </cell>
          <cell r="O1146">
            <v>2067</v>
          </cell>
          <cell r="P1146">
            <v>43298</v>
          </cell>
          <cell r="Q1146" t="str">
            <v>PAGO DE PRESTACIONES SOCIALES DEFINITIVAS DE UN EXFUNCIONARIO DE LA ENTIDAD</v>
          </cell>
          <cell r="R1146">
            <v>72000</v>
          </cell>
          <cell r="S1146">
            <v>0</v>
          </cell>
          <cell r="T1146">
            <v>0</v>
          </cell>
          <cell r="U1146">
            <v>72000</v>
          </cell>
          <cell r="V1146">
            <v>0</v>
          </cell>
        </row>
        <row r="1147">
          <cell r="J1147">
            <v>2611</v>
          </cell>
          <cell r="K1147">
            <v>43320</v>
          </cell>
          <cell r="L1147" t="str">
            <v>MARCELA  SIERRA CUELLO</v>
          </cell>
          <cell r="M1147">
            <v>31</v>
          </cell>
          <cell r="N1147" t="str">
            <v>RESOLUCION</v>
          </cell>
          <cell r="O1147">
            <v>199</v>
          </cell>
          <cell r="P1147">
            <v>43320</v>
          </cell>
          <cell r="Q1147" t="str">
            <v>PAGO DE MI PLANILLA PARAFISCALES DE LOS EXFUNCIONARIOS DE LA ENTIDAD - MARCELA SIERRA CUELLO</v>
          </cell>
          <cell r="R1147">
            <v>766400</v>
          </cell>
          <cell r="S1147">
            <v>0</v>
          </cell>
          <cell r="T1147">
            <v>0</v>
          </cell>
          <cell r="U1147">
            <v>766400</v>
          </cell>
          <cell r="V1147">
            <v>766400</v>
          </cell>
        </row>
        <row r="1148">
          <cell r="J1148">
            <v>2612</v>
          </cell>
          <cell r="K1148">
            <v>43320</v>
          </cell>
          <cell r="L1148" t="str">
            <v>JUAN MANUEL RODRIGUEZ PARRA</v>
          </cell>
          <cell r="M1148">
            <v>31</v>
          </cell>
          <cell r="N1148" t="str">
            <v>RESOLUCION</v>
          </cell>
          <cell r="O1148">
            <v>200</v>
          </cell>
          <cell r="P1148">
            <v>43320</v>
          </cell>
          <cell r="Q1148" t="str">
            <v>PAGO DE MI PLANILLA PARAFISCALES DE LOS EXFUNCIONARIOS DE LA ENTIDAD - JUAN MANUEL RODRIGUEZ PARRA</v>
          </cell>
          <cell r="R1148">
            <v>474300</v>
          </cell>
          <cell r="S1148">
            <v>0</v>
          </cell>
          <cell r="T1148">
            <v>0</v>
          </cell>
          <cell r="U1148">
            <v>474300</v>
          </cell>
          <cell r="V1148">
            <v>474300</v>
          </cell>
        </row>
        <row r="1149">
          <cell r="J1149">
            <v>2692</v>
          </cell>
          <cell r="K1149">
            <v>43334</v>
          </cell>
          <cell r="L1149" t="str">
            <v>GUILLERMO ANDRES ARCILA HOYOS</v>
          </cell>
          <cell r="M1149">
            <v>31</v>
          </cell>
          <cell r="N1149" t="str">
            <v>RESOLUCION</v>
          </cell>
          <cell r="O1149">
            <v>3144</v>
          </cell>
          <cell r="P1149">
            <v>43334</v>
          </cell>
          <cell r="Q1149" t="str">
            <v>PAGO DE PRETACIONES SOCIALES DEFINITIVAS DE UN EXFUNCIONARIO DE LA ENTIDAD</v>
          </cell>
          <cell r="R1149">
            <v>518200</v>
          </cell>
          <cell r="S1149">
            <v>0</v>
          </cell>
          <cell r="T1149">
            <v>0</v>
          </cell>
          <cell r="U1149">
            <v>518200</v>
          </cell>
          <cell r="V1149">
            <v>0</v>
          </cell>
        </row>
        <row r="1150">
          <cell r="J1150">
            <v>2698</v>
          </cell>
          <cell r="K1150">
            <v>43334</v>
          </cell>
          <cell r="L1150" t="str">
            <v>JUAN PABLO VELASQUEZ SILVA</v>
          </cell>
          <cell r="M1150">
            <v>31</v>
          </cell>
          <cell r="N1150" t="str">
            <v>RESOLUCION</v>
          </cell>
          <cell r="O1150">
            <v>3143</v>
          </cell>
          <cell r="P1150">
            <v>43334</v>
          </cell>
          <cell r="Q1150" t="str">
            <v>PAGO DE PRESTACIONES SOCIALES DEFINITIVAS A EXFUNCIONARIO DE LA ENTIDAD</v>
          </cell>
          <cell r="R1150">
            <v>295000</v>
          </cell>
          <cell r="S1150">
            <v>0</v>
          </cell>
          <cell r="T1150">
            <v>0</v>
          </cell>
          <cell r="U1150">
            <v>295000</v>
          </cell>
          <cell r="V1150">
            <v>0</v>
          </cell>
        </row>
        <row r="1151">
          <cell r="J1151">
            <v>2705</v>
          </cell>
          <cell r="K1151">
            <v>43334</v>
          </cell>
          <cell r="L1151" t="str">
            <v>JUAN PABLO TOVAR OCHOA</v>
          </cell>
          <cell r="M1151">
            <v>31</v>
          </cell>
          <cell r="N1151" t="str">
            <v>RESOLUCION</v>
          </cell>
          <cell r="O1151">
            <v>3145</v>
          </cell>
          <cell r="P1151">
            <v>43334</v>
          </cell>
          <cell r="Q1151" t="str">
            <v>PAGO DE PRESTACIONES SOCIALES DEFINITIVAS DE UN EXFUNCIONARIO DE LA ENTIDAD</v>
          </cell>
          <cell r="R1151">
            <v>536200</v>
          </cell>
          <cell r="S1151">
            <v>0</v>
          </cell>
          <cell r="T1151">
            <v>0</v>
          </cell>
          <cell r="U1151">
            <v>536200</v>
          </cell>
          <cell r="V1151">
            <v>0</v>
          </cell>
        </row>
        <row r="1152">
          <cell r="J1152">
            <v>2595</v>
          </cell>
          <cell r="K1152">
            <v>43315</v>
          </cell>
          <cell r="L1152" t="str">
            <v>FUNDACION UNIVERSIDAD EXTERNADO DE COLOMBIA</v>
          </cell>
          <cell r="M1152">
            <v>31</v>
          </cell>
          <cell r="N1152" t="str">
            <v>RESOLUCION</v>
          </cell>
          <cell r="O1152">
            <v>3058</v>
          </cell>
          <cell r="P1152">
            <v>43315</v>
          </cell>
          <cell r="Q1152" t="str">
            <v>Cubrir el pago de incripción de los dos servidores públicos de la entidad para entidad para participar en la 40a JORNADAS INTERNACIONALES DE DERECHO PROCESAL en Bogotá DC.</v>
          </cell>
          <cell r="R1152">
            <v>740000</v>
          </cell>
          <cell r="S1152">
            <v>0</v>
          </cell>
          <cell r="T1152">
            <v>0</v>
          </cell>
          <cell r="U1152">
            <v>740000</v>
          </cell>
          <cell r="V1152">
            <v>740000</v>
          </cell>
        </row>
        <row r="1153">
          <cell r="J1153">
            <v>1525</v>
          </cell>
          <cell r="K1153">
            <v>43164</v>
          </cell>
          <cell r="L1153" t="str">
            <v>CAJA DE VIVIENDA POPULAR</v>
          </cell>
          <cell r="M1153">
            <v>31</v>
          </cell>
          <cell r="N1153" t="str">
            <v>RESOLUCION</v>
          </cell>
          <cell r="O1153">
            <v>1459</v>
          </cell>
          <cell r="P1153">
            <v>43164</v>
          </cell>
          <cell r="Q1153" t="str">
            <v>PAGO AUXILIO DE ESTUDIO SEGÚN CONVENCIÓN COLECTIVA DE TRABAJADORES DE NOVIEMBRE 29 DE 1990 CLAUSULA 10</v>
          </cell>
          <cell r="R1153">
            <v>3879630</v>
          </cell>
          <cell r="S1153">
            <v>0</v>
          </cell>
          <cell r="T1153">
            <v>0</v>
          </cell>
          <cell r="U1153">
            <v>3879630</v>
          </cell>
          <cell r="V1153">
            <v>3879630</v>
          </cell>
        </row>
        <row r="1154">
          <cell r="J1154">
            <v>1809</v>
          </cell>
          <cell r="K1154">
            <v>43208</v>
          </cell>
          <cell r="L1154" t="str">
            <v>MARISOL  MALAGON PARRA</v>
          </cell>
          <cell r="M1154">
            <v>31</v>
          </cell>
          <cell r="N1154" t="str">
            <v>RESOLUCION</v>
          </cell>
          <cell r="O1154">
            <v>1860</v>
          </cell>
          <cell r="P1154">
            <v>43208</v>
          </cell>
          <cell r="Q1154" t="str">
            <v>PAGO AUXILIO FUNERARIO A MARISOL MALAGON PARRA POR LA MUERTE DE SU SEÑOR PADRE, SERVILIO MALAGON MENJURA, PARA LO CUAL ANEXO COPIA DEL REGISTRO CIVIL DE DEFUNCION INDICATIVO SERIAL 09529960. DE ACUERDO A LA CLÁUSULA NOVENA, CAPÍTULO III DE LA CONVENCIÓN COLECTIVA DE TRABAJO FIRMADA ENTRE LA CAJA DE LA VIVIENDA POPULAR Y EL SINDICATO DE TRABAJADORES, DEL VEINTINUEVE (29) DE NOVIEMBRE DE MIL NOVECIENTOS NOVENTA (1990), ¿EN CASO DE FALLECIMIENTO DE ALGUNO DE LOS PADRES DEL TRABAJADOR, LA CAJA DE LA VIVIENDA POPULAR, RECONOCERÁ Y PAGARÁ UN AUXILIO FUNERARIO EQUIVALENTE A UN SALARIO MÍNIMO CONVENCIONAL, EL CUAL SE DARÁ DIRECTAMENTE AL TRABAJADOR.</v>
          </cell>
          <cell r="R1154">
            <v>2346902</v>
          </cell>
          <cell r="S1154">
            <v>0</v>
          </cell>
          <cell r="T1154">
            <v>0</v>
          </cell>
          <cell r="U1154">
            <v>2346902</v>
          </cell>
          <cell r="V1154">
            <v>2346902</v>
          </cell>
        </row>
        <row r="1155">
          <cell r="J1155">
            <v>1810</v>
          </cell>
          <cell r="K1155">
            <v>43209</v>
          </cell>
          <cell r="L1155" t="str">
            <v>JOSE IGNACIO BLANCO TORRES</v>
          </cell>
          <cell r="M1155">
            <v>31</v>
          </cell>
          <cell r="N1155" t="str">
            <v>RESOLUCION</v>
          </cell>
          <cell r="O1155">
            <v>1861</v>
          </cell>
          <cell r="P1155">
            <v>43209</v>
          </cell>
          <cell r="Q1155" t="str">
            <v>PAGO AUXILIO DE ESTUDIO SEGÚN CONVENCIÓN COLECTIVA DE TRABAJADORES DE NOVIEMBRE 29 DE 1990 CLAUSULA 10</v>
          </cell>
          <cell r="R1155">
            <v>505641</v>
          </cell>
          <cell r="S1155">
            <v>0</v>
          </cell>
          <cell r="T1155">
            <v>0</v>
          </cell>
          <cell r="U1155">
            <v>505641</v>
          </cell>
          <cell r="V1155">
            <v>505641</v>
          </cell>
        </row>
        <row r="1156">
          <cell r="J1156">
            <v>2549</v>
          </cell>
          <cell r="K1156">
            <v>43312</v>
          </cell>
          <cell r="L1156" t="str">
            <v>GELEN LIZETH LOAIZA PARRA</v>
          </cell>
          <cell r="M1156">
            <v>31</v>
          </cell>
          <cell r="N1156" t="str">
            <v>RESOLUCION</v>
          </cell>
          <cell r="O1156">
            <v>2954</v>
          </cell>
          <cell r="P1156">
            <v>43312</v>
          </cell>
          <cell r="Q1156" t="str">
            <v>Pago de Pasivo Exigible a nombre de la señora GELEN LIZETH LOAIZA PARRA  identificada con CC. 1.031.150.800 Contrato 246 de 2015 Acta de fenecimiento del 31/12/2016.</v>
          </cell>
          <cell r="R1156">
            <v>450000</v>
          </cell>
          <cell r="S1156">
            <v>0</v>
          </cell>
          <cell r="T1156">
            <v>0</v>
          </cell>
          <cell r="U1156">
            <v>450000</v>
          </cell>
          <cell r="V1156">
            <v>450000</v>
          </cell>
        </row>
        <row r="1157">
          <cell r="J1157">
            <v>305</v>
          </cell>
          <cell r="K1157">
            <v>43122</v>
          </cell>
          <cell r="L1157" t="str">
            <v>ELCIA  MUÑOZ DE JIMENEZ</v>
          </cell>
          <cell r="M1157">
            <v>31</v>
          </cell>
          <cell r="N1157" t="str">
            <v>RESOLUCION</v>
          </cell>
          <cell r="O1157">
            <v>36</v>
          </cell>
          <cell r="P1157">
            <v>43122</v>
          </cell>
          <cell r="Q1157" t="str">
            <v>Asignacion del instrumento financiero a las familias ocupantes del predio que hayan superado la fase de verificacion dentro  del marco del Decreto 457 de 2017. LOCALIDAD: KENNEDY; BARRIO: VEREDITAS; ID: 2017-8-383725</v>
          </cell>
          <cell r="R1157">
            <v>54686940</v>
          </cell>
          <cell r="S1157">
            <v>0</v>
          </cell>
          <cell r="T1157">
            <v>0</v>
          </cell>
          <cell r="U1157">
            <v>54686940</v>
          </cell>
          <cell r="V1157">
            <v>54686940</v>
          </cell>
        </row>
        <row r="1158">
          <cell r="J1158">
            <v>311</v>
          </cell>
          <cell r="K1158">
            <v>43122</v>
          </cell>
          <cell r="L1158" t="str">
            <v>FLOR MARINA MAHECHA SANCHEZ</v>
          </cell>
          <cell r="M1158">
            <v>31</v>
          </cell>
          <cell r="N1158" t="str">
            <v>RESOLUCION</v>
          </cell>
          <cell r="O1158">
            <v>34</v>
          </cell>
          <cell r="P1158">
            <v>43122</v>
          </cell>
          <cell r="Q1158" t="str">
            <v>Asignacion del instrumento financiero a las familias ocupantes del predio que hayan superado la fase de verificacion dentro  del marco del Decreto 457 de 2017. LOCALIDAD: KENNEDY; BARRIO: VEREDITAS; ID: 2017-8-383652</v>
          </cell>
          <cell r="R1158">
            <v>54686940</v>
          </cell>
          <cell r="S1158">
            <v>0</v>
          </cell>
          <cell r="T1158">
            <v>0</v>
          </cell>
          <cell r="U1158">
            <v>54686940</v>
          </cell>
          <cell r="V1158">
            <v>54686940</v>
          </cell>
        </row>
        <row r="1159">
          <cell r="J1159">
            <v>327</v>
          </cell>
          <cell r="K1159">
            <v>43123</v>
          </cell>
          <cell r="L1159" t="str">
            <v>MARLEN  PRIETO QUIROGA</v>
          </cell>
          <cell r="M1159">
            <v>31</v>
          </cell>
          <cell r="N1159" t="str">
            <v>RESOLUCION</v>
          </cell>
          <cell r="O1159">
            <v>35</v>
          </cell>
          <cell r="P1159">
            <v>43123</v>
          </cell>
          <cell r="Q1159" t="str">
            <v>Asignacion del instrumento financiero a las familias ocupantes del predio que hayan superado la fase de verificacion dentro  del marco del Decreto 457 de 2017. LOCALIDAD: KENNEDY; BARRIO: VEREDITAS; ID: 2017-8-383660.</v>
          </cell>
          <cell r="R1159">
            <v>54686940</v>
          </cell>
          <cell r="S1159">
            <v>0</v>
          </cell>
          <cell r="T1159">
            <v>0</v>
          </cell>
          <cell r="U1159">
            <v>54686940</v>
          </cell>
          <cell r="V1159">
            <v>54686940</v>
          </cell>
        </row>
        <row r="1160">
          <cell r="J1160">
            <v>328</v>
          </cell>
          <cell r="K1160">
            <v>43123</v>
          </cell>
          <cell r="L1160" t="str">
            <v>YULI ALEJANDRA RICO GUTIERREZ</v>
          </cell>
          <cell r="M1160">
            <v>31</v>
          </cell>
          <cell r="N1160" t="str">
            <v>RESOLUCION</v>
          </cell>
          <cell r="O1160">
            <v>33</v>
          </cell>
          <cell r="P1160">
            <v>43123</v>
          </cell>
          <cell r="Q1160" t="str">
            <v>Asignacion del instrumento financiero a las familias ocupantes del predio que hayan superado la fase de verificacion dentro  del marco del Decreto 457 de 2017. LOCALIDAD: KENNEDY; BARRIO: VEREDITAS; ID: 2017-8-383788</v>
          </cell>
          <cell r="R1160">
            <v>54686940</v>
          </cell>
          <cell r="S1160">
            <v>0</v>
          </cell>
          <cell r="T1160">
            <v>0</v>
          </cell>
          <cell r="U1160">
            <v>54686940</v>
          </cell>
          <cell r="V1160">
            <v>54686940</v>
          </cell>
        </row>
        <row r="1161">
          <cell r="J1161">
            <v>422</v>
          </cell>
          <cell r="K1161">
            <v>43124</v>
          </cell>
          <cell r="L1161" t="str">
            <v>INES  VALENCIA ORTIZ</v>
          </cell>
          <cell r="M1161">
            <v>31</v>
          </cell>
          <cell r="N1161" t="str">
            <v>RESOLUCION</v>
          </cell>
          <cell r="O1161">
            <v>100</v>
          </cell>
          <cell r="P1161">
            <v>43124</v>
          </cell>
          <cell r="Q1161" t="str">
            <v>Asignacion del instrumento financiero a las familias ocupantes del predio que hayan superado la fase de verificacion dentro  del marco del Decreto 457 de 2017. LOCALIDAD: KENNEDY; BARRIO: VEREDITAS; ID: 2017-8-383714</v>
          </cell>
          <cell r="R1161">
            <v>54686940</v>
          </cell>
          <cell r="S1161">
            <v>0</v>
          </cell>
          <cell r="T1161">
            <v>0</v>
          </cell>
          <cell r="U1161">
            <v>54686940</v>
          </cell>
          <cell r="V1161">
            <v>54686940</v>
          </cell>
        </row>
        <row r="1162">
          <cell r="J1162">
            <v>424</v>
          </cell>
          <cell r="K1162">
            <v>43124</v>
          </cell>
          <cell r="L1162" t="str">
            <v>RUSMEY  VERGARA CHARA</v>
          </cell>
          <cell r="M1162">
            <v>31</v>
          </cell>
          <cell r="N1162" t="str">
            <v>RESOLUCION</v>
          </cell>
          <cell r="O1162">
            <v>101</v>
          </cell>
          <cell r="P1162">
            <v>43124</v>
          </cell>
          <cell r="Q1162" t="str">
            <v>Asignacion del instrumento financiero a las familias ocupantes del predio que hayan superado la fase de verificacion dentro  del marco del Decreto 457 de 2017. LOCALIDAD: KENNEDY; BARRIO: VEREDITAS; ID: 2017-8-383707.</v>
          </cell>
          <cell r="R1162">
            <v>54686940</v>
          </cell>
          <cell r="S1162">
            <v>0</v>
          </cell>
          <cell r="T1162">
            <v>0</v>
          </cell>
          <cell r="U1162">
            <v>54686940</v>
          </cell>
          <cell r="V1162">
            <v>54686940</v>
          </cell>
        </row>
        <row r="1163">
          <cell r="J1163">
            <v>509</v>
          </cell>
          <cell r="K1163">
            <v>43129</v>
          </cell>
          <cell r="L1163" t="str">
            <v>DIANA KATERIN ESTEVEZ USSA</v>
          </cell>
          <cell r="M1163">
            <v>31</v>
          </cell>
          <cell r="N1163" t="str">
            <v>RESOLUCION</v>
          </cell>
          <cell r="O1163">
            <v>202</v>
          </cell>
          <cell r="P1163">
            <v>43129</v>
          </cell>
          <cell r="Q1163" t="str">
            <v>Asignacion del instrumento financiero a las familias ocupantes del predio que hayan superado la fase de verificacion dentro  del marco del Decreto 457 de 2017. LOCALIDAD: KENNEDY; BARRIO: VEREDITAS; ID: 2017-8-383724</v>
          </cell>
          <cell r="R1163">
            <v>54686940</v>
          </cell>
          <cell r="S1163">
            <v>0</v>
          </cell>
          <cell r="T1163">
            <v>0</v>
          </cell>
          <cell r="U1163">
            <v>54686940</v>
          </cell>
          <cell r="V1163">
            <v>54686940</v>
          </cell>
        </row>
        <row r="1164">
          <cell r="J1164">
            <v>510</v>
          </cell>
          <cell r="K1164">
            <v>43129</v>
          </cell>
          <cell r="L1164" t="str">
            <v>LILIANA PATRICIA GARCIA DIAZ</v>
          </cell>
          <cell r="M1164">
            <v>31</v>
          </cell>
          <cell r="N1164" t="str">
            <v>RESOLUCION</v>
          </cell>
          <cell r="O1164">
            <v>203</v>
          </cell>
          <cell r="P1164">
            <v>43129</v>
          </cell>
          <cell r="Q1164" t="str">
            <v>Asignacion del instrumento financiero a las familias ocupantes del predio que hayan superado la fase de verificacion dentro  del marco del Decreto 457 de 2017. LOCALIDAD: KENNEDY; BARRIO: VEREDITAS; ID: 2017-8-383669</v>
          </cell>
          <cell r="R1164">
            <v>54686940</v>
          </cell>
          <cell r="S1164">
            <v>0</v>
          </cell>
          <cell r="T1164">
            <v>0</v>
          </cell>
          <cell r="U1164">
            <v>54686940</v>
          </cell>
          <cell r="V1164">
            <v>54686940</v>
          </cell>
        </row>
        <row r="1165">
          <cell r="J1165">
            <v>511</v>
          </cell>
          <cell r="K1165">
            <v>43129</v>
          </cell>
          <cell r="L1165" t="str">
            <v>SARA JOHANNA MONTAÑO PRIETO</v>
          </cell>
          <cell r="M1165">
            <v>31</v>
          </cell>
          <cell r="N1165" t="str">
            <v>RESOLUCION</v>
          </cell>
          <cell r="O1165">
            <v>201</v>
          </cell>
          <cell r="P1165">
            <v>43129</v>
          </cell>
          <cell r="Q1165" t="str">
            <v>Asignacion del instrumento financiero a las familias ocupantes del predio que hayan superado la fase de verificacion dentro  del marco del Decreto 457 de 2017. LOCALIDAD: KENNEDY; BARRIO: VEREDITAS; ID: ID: 2017-8-383832.</v>
          </cell>
          <cell r="R1165">
            <v>54686940</v>
          </cell>
          <cell r="S1165">
            <v>0</v>
          </cell>
          <cell r="T1165">
            <v>0</v>
          </cell>
          <cell r="U1165">
            <v>54686940</v>
          </cell>
          <cell r="V1165">
            <v>54686940</v>
          </cell>
        </row>
        <row r="1166">
          <cell r="J1166">
            <v>512</v>
          </cell>
          <cell r="K1166">
            <v>43129</v>
          </cell>
          <cell r="L1166" t="str">
            <v>JOHAN SANTIAGO LOPEZ ROMERO</v>
          </cell>
          <cell r="M1166">
            <v>31</v>
          </cell>
          <cell r="N1166" t="str">
            <v>RESOLUCION</v>
          </cell>
          <cell r="O1166">
            <v>205</v>
          </cell>
          <cell r="P1166">
            <v>43129</v>
          </cell>
          <cell r="Q1166" t="str">
            <v>Asignacion del instrumento financiero a las familias ocupantes del predio que hayan superado la fase de verificacion dentro  del marco del Decreto 457 de 2017. LOCALIDAD: KENNEDY; BARRIO: VEREDITAS; ID: 2017-8-383774</v>
          </cell>
          <cell r="R1166">
            <v>54686940</v>
          </cell>
          <cell r="S1166">
            <v>0</v>
          </cell>
          <cell r="T1166">
            <v>0</v>
          </cell>
          <cell r="U1166">
            <v>54686940</v>
          </cell>
          <cell r="V1166">
            <v>54686940</v>
          </cell>
        </row>
        <row r="1167">
          <cell r="J1167">
            <v>513</v>
          </cell>
          <cell r="K1167">
            <v>43129</v>
          </cell>
          <cell r="L1167" t="str">
            <v>LUIS ALBERTO MURCIA ESCALANTE</v>
          </cell>
          <cell r="M1167">
            <v>31</v>
          </cell>
          <cell r="N1167" t="str">
            <v>RESOLUCION</v>
          </cell>
          <cell r="O1167">
            <v>204</v>
          </cell>
          <cell r="P1167">
            <v>43129</v>
          </cell>
          <cell r="Q1167" t="str">
            <v>Asignacion del instrumento financiero a las familias ocupantes del predio que hayan superado la fase de verificacion dentro  del marco del Decreto 457 de 2017. LOCALIDAD: KENNEDY; BARRIO: VEREDITAS; ID: 2017-8-383702</v>
          </cell>
          <cell r="R1167">
            <v>54686940</v>
          </cell>
          <cell r="S1167">
            <v>0</v>
          </cell>
          <cell r="T1167">
            <v>0</v>
          </cell>
          <cell r="U1167">
            <v>54686940</v>
          </cell>
          <cell r="V1167">
            <v>54686940</v>
          </cell>
        </row>
        <row r="1168">
          <cell r="J1168">
            <v>515</v>
          </cell>
          <cell r="K1168">
            <v>43131</v>
          </cell>
          <cell r="L1168" t="str">
            <v>ASCENCION REBECA RODRIGUEZ RODRIGUEZ</v>
          </cell>
          <cell r="M1168">
            <v>31</v>
          </cell>
          <cell r="N1168" t="str">
            <v>RESOLUCION</v>
          </cell>
          <cell r="O1168">
            <v>220</v>
          </cell>
          <cell r="P1168">
            <v>43131</v>
          </cell>
          <cell r="Q1168" t="str">
            <v>EXCEDENTE DE VUR CONFORME AL AVALÚO COMERCIAL (ASIGNACIÓN SEGUNDA VEZ). LOCALIDAD: SAN CRISTOBAL; BARRIO: LA BELLEZA;ID: 2013-Q10-00496</v>
          </cell>
          <cell r="R1168">
            <v>30003100</v>
          </cell>
          <cell r="S1168">
            <v>0</v>
          </cell>
          <cell r="T1168">
            <v>0</v>
          </cell>
          <cell r="U1168">
            <v>30003100</v>
          </cell>
          <cell r="V1168">
            <v>30003100</v>
          </cell>
        </row>
        <row r="1169">
          <cell r="J1169">
            <v>516</v>
          </cell>
          <cell r="K1169">
            <v>43131</v>
          </cell>
          <cell r="L1169" t="str">
            <v>GIOVANNY  GUASCA RODRIGUEZ</v>
          </cell>
          <cell r="M1169">
            <v>31</v>
          </cell>
          <cell r="N1169" t="str">
            <v>RESOLUCION</v>
          </cell>
          <cell r="O1169">
            <v>221</v>
          </cell>
          <cell r="P1169">
            <v>43131</v>
          </cell>
          <cell r="Q1169" t="str">
            <v>Excedente de VUR conforme al avalúo comercial (Asignación segunda vez)Dto. 255 de 2013. LOCALIDAD:SAN CRISTOBAL; BARRIO: QUINDIO; ID: 2015-Q20-04059</v>
          </cell>
          <cell r="R1169">
            <v>16367330</v>
          </cell>
          <cell r="S1169">
            <v>0</v>
          </cell>
          <cell r="T1169">
            <v>0</v>
          </cell>
          <cell r="U1169">
            <v>16367330</v>
          </cell>
          <cell r="V1169">
            <v>16367330</v>
          </cell>
        </row>
        <row r="1170">
          <cell r="J1170">
            <v>517</v>
          </cell>
          <cell r="K1170">
            <v>43132</v>
          </cell>
          <cell r="L1170" t="str">
            <v>ALEXANDER  OYOLA CULMA</v>
          </cell>
          <cell r="M1170">
            <v>31</v>
          </cell>
          <cell r="N1170" t="str">
            <v>RESOLUCION</v>
          </cell>
          <cell r="O1170">
            <v>342</v>
          </cell>
          <cell r="P1170">
            <v>43132</v>
          </cell>
          <cell r="Q1170" t="str">
            <v>VUR de la actual vigencia de acuerdo con el Decreto 255 de 2013. LOCALIDAD: CIUDAD BOLIVAR; BARRIO:EL MIRADOR 3; 2017-19-14978</v>
          </cell>
          <cell r="R1170">
            <v>39062100</v>
          </cell>
          <cell r="S1170">
            <v>0</v>
          </cell>
          <cell r="T1170">
            <v>0</v>
          </cell>
          <cell r="U1170">
            <v>39062100</v>
          </cell>
          <cell r="V1170">
            <v>39062100</v>
          </cell>
        </row>
        <row r="1171">
          <cell r="J1171">
            <v>518</v>
          </cell>
          <cell r="K1171">
            <v>43132</v>
          </cell>
          <cell r="L1171" t="str">
            <v>IVANEIDER  VARGAS COLLAZOS</v>
          </cell>
          <cell r="M1171">
            <v>31</v>
          </cell>
          <cell r="N1171" t="str">
            <v>RESOLUCION</v>
          </cell>
          <cell r="O1171">
            <v>341</v>
          </cell>
          <cell r="P1171">
            <v>43132</v>
          </cell>
          <cell r="Q1171" t="str">
            <v>Asignacion del instrumento financiero a las familias ocupantes del predio que hayan superado la fase de verificacion dentro  del marco del Decreto 457 de 2017. LOCALIDAD: KENNEDY; BARRIO: VEREDITAS; ID: 2017-8-383741</v>
          </cell>
          <cell r="R1171">
            <v>54686940</v>
          </cell>
          <cell r="S1171">
            <v>0</v>
          </cell>
          <cell r="T1171">
            <v>0</v>
          </cell>
          <cell r="U1171">
            <v>54686940</v>
          </cell>
          <cell r="V1171">
            <v>54686940</v>
          </cell>
        </row>
        <row r="1172">
          <cell r="J1172">
            <v>519</v>
          </cell>
          <cell r="K1172">
            <v>43132</v>
          </cell>
          <cell r="L1172" t="str">
            <v>JOHAN DANIEL WILCHES LOPEZ</v>
          </cell>
          <cell r="M1172">
            <v>31</v>
          </cell>
          <cell r="N1172" t="str">
            <v>RESOLUCION</v>
          </cell>
          <cell r="O1172">
            <v>340</v>
          </cell>
          <cell r="P1172">
            <v>43132</v>
          </cell>
          <cell r="Q1172" t="str">
            <v>Asignacion del instrumento financiero a las familias ocupantes del predio que hayan superado la fase de verificacion dentro  del marco del Decreto 457 de 2017. LOCALIDAD: KENNEDY; BARRIO: VEREDITAS; ID: 2017-8-383884</v>
          </cell>
          <cell r="R1172">
            <v>54686940</v>
          </cell>
          <cell r="S1172">
            <v>0</v>
          </cell>
          <cell r="T1172">
            <v>0</v>
          </cell>
          <cell r="U1172">
            <v>54686940</v>
          </cell>
          <cell r="V1172">
            <v>54686940</v>
          </cell>
        </row>
        <row r="1173">
          <cell r="J1173">
            <v>520</v>
          </cell>
          <cell r="K1173">
            <v>43132</v>
          </cell>
          <cell r="L1173" t="str">
            <v>GRACIELA  RODRIGUEZ PINTO</v>
          </cell>
          <cell r="M1173">
            <v>31</v>
          </cell>
          <cell r="N1173" t="str">
            <v>RESOLUCION</v>
          </cell>
          <cell r="O1173">
            <v>335</v>
          </cell>
          <cell r="P1173">
            <v>43132</v>
          </cell>
          <cell r="Q1173" t="str">
            <v>Asignacion del instrumento financiero a las familias ocupantes del predio que hayan superado la fase de verificacion dentro  del marco del Decreto 457 de 2017. LOCALIDAD: KENNEDY; BARRIO: VEREDITAS; ID: 2017-8-383694</v>
          </cell>
          <cell r="R1173">
            <v>54686940</v>
          </cell>
          <cell r="S1173">
            <v>0</v>
          </cell>
          <cell r="T1173">
            <v>0</v>
          </cell>
          <cell r="U1173">
            <v>54686940</v>
          </cell>
          <cell r="V1173">
            <v>54686940</v>
          </cell>
        </row>
        <row r="1174">
          <cell r="J1174">
            <v>521</v>
          </cell>
          <cell r="K1174">
            <v>43132</v>
          </cell>
          <cell r="L1174" t="str">
            <v>CRISTIAN ALEXIS CAIPA LOPEZ</v>
          </cell>
          <cell r="M1174">
            <v>31</v>
          </cell>
          <cell r="N1174" t="str">
            <v>RESOLUCION</v>
          </cell>
          <cell r="O1174">
            <v>336</v>
          </cell>
          <cell r="P1174">
            <v>43132</v>
          </cell>
          <cell r="Q1174" t="str">
            <v>Asignacion del instrumento financiero a las familias ocupantes del predio que hayan superado la fase de verificacion dentro  del marco del Decreto 457 de 2017. LOCALIDAD: KENNEDY; BARRIO: VEREDITAS; ID: 2017-8-383883</v>
          </cell>
          <cell r="R1174">
            <v>54686940</v>
          </cell>
          <cell r="S1174">
            <v>0</v>
          </cell>
          <cell r="T1174">
            <v>0</v>
          </cell>
          <cell r="U1174">
            <v>54686940</v>
          </cell>
          <cell r="V1174">
            <v>54686940</v>
          </cell>
        </row>
        <row r="1175">
          <cell r="J1175">
            <v>522</v>
          </cell>
          <cell r="K1175">
            <v>43132</v>
          </cell>
          <cell r="L1175" t="str">
            <v>OLGA MILENA PRIETO ROJAS</v>
          </cell>
          <cell r="M1175">
            <v>31</v>
          </cell>
          <cell r="N1175" t="str">
            <v>RESOLUCION</v>
          </cell>
          <cell r="O1175">
            <v>339</v>
          </cell>
          <cell r="P1175">
            <v>43132</v>
          </cell>
          <cell r="Q1175" t="str">
            <v>Asignacion del instrumento financiero a las familias ocupantes del predio que hayan superado la fase de verificacion dentro  del marco del Decreto 457 de 2017. LOCALIDAD: KENNEDY; BARRIO: VEREDITAS; ID: 2017-8-383661</v>
          </cell>
          <cell r="R1175">
            <v>54686940</v>
          </cell>
          <cell r="S1175">
            <v>0</v>
          </cell>
          <cell r="T1175">
            <v>0</v>
          </cell>
          <cell r="U1175">
            <v>54686940</v>
          </cell>
          <cell r="V1175">
            <v>54686940</v>
          </cell>
        </row>
        <row r="1176">
          <cell r="J1176">
            <v>523</v>
          </cell>
          <cell r="K1176">
            <v>43132</v>
          </cell>
          <cell r="L1176" t="str">
            <v>LINA KATHERINE AYALA SANTANA</v>
          </cell>
          <cell r="M1176">
            <v>31</v>
          </cell>
          <cell r="N1176" t="str">
            <v>RESOLUCION</v>
          </cell>
          <cell r="O1176">
            <v>337</v>
          </cell>
          <cell r="P1176">
            <v>43132</v>
          </cell>
          <cell r="Q1176" t="str">
            <v>Asignacion del instrumento financiero a las familias ocupantes del predio que hayan superado la fase de verificacion dentro  del marco del Decreto 457 de 2017. LOCALIDAD: KENNEDY; BARRIO: VEREDITAS; ID: 2017-8-383886</v>
          </cell>
          <cell r="R1176">
            <v>54686940</v>
          </cell>
          <cell r="S1176">
            <v>0</v>
          </cell>
          <cell r="T1176">
            <v>0</v>
          </cell>
          <cell r="U1176">
            <v>54686940</v>
          </cell>
          <cell r="V1176">
            <v>54686940</v>
          </cell>
        </row>
        <row r="1177">
          <cell r="J1177">
            <v>524</v>
          </cell>
          <cell r="K1177">
            <v>43132</v>
          </cell>
          <cell r="L1177" t="str">
            <v>TATIANA ASTRID GARZON MONCADA</v>
          </cell>
          <cell r="M1177">
            <v>31</v>
          </cell>
          <cell r="N1177" t="str">
            <v>RESOLUCION</v>
          </cell>
          <cell r="O1177">
            <v>338</v>
          </cell>
          <cell r="P1177">
            <v>43132</v>
          </cell>
          <cell r="Q1177" t="str">
            <v>Asignacion del instrumento financiero a las familias ocupantes del predio que hayan superado la fase de verificacion dentro  del marco del Decreto 457 de 2017. LOCALIDAD: KENNEDY; BARRIO: VEREDITAS; ID: 2017-8-383885</v>
          </cell>
          <cell r="R1177">
            <v>54686940</v>
          </cell>
          <cell r="S1177">
            <v>0</v>
          </cell>
          <cell r="T1177">
            <v>0</v>
          </cell>
          <cell r="U1177">
            <v>54686940</v>
          </cell>
          <cell r="V1177">
            <v>54686940</v>
          </cell>
        </row>
        <row r="1178">
          <cell r="J1178">
            <v>525</v>
          </cell>
          <cell r="K1178">
            <v>43132</v>
          </cell>
          <cell r="L1178" t="str">
            <v>ERIC STEVE LOPEZ PENAGOS</v>
          </cell>
          <cell r="M1178">
            <v>31</v>
          </cell>
          <cell r="N1178" t="str">
            <v>RESOLUCION</v>
          </cell>
          <cell r="O1178">
            <v>333</v>
          </cell>
          <cell r="P1178">
            <v>43132</v>
          </cell>
          <cell r="Q1178" t="str">
            <v>Asignacion del instrumento financiero a las familias ocupantes del predio que hayan superado la fase de verificacion dentro  del marco del Decreto 457 de 2017. LOCALIDAD: KENNEDY; BARRIO: VEREDITAS; ID: 2017-8-383889</v>
          </cell>
          <cell r="R1178">
            <v>54686940</v>
          </cell>
          <cell r="S1178">
            <v>0</v>
          </cell>
          <cell r="T1178">
            <v>0</v>
          </cell>
          <cell r="U1178">
            <v>54686940</v>
          </cell>
          <cell r="V1178">
            <v>54686940</v>
          </cell>
        </row>
        <row r="1179">
          <cell r="J1179">
            <v>526</v>
          </cell>
          <cell r="K1179">
            <v>43132</v>
          </cell>
          <cell r="L1179" t="str">
            <v>CAROLINA  NOPE ARIAS</v>
          </cell>
          <cell r="M1179">
            <v>31</v>
          </cell>
          <cell r="N1179" t="str">
            <v>RESOLUCION</v>
          </cell>
          <cell r="O1179">
            <v>334</v>
          </cell>
          <cell r="P1179">
            <v>43132</v>
          </cell>
          <cell r="Q1179" t="str">
            <v>Asignacion del instrumento financiero a las familias ocupantes del predio que hayan superado la fase de verificacion dentro  del marco del Decreto 457 de 2017. LOCALIDAD: KENNEDY; BARRIO: VEREDITAS; ID: 2017-8-383663</v>
          </cell>
          <cell r="R1179">
            <v>54686940</v>
          </cell>
          <cell r="S1179">
            <v>0</v>
          </cell>
          <cell r="T1179">
            <v>0</v>
          </cell>
          <cell r="U1179">
            <v>54686940</v>
          </cell>
          <cell r="V1179">
            <v>54686940</v>
          </cell>
        </row>
        <row r="1180">
          <cell r="J1180">
            <v>528</v>
          </cell>
          <cell r="K1180">
            <v>43133</v>
          </cell>
          <cell r="L1180" t="str">
            <v>SANDRA LILIANA AREVALO RAMIREZ</v>
          </cell>
          <cell r="M1180">
            <v>31</v>
          </cell>
          <cell r="N1180" t="str">
            <v>RESOLUCION</v>
          </cell>
          <cell r="O1180">
            <v>330</v>
          </cell>
          <cell r="P1180">
            <v>43133</v>
          </cell>
          <cell r="Q1180" t="str">
            <v>AYUDA TEMPORAL A LAS FAMILIAS DE VARIAS LOCALIDADES, PARA RELOCALIZACIÓN DE HOGARES LOCALIZADOS EN ZONAS DE ALTO RIESGO NO MITIGABLE ID:2011-18-13228, LOCALIDAD:18 RAFAEL URIBE URIBE, UPZ:54 MARRUECOS</v>
          </cell>
          <cell r="R1180">
            <v>5754190</v>
          </cell>
          <cell r="S1180">
            <v>0</v>
          </cell>
          <cell r="T1180">
            <v>0</v>
          </cell>
          <cell r="U1180">
            <v>5754190</v>
          </cell>
          <cell r="V1180">
            <v>3098410</v>
          </cell>
        </row>
        <row r="1181">
          <cell r="J1181">
            <v>529</v>
          </cell>
          <cell r="K1181">
            <v>43133</v>
          </cell>
          <cell r="L1181" t="str">
            <v>YOLANDA  ROJAS RIAÑO</v>
          </cell>
          <cell r="M1181">
            <v>31</v>
          </cell>
          <cell r="N1181" t="str">
            <v>RESOLUCION</v>
          </cell>
          <cell r="O1181">
            <v>323</v>
          </cell>
          <cell r="P1181">
            <v>43133</v>
          </cell>
          <cell r="Q1181" t="str">
            <v>AYUDA TEMPORAL A LAS FAMILIAS DE VARIAS LOCALIDADES, PARA RELOCALIZACIÓN DE HOGARES LOCALIZADOS EN ZONAS DE ALTO RIESGO NO MITIGABLE ID:2010-19-11706, LOCALIDAD:19 CIUDAD BOLÍVAR, UPZ:69 ISMAEL PERDOMO, SECTOR:OLA INVERNAL 2010 FOPAE</v>
          </cell>
          <cell r="R1181">
            <v>2895708</v>
          </cell>
          <cell r="S1181">
            <v>965236</v>
          </cell>
          <cell r="T1181">
            <v>0</v>
          </cell>
          <cell r="U1181">
            <v>1930472</v>
          </cell>
          <cell r="V1181">
            <v>1930472</v>
          </cell>
        </row>
        <row r="1182">
          <cell r="J1182">
            <v>530</v>
          </cell>
          <cell r="K1182">
            <v>43133</v>
          </cell>
          <cell r="L1182" t="str">
            <v>JUANA PAULA GAÑAN DE TAPASCO</v>
          </cell>
          <cell r="M1182">
            <v>31</v>
          </cell>
          <cell r="N1182" t="str">
            <v>RESOLUCION</v>
          </cell>
          <cell r="O1182">
            <v>324</v>
          </cell>
          <cell r="P1182">
            <v>43133</v>
          </cell>
          <cell r="Q1182" t="str">
            <v>AYUDA TEMPORAL A LAS FAMILIAS DE VARIAS LOCALIDADES, PARA RELOCALIZACIÓN DE HOGARES LOCALIZADOS EN ZONAS DE ALTO RIESGO NO MITIGABLE ID:2011-4-12722, LOCALIDAD:04 SAN CRISTÓBAL, UPZ:32 SAN BLAS</v>
          </cell>
          <cell r="R1182">
            <v>2281062</v>
          </cell>
          <cell r="S1182">
            <v>380177</v>
          </cell>
          <cell r="T1182">
            <v>0</v>
          </cell>
          <cell r="U1182">
            <v>1900885</v>
          </cell>
          <cell r="V1182">
            <v>1900885</v>
          </cell>
        </row>
        <row r="1183">
          <cell r="J1183">
            <v>531</v>
          </cell>
          <cell r="K1183">
            <v>43133</v>
          </cell>
          <cell r="L1183" t="str">
            <v>ANDREA ESTEFANIA GARZON VARGAS</v>
          </cell>
          <cell r="M1183">
            <v>31</v>
          </cell>
          <cell r="N1183" t="str">
            <v>RESOLUCION</v>
          </cell>
          <cell r="O1183">
            <v>157</v>
          </cell>
          <cell r="P1183">
            <v>43133</v>
          </cell>
          <cell r="Q1183" t="str">
            <v>AYUDA TEMPORAL A LAS FAMILIAS DE VARIAS LOCALIDADES, PARA RELOCALIZACIÓN DE HOGARES LOCALIZADOS EN ZONAS DE ALTO RIESGO NO MITIGABLE ID:2016-OTR-01554, LOCALIDAD:04 SAN CRISTÓBAL, UPZ:32 SAN BLAS, SECTOR:TRIANGULO ALTO</v>
          </cell>
          <cell r="R1183">
            <v>6274047</v>
          </cell>
          <cell r="S1183">
            <v>0</v>
          </cell>
          <cell r="T1183">
            <v>0</v>
          </cell>
          <cell r="U1183">
            <v>6274047</v>
          </cell>
          <cell r="V1183">
            <v>3860952</v>
          </cell>
        </row>
        <row r="1184">
          <cell r="J1184">
            <v>532</v>
          </cell>
          <cell r="K1184">
            <v>43133</v>
          </cell>
          <cell r="L1184" t="str">
            <v>MARIA IMELDA RODRIGUEZ NIETO</v>
          </cell>
          <cell r="M1184">
            <v>31</v>
          </cell>
          <cell r="N1184" t="str">
            <v>RESOLUCION</v>
          </cell>
          <cell r="O1184">
            <v>158</v>
          </cell>
          <cell r="P1184">
            <v>43133</v>
          </cell>
          <cell r="Q1184" t="str">
            <v>AYUDA TEMPORAL A LAS FAMILIAS DE VARIAS LOCALIDADES, PARA RELOCALIZACIÓN DE HOGARES LOCALIZADOS EN ZONAS DE ALTO RIESGO NO MITIGABLE ID:2010-18-12379, LOCALIDAD:18 RAFAEL URIBE URIBE, UPZ:54 MARRUECOS, SECTOR:OLA INVERNAL 2010 FOPAE</v>
          </cell>
          <cell r="R1184">
            <v>2977345</v>
          </cell>
          <cell r="S1184">
            <v>425335</v>
          </cell>
          <cell r="T1184">
            <v>0</v>
          </cell>
          <cell r="U1184">
            <v>2552010</v>
          </cell>
          <cell r="V1184">
            <v>2552010</v>
          </cell>
        </row>
        <row r="1185">
          <cell r="J1185">
            <v>533</v>
          </cell>
          <cell r="K1185">
            <v>43133</v>
          </cell>
          <cell r="L1185" t="str">
            <v>GERMAN RICARDO DIAZ SILVA</v>
          </cell>
          <cell r="M1185">
            <v>31</v>
          </cell>
          <cell r="N1185" t="str">
            <v>RESOLUCION</v>
          </cell>
          <cell r="O1185">
            <v>515</v>
          </cell>
          <cell r="P1185">
            <v>43133</v>
          </cell>
          <cell r="Q1185" t="str">
            <v>Asignacion del instrumento financiero a las familias ocupantes del predio que hayan superado la fase de verificacion dentro  del marco del Decreto 457 de 2017. LOCALIDAD: KENNEDY; BARRIO: VEREDITAS; ID: 2017-8-383898</v>
          </cell>
          <cell r="R1185">
            <v>54686940</v>
          </cell>
          <cell r="S1185">
            <v>0</v>
          </cell>
          <cell r="T1185">
            <v>0</v>
          </cell>
          <cell r="U1185">
            <v>54686940</v>
          </cell>
          <cell r="V1185">
            <v>54686940</v>
          </cell>
        </row>
        <row r="1186">
          <cell r="J1186">
            <v>534</v>
          </cell>
          <cell r="K1186">
            <v>43133</v>
          </cell>
          <cell r="L1186" t="str">
            <v>DIANA MARCELA PARRA RAMIREZ</v>
          </cell>
          <cell r="M1186">
            <v>31</v>
          </cell>
          <cell r="N1186" t="str">
            <v>RESOLUCION</v>
          </cell>
          <cell r="O1186">
            <v>159</v>
          </cell>
          <cell r="P1186">
            <v>43133</v>
          </cell>
          <cell r="Q1186" t="str">
            <v>AYUDA TEMPORAL A LAS FAMILIAS DE VARIAS LOCALIDADES, PARA RELOCALIZACIÓN DE HOGARES LOCALIZADOS EN ZONAS DE ALTO RIESGO NO MITIGABLE ID:2011-19-12599, LOCALIDAD:19 CIUDAD BOLÍVAR, UPZ:67 LUCERO</v>
          </cell>
          <cell r="R1186">
            <v>3098410</v>
          </cell>
          <cell r="S1186">
            <v>885260</v>
          </cell>
          <cell r="T1186">
            <v>0</v>
          </cell>
          <cell r="U1186">
            <v>2213150</v>
          </cell>
          <cell r="V1186">
            <v>2213150</v>
          </cell>
        </row>
        <row r="1187">
          <cell r="J1187">
            <v>535</v>
          </cell>
          <cell r="K1187">
            <v>43133</v>
          </cell>
          <cell r="L1187" t="str">
            <v>MATEO  GONZALEZ MARTINEZ</v>
          </cell>
          <cell r="M1187">
            <v>31</v>
          </cell>
          <cell r="N1187" t="str">
            <v>RESOLUCION</v>
          </cell>
          <cell r="O1187">
            <v>160</v>
          </cell>
          <cell r="P1187">
            <v>43133</v>
          </cell>
          <cell r="Q1187" t="str">
            <v>AYUDA TEMPORAL A LAS FAMILIAS DE VARIAS LOCALIDADES, PARA RELOCALIZACIÓN DE HOGARES LOCALIZADOS EN ZONAS DE ALTO RIESGO NO MITIGABLE ID:2014-Q03-01020, LOCALIDAD:19 CIUDAD BOLÍVAR, UPZ:66 SAN FRANCISCO, SECTOR:LIMAS</v>
          </cell>
          <cell r="R1187">
            <v>2886555</v>
          </cell>
          <cell r="S1187">
            <v>412365</v>
          </cell>
          <cell r="T1187">
            <v>0</v>
          </cell>
          <cell r="U1187">
            <v>2474190</v>
          </cell>
          <cell r="V1187">
            <v>2474190</v>
          </cell>
        </row>
        <row r="1188">
          <cell r="J1188">
            <v>536</v>
          </cell>
          <cell r="K1188">
            <v>43133</v>
          </cell>
          <cell r="L1188" t="str">
            <v>MARIA JUDITH MORENO PUENTES</v>
          </cell>
          <cell r="M1188">
            <v>31</v>
          </cell>
          <cell r="N1188" t="str">
            <v>RESOLUCION</v>
          </cell>
          <cell r="O1188">
            <v>161</v>
          </cell>
          <cell r="P1188">
            <v>43133</v>
          </cell>
          <cell r="Q1188" t="str">
            <v>AYUDA TEMPORAL A LAS FAMILIAS DE VARIAS LOCALIDADES, PARA RELOCALIZACIÓN DE HOGARES LOCALIZADOS EN ZONAS DE ALTO RIESGO NO MITIGABLE ID:2013-Q04-00325, LOCALIDAD:19 CIUDAD BOLÍVAR, UPZ:67 LUCERO, SECTOR:QUEBRADA TROMPETA</v>
          </cell>
          <cell r="R1188">
            <v>2685291</v>
          </cell>
          <cell r="S1188">
            <v>767226</v>
          </cell>
          <cell r="T1188">
            <v>0</v>
          </cell>
          <cell r="U1188">
            <v>1918065</v>
          </cell>
          <cell r="V1188">
            <v>1918065</v>
          </cell>
        </row>
        <row r="1189">
          <cell r="J1189">
            <v>537</v>
          </cell>
          <cell r="K1189">
            <v>43133</v>
          </cell>
          <cell r="L1189" t="str">
            <v>JAIRO FELIPE ACOSTA MONTOYA</v>
          </cell>
          <cell r="M1189">
            <v>31</v>
          </cell>
          <cell r="N1189" t="str">
            <v>RESOLUCION</v>
          </cell>
          <cell r="O1189">
            <v>162</v>
          </cell>
          <cell r="P1189">
            <v>43133</v>
          </cell>
          <cell r="Q1189" t="str">
            <v>AYUDA TEMPORAL A LAS FAMILIAS DE VARIAS LOCALIDADES, PARA RELOCALIZACIÓN DE HOGARES LOCALIZADOS EN ZONAS DE ALTO RIESGO NO MITIGABLE ID:2011-18-13190, LOCALIDAD:18 RAFAEL URIBE URIBE, UPZ:55 DIANA TURBAY</v>
          </cell>
          <cell r="R1189">
            <v>2582006</v>
          </cell>
          <cell r="S1189">
            <v>0</v>
          </cell>
          <cell r="T1189">
            <v>0</v>
          </cell>
          <cell r="U1189">
            <v>2582006</v>
          </cell>
          <cell r="V1189">
            <v>1475432</v>
          </cell>
        </row>
        <row r="1190">
          <cell r="J1190">
            <v>538</v>
          </cell>
          <cell r="K1190">
            <v>43133</v>
          </cell>
          <cell r="L1190" t="str">
            <v>ELVIA MARIA GALINDO PAEZ</v>
          </cell>
          <cell r="M1190">
            <v>31</v>
          </cell>
          <cell r="N1190" t="str">
            <v>RESOLUCION</v>
          </cell>
          <cell r="O1190">
            <v>163</v>
          </cell>
          <cell r="P1190">
            <v>43133</v>
          </cell>
          <cell r="Q1190" t="str">
            <v>AYUDA TEMPORAL A LAS FAMILIAS DE VARIAS LOCALIDADES, PARA RELOCALIZACIÓN DE HOGARES LOCALIZADOS EN ZONAS DE ALTO RIESGO NO MITIGABLE ID:2011-4-13624, LOCALIDAD:04 SAN CRISTÓBAL, UPZ:50 LA GLORIA</v>
          </cell>
          <cell r="R1190">
            <v>5057910</v>
          </cell>
          <cell r="S1190">
            <v>0</v>
          </cell>
          <cell r="T1190">
            <v>0</v>
          </cell>
          <cell r="U1190">
            <v>5057910</v>
          </cell>
          <cell r="V1190">
            <v>3112560</v>
          </cell>
        </row>
        <row r="1191">
          <cell r="J1191">
            <v>539</v>
          </cell>
          <cell r="K1191">
            <v>43133</v>
          </cell>
          <cell r="L1191" t="str">
            <v>RAMIRO  LEON PEREZ</v>
          </cell>
          <cell r="M1191">
            <v>31</v>
          </cell>
          <cell r="N1191" t="str">
            <v>RESOLUCION</v>
          </cell>
          <cell r="O1191">
            <v>329</v>
          </cell>
          <cell r="P1191">
            <v>43133</v>
          </cell>
          <cell r="Q1191" t="str">
            <v>AYUDA TEMPORAL A LAS FAMILIAS DE VARIAS LOCALIDADES, PARA RELOCALIZACIÓN DE HOGARES LOCALIZADOS EN ZONAS DE ALTO RIESGO NO MITIGABLE ID:2011-4-12692, LOCALIDAD:04 SAN CRISTÓBAL, UPZ:32 SAN BLAS</v>
          </cell>
          <cell r="R1191">
            <v>2213148</v>
          </cell>
          <cell r="S1191">
            <v>368858</v>
          </cell>
          <cell r="T1191">
            <v>0</v>
          </cell>
          <cell r="U1191">
            <v>1844290</v>
          </cell>
          <cell r="V1191">
            <v>1844290</v>
          </cell>
        </row>
        <row r="1192">
          <cell r="J1192">
            <v>540</v>
          </cell>
          <cell r="K1192">
            <v>43133</v>
          </cell>
          <cell r="L1192" t="str">
            <v>MARIA BERENICE LIZARAZO CARREÑO</v>
          </cell>
          <cell r="M1192">
            <v>31</v>
          </cell>
          <cell r="N1192" t="str">
            <v>RESOLUCION</v>
          </cell>
          <cell r="O1192">
            <v>164</v>
          </cell>
          <cell r="P1192">
            <v>43133</v>
          </cell>
          <cell r="Q1192" t="str">
            <v>AYUDA TEMPORAL A LAS FAMILIAS DE VARIAS LOCALIDADES, PARA RELOCALIZACIÓN DE HOGARES LOCALIZADOS EN ZONAS DE ALTO RIESGO NO MITIGABLE ID:2005-18-6303, LOCALIDAD:18 RAFAEL URIBE URIBE, UPZ:55 DIANA TURBAY</v>
          </cell>
          <cell r="R1192">
            <v>3570210</v>
          </cell>
          <cell r="S1192">
            <v>0</v>
          </cell>
          <cell r="T1192">
            <v>0</v>
          </cell>
          <cell r="U1192">
            <v>3570210</v>
          </cell>
          <cell r="V1192">
            <v>1020060</v>
          </cell>
        </row>
        <row r="1193">
          <cell r="J1193">
            <v>541</v>
          </cell>
          <cell r="K1193">
            <v>43133</v>
          </cell>
          <cell r="L1193" t="str">
            <v>EDNA LICED CAPERA SERRANO</v>
          </cell>
          <cell r="M1193">
            <v>31</v>
          </cell>
          <cell r="N1193" t="str">
            <v>RESOLUCION</v>
          </cell>
          <cell r="O1193">
            <v>327</v>
          </cell>
          <cell r="P1193">
            <v>43133</v>
          </cell>
          <cell r="Q1193" t="str">
            <v>AYUDA TEMPORAL A LAS FAMILIAS DE VARIAS LOCALIDADES, PARA RELOCALIZACIÓN DE HOGARES LOCALIZADOS EN ZONAS DE ALTO RIESGO NO MITIGABLE ID:2016-08-14900, LOCALIDAD:08 KENNEDY, UPZ:82 PATIO BONITO, SECTOR:PALMITAS</v>
          </cell>
          <cell r="R1193">
            <v>3614814</v>
          </cell>
          <cell r="S1193">
            <v>516402</v>
          </cell>
          <cell r="T1193">
            <v>0</v>
          </cell>
          <cell r="U1193">
            <v>3098412</v>
          </cell>
          <cell r="V1193">
            <v>3098412</v>
          </cell>
        </row>
        <row r="1194">
          <cell r="J1194">
            <v>543</v>
          </cell>
          <cell r="K1194">
            <v>43133</v>
          </cell>
          <cell r="L1194" t="str">
            <v>OLGA PATRICIA ZAMORA SALAMANCA</v>
          </cell>
          <cell r="M1194">
            <v>31</v>
          </cell>
          <cell r="N1194" t="str">
            <v>RESOLUCION</v>
          </cell>
          <cell r="O1194">
            <v>165</v>
          </cell>
          <cell r="P1194">
            <v>43133</v>
          </cell>
          <cell r="Q1194" t="str">
            <v>AYUDA TEMPORAL A LAS FAMILIAS DE VARIAS LOCALIDADES, PARA RELOCALIZACIÓN DE HOGARES LOCALIZADOS EN ZONAS DE ALTO RIESGO NO MITIGABLE ID:2006-4-7956, LOCALIDAD:04 SAN CRISTÓBAL, UPZ:32 SAN BLAS</v>
          </cell>
          <cell r="R1194">
            <v>2582006</v>
          </cell>
          <cell r="S1194">
            <v>368858</v>
          </cell>
          <cell r="T1194">
            <v>0</v>
          </cell>
          <cell r="U1194">
            <v>2213148</v>
          </cell>
          <cell r="V1194">
            <v>2213148</v>
          </cell>
        </row>
        <row r="1195">
          <cell r="J1195">
            <v>544</v>
          </cell>
          <cell r="K1195">
            <v>43133</v>
          </cell>
          <cell r="L1195" t="str">
            <v>JESUS EMILIO ORDOÑEZ BRAVO</v>
          </cell>
          <cell r="M1195">
            <v>31</v>
          </cell>
          <cell r="N1195" t="str">
            <v>RESOLUCION</v>
          </cell>
          <cell r="O1195">
            <v>328</v>
          </cell>
          <cell r="P1195">
            <v>43133</v>
          </cell>
          <cell r="Q1195" t="str">
            <v>AYUDA TEMPORAL A LAS FAMILIAS DE VARIAS LOCALIDADES, PARA RELOCALIZACIÓN DE HOGARES LOCALIZADOS EN ZONAS DE ALTO RIESGO NO MITIGABLE ID:2013-Q09-00470, LOCALIDAD:19 CIUDAD BOLÍVAR, UPZ:67 LUCERO, SECTOR:QUEBRADA TROMPETA</v>
          </cell>
          <cell r="R1195">
            <v>5361707</v>
          </cell>
          <cell r="S1195">
            <v>0</v>
          </cell>
          <cell r="T1195">
            <v>0</v>
          </cell>
          <cell r="U1195">
            <v>5361707</v>
          </cell>
          <cell r="V1195">
            <v>3299512</v>
          </cell>
        </row>
        <row r="1196">
          <cell r="J1196">
            <v>545</v>
          </cell>
          <cell r="K1196">
            <v>43133</v>
          </cell>
          <cell r="L1196" t="str">
            <v>YENIFER GABRIELA ORJUELA PACHECO</v>
          </cell>
          <cell r="M1196">
            <v>31</v>
          </cell>
          <cell r="N1196" t="str">
            <v>RESOLUCION</v>
          </cell>
          <cell r="O1196">
            <v>166</v>
          </cell>
          <cell r="P1196">
            <v>43133</v>
          </cell>
          <cell r="Q1196" t="str">
            <v>AYUDA TEMPORAL A LAS FAMILIAS DE VARIAS LOCALIDADES, PARA RELOCALIZACIÓN DE HOGARES LOCALIZADOS EN ZONAS DE ALTO RIESGO NO MITIGABLE ID:2016-08-14912, LOCALIDAD:08 KENNEDY, UPZ:82 PATIO BONITO, SECTOR:PALMITAS</v>
          </cell>
          <cell r="R1196">
            <v>5466487</v>
          </cell>
          <cell r="S1196">
            <v>0</v>
          </cell>
          <cell r="T1196">
            <v>0</v>
          </cell>
          <cell r="U1196">
            <v>5466487</v>
          </cell>
          <cell r="V1196">
            <v>3363992</v>
          </cell>
        </row>
        <row r="1197">
          <cell r="J1197">
            <v>547</v>
          </cell>
          <cell r="K1197">
            <v>43133</v>
          </cell>
          <cell r="L1197" t="str">
            <v>LUZ ADRIANA TUNJUELO NIEVES</v>
          </cell>
          <cell r="M1197">
            <v>31</v>
          </cell>
          <cell r="N1197" t="str">
            <v>RESOLUCION</v>
          </cell>
          <cell r="O1197">
            <v>167</v>
          </cell>
          <cell r="P1197">
            <v>43133</v>
          </cell>
          <cell r="Q1197" t="str">
            <v>AYUDA TEMPORAL A LAS FAMILIAS DE VARIAS LOCALIDADES, PARA RELOCALIZACIÓN DE HOGARES LOCALIZADOS EN ZONAS DE ALTO RIESGO NO MITIGABLE ID:2012-ALES-328, LOCALIDAD:19 CIUDAD BOLÍVAR, UPZ:69 ISMAEL PERDOMO, SECTOR:ALTOS DE LA ESTANCIA</v>
          </cell>
          <cell r="R1197">
            <v>3218670</v>
          </cell>
          <cell r="S1197">
            <v>459810</v>
          </cell>
          <cell r="T1197">
            <v>0</v>
          </cell>
          <cell r="U1197">
            <v>2758860</v>
          </cell>
          <cell r="V1197">
            <v>2758860</v>
          </cell>
        </row>
        <row r="1198">
          <cell r="J1198">
            <v>548</v>
          </cell>
          <cell r="K1198">
            <v>43133</v>
          </cell>
          <cell r="L1198" t="str">
            <v>MARIA ADIELA GIRALDO VALENCIA</v>
          </cell>
          <cell r="M1198">
            <v>31</v>
          </cell>
          <cell r="N1198" t="str">
            <v>RESOLUCION</v>
          </cell>
          <cell r="O1198">
            <v>223</v>
          </cell>
          <cell r="P1198">
            <v>43133</v>
          </cell>
          <cell r="Q1198" t="str">
            <v>AYUDA TEMPORAL A LAS FAMILIAS DE VARIAS LOCALIDADES, PARA RELOCALIZACIÓN DE HOGARES LOCALIZADOS EN ZONAS DE ALTO RIESGO NO MITIGABLE ID:2013000164, LOCALIDAD:19 CIUDAD BOLÍVAR, UPZ:67 LUCERO, SECTOR:QUEBRADA TROMPETA</v>
          </cell>
          <cell r="R1198">
            <v>5274672</v>
          </cell>
          <cell r="S1198">
            <v>4057440</v>
          </cell>
          <cell r="T1198">
            <v>0</v>
          </cell>
          <cell r="U1198">
            <v>1217232</v>
          </cell>
          <cell r="V1198">
            <v>1217232</v>
          </cell>
        </row>
        <row r="1199">
          <cell r="J1199">
            <v>549</v>
          </cell>
          <cell r="K1199">
            <v>43133</v>
          </cell>
          <cell r="L1199" t="str">
            <v>ROSENDO  SANCHEZ</v>
          </cell>
          <cell r="M1199">
            <v>31</v>
          </cell>
          <cell r="N1199" t="str">
            <v>RESOLUCION</v>
          </cell>
          <cell r="O1199">
            <v>224</v>
          </cell>
          <cell r="P1199">
            <v>43133</v>
          </cell>
          <cell r="Q1199" t="str">
            <v>AYUDA TEMPORAL A LAS FAMILIAS DE VARIAS LOCALIDADES, PARA RELOCALIZACIÓN DE HOGARES LOCALIZADOS EN ZONAS DE ALTO RIESGO NO MITIGABLE ID:2017-18-14937, LOCALIDAD:18 RAFAEL URIBE URIBE, UPZ:54 MARRUECOS</v>
          </cell>
          <cell r="R1199">
            <v>6233708</v>
          </cell>
          <cell r="S1199">
            <v>0</v>
          </cell>
          <cell r="T1199">
            <v>0</v>
          </cell>
          <cell r="U1199">
            <v>6233708</v>
          </cell>
          <cell r="V1199">
            <v>3836128</v>
          </cell>
        </row>
        <row r="1200">
          <cell r="J1200">
            <v>552</v>
          </cell>
          <cell r="K1200">
            <v>43133</v>
          </cell>
          <cell r="L1200" t="str">
            <v>MARIA EMILSE PATIÑO</v>
          </cell>
          <cell r="M1200">
            <v>31</v>
          </cell>
          <cell r="N1200" t="str">
            <v>RESOLUCION</v>
          </cell>
          <cell r="O1200">
            <v>168</v>
          </cell>
          <cell r="P1200">
            <v>43133</v>
          </cell>
          <cell r="Q1200" t="str">
            <v>AYUDA TEMPORAL A LAS FAMILIAS DE VARIAS LOCALIDADES, PARA RELOCALIZACIÓN DE HOGARES LOCALIZADOS EN ZONAS DE ALTO RIESGO NO MITIGABLE ID:2013-Q09-00467, LOCALIDAD:19 CIUDAD BOLÍVAR, UPZ:67 LUCERO, SECTOR:QUEBRADA TROMPETA</v>
          </cell>
          <cell r="R1200">
            <v>6431698</v>
          </cell>
          <cell r="S1200">
            <v>0</v>
          </cell>
          <cell r="T1200">
            <v>0</v>
          </cell>
          <cell r="U1200">
            <v>6431698</v>
          </cell>
          <cell r="V1200">
            <v>3957968</v>
          </cell>
        </row>
        <row r="1201">
          <cell r="J1201">
            <v>553</v>
          </cell>
          <cell r="K1201">
            <v>43133</v>
          </cell>
          <cell r="L1201" t="str">
            <v>JHONI  RIVERA PELAEZ</v>
          </cell>
          <cell r="M1201">
            <v>31</v>
          </cell>
          <cell r="N1201" t="str">
            <v>RESOLUCION</v>
          </cell>
          <cell r="O1201">
            <v>169</v>
          </cell>
          <cell r="P1201">
            <v>43133</v>
          </cell>
          <cell r="Q1201" t="str">
            <v>AYUDA TEMPORAL A LAS FAMILIAS DE VARIAS LOCALIDADES, PARA RELOCALIZACIÓN DE HOGARES LOCALIZADOS EN ZONAS DE ALTO RIESGO NO MITIGABLE ID:2016-08-14779, LOCALIDAD:08 KENNEDY, UPZ:82 PATIO BONITO, SECTOR:PALMITAS</v>
          </cell>
          <cell r="R1201">
            <v>5946005</v>
          </cell>
          <cell r="S1201">
            <v>4573850</v>
          </cell>
          <cell r="T1201">
            <v>0</v>
          </cell>
          <cell r="U1201">
            <v>1372155</v>
          </cell>
          <cell r="V1201">
            <v>1372155</v>
          </cell>
        </row>
        <row r="1202">
          <cell r="J1202">
            <v>554</v>
          </cell>
          <cell r="K1202">
            <v>43133</v>
          </cell>
          <cell r="L1202" t="str">
            <v>BLANCA CECILIA TORRES RISCANEVO</v>
          </cell>
          <cell r="M1202">
            <v>31</v>
          </cell>
          <cell r="N1202" t="str">
            <v>RESOLUCION</v>
          </cell>
          <cell r="O1202">
            <v>225</v>
          </cell>
          <cell r="P1202">
            <v>43133</v>
          </cell>
          <cell r="Q1202" t="str">
            <v>AYUDA TEMPORAL A LAS FAMILIAS DE VARIAS LOCALIDADES, PARA RELOCALIZACIÓN DE HOGARES LOCALIZADOS EN ZONAS DE ALTO RIESGO NO MITIGABLE ID:2016-08-14882, LOCALIDAD:08 KENNEDY, UPZ:82 PATIO BONITO, SECTOR:PALMITAS</v>
          </cell>
          <cell r="R1202">
            <v>6019776</v>
          </cell>
          <cell r="S1202">
            <v>0</v>
          </cell>
          <cell r="T1202">
            <v>0</v>
          </cell>
          <cell r="U1202">
            <v>6019776</v>
          </cell>
          <cell r="V1202">
            <v>3511536</v>
          </cell>
        </row>
        <row r="1203">
          <cell r="J1203">
            <v>555</v>
          </cell>
          <cell r="K1203">
            <v>43133</v>
          </cell>
          <cell r="L1203" t="str">
            <v>JOSE DANILO CIFUENTES</v>
          </cell>
          <cell r="M1203">
            <v>31</v>
          </cell>
          <cell r="N1203" t="str">
            <v>RESOLUCION</v>
          </cell>
          <cell r="O1203">
            <v>226</v>
          </cell>
          <cell r="P1203">
            <v>43133</v>
          </cell>
          <cell r="Q1203" t="str">
            <v>AYUDA TEMPORAL A LAS FAMILIAS DE VARIAS LOCALIDADES, PARA RELOCALIZACIÓN DE HOGARES LOCALIZADOS EN ZONAS DE ALTO RIESGO NO MITIGABLE ID:2012-19-13911, LOCALIDAD:19 CIUDAD BOLÍVAR, UPZ:67 LUCERO</v>
          </cell>
          <cell r="R1203">
            <v>2582006</v>
          </cell>
          <cell r="S1203">
            <v>0</v>
          </cell>
          <cell r="T1203">
            <v>0</v>
          </cell>
          <cell r="U1203">
            <v>2582006</v>
          </cell>
          <cell r="V1203">
            <v>1844290</v>
          </cell>
        </row>
        <row r="1204">
          <cell r="J1204">
            <v>556</v>
          </cell>
          <cell r="K1204">
            <v>43133</v>
          </cell>
          <cell r="L1204" t="str">
            <v>JUAN CRISOSTOMO MACETO RAYO</v>
          </cell>
          <cell r="M1204">
            <v>31</v>
          </cell>
          <cell r="N1204" t="str">
            <v>RESOLUCION</v>
          </cell>
          <cell r="O1204">
            <v>227</v>
          </cell>
          <cell r="P1204">
            <v>43133</v>
          </cell>
          <cell r="Q1204" t="str">
            <v>AYUDA TEMPORAL A LAS FAMILIAS DE VARIAS LOCALIDADES, PARA RELOCALIZACIÓN DE HOGARES LOCALIZADOS EN ZONAS DE ALTO RIESGO NO MITIGABLE ID:2015-D227-00022, LOCALIDAD:04 SAN CRISTÓBAL, UPZ:51 LOS LIBERTADORES, SECTOR:SANTA TERESITA</v>
          </cell>
          <cell r="R1204">
            <v>2661239</v>
          </cell>
          <cell r="S1204">
            <v>380177</v>
          </cell>
          <cell r="T1204">
            <v>0</v>
          </cell>
          <cell r="U1204">
            <v>2281062</v>
          </cell>
          <cell r="V1204">
            <v>2281062</v>
          </cell>
        </row>
        <row r="1205">
          <cell r="J1205">
            <v>557</v>
          </cell>
          <cell r="K1205">
            <v>43133</v>
          </cell>
          <cell r="L1205" t="str">
            <v>ORFA MARIA MURCIA GUZMAN</v>
          </cell>
          <cell r="M1205">
            <v>31</v>
          </cell>
          <cell r="N1205" t="str">
            <v>RESOLUCION</v>
          </cell>
          <cell r="O1205">
            <v>228</v>
          </cell>
          <cell r="P1205">
            <v>43133</v>
          </cell>
          <cell r="Q1205" t="str">
            <v>AYUDA TEMPORAL A LAS FAMILIAS DE VARIAS LOCALIDADES, PARA RELOCALIZACIÓN DE HOGARES LOCALIZADOS EN ZONAS DE ALTO RIESGO NO MITIGABLE ID:2013-Q21-00634, LOCALIDAD:19 CIUDAD BOLÍVAR, UPZ:67 LUCERO, SECTOR:BRAZO DERECHO DE LIMAS</v>
          </cell>
          <cell r="R1205">
            <v>2390202</v>
          </cell>
          <cell r="S1205">
            <v>398367</v>
          </cell>
          <cell r="T1205">
            <v>0</v>
          </cell>
          <cell r="U1205">
            <v>1991835</v>
          </cell>
          <cell r="V1205">
            <v>1991835</v>
          </cell>
        </row>
        <row r="1206">
          <cell r="J1206">
            <v>558</v>
          </cell>
          <cell r="K1206">
            <v>43133</v>
          </cell>
          <cell r="L1206" t="str">
            <v>DIEGO FERNANDO MORENO CRUZ</v>
          </cell>
          <cell r="M1206">
            <v>31</v>
          </cell>
          <cell r="N1206" t="str">
            <v>RESOLUCION</v>
          </cell>
          <cell r="O1206">
            <v>229</v>
          </cell>
          <cell r="P1206">
            <v>43102</v>
          </cell>
          <cell r="Q1206" t="str">
            <v>AYUDA TEMPORAL A LAS FAMILIAS DE VARIAS LOCALIDADES, PARA RELOCALIZACIÓN DE HOGARES LOCALIZADOS EN ZONAS DE ALTO RIESGO NO MITIGABLE ID:2012-ALES-1, LOCALIDAD:19 CIUDAD BOLÍVAR, UPZ:69 ISMAEL PERDOMO, SECTOR:ALTOS DE LA ESTANCIA</v>
          </cell>
          <cell r="R1206">
            <v>7000929</v>
          </cell>
          <cell r="S1206">
            <v>0</v>
          </cell>
          <cell r="T1206">
            <v>0</v>
          </cell>
          <cell r="U1206">
            <v>7000929</v>
          </cell>
          <cell r="V1206">
            <v>4308264</v>
          </cell>
        </row>
        <row r="1207">
          <cell r="J1207">
            <v>559</v>
          </cell>
          <cell r="K1207">
            <v>43133</v>
          </cell>
          <cell r="L1207" t="str">
            <v>GINA CAROLINA CACERES MONTOYA</v>
          </cell>
          <cell r="M1207">
            <v>31</v>
          </cell>
          <cell r="N1207" t="str">
            <v>RESOLUCION</v>
          </cell>
          <cell r="O1207">
            <v>230</v>
          </cell>
          <cell r="P1207">
            <v>43133</v>
          </cell>
          <cell r="Q1207" t="str">
            <v>AYUDA TEMPORAL A LAS FAMILIAS DE VARIAS LOCALIDADES, PARA RELOCALIZACIÓN DE HOGARES LOCALIZADOS EN ZONAS DE ALTO RIESGO NO MITIGABLE ID:2005-18-7380, LOCALIDAD:18 RAFAEL URIBE URIBE, UPZ:55 DIANA TURBAY</v>
          </cell>
          <cell r="R1207">
            <v>6246240</v>
          </cell>
          <cell r="S1207">
            <v>0</v>
          </cell>
          <cell r="T1207">
            <v>0</v>
          </cell>
          <cell r="U1207">
            <v>6246240</v>
          </cell>
          <cell r="V1207">
            <v>3843840</v>
          </cell>
        </row>
        <row r="1208">
          <cell r="J1208">
            <v>560</v>
          </cell>
          <cell r="K1208">
            <v>43133</v>
          </cell>
          <cell r="L1208" t="str">
            <v>DARLEY  BERMUDEZ RODRIGUEZ</v>
          </cell>
          <cell r="M1208">
            <v>31</v>
          </cell>
          <cell r="N1208" t="str">
            <v>RESOLUCION</v>
          </cell>
          <cell r="O1208">
            <v>231</v>
          </cell>
          <cell r="P1208">
            <v>43133</v>
          </cell>
          <cell r="Q1208" t="str">
            <v>AYUDA TEMPORAL A LAS FAMILIAS DE VARIAS LOCALIDADES, PARA RELOCALIZACIÓN DE HOGARES LOCALIZADOS EN ZONAS DE ALTO RIESGO NO MITIGABLE ID:2012-19-13891, LOCALIDAD:19 CIUDAD BOLÍVAR, UPZ:67 LUCERO</v>
          </cell>
          <cell r="R1208">
            <v>3360280</v>
          </cell>
          <cell r="S1208">
            <v>0</v>
          </cell>
          <cell r="T1208">
            <v>0</v>
          </cell>
          <cell r="U1208">
            <v>3360280</v>
          </cell>
          <cell r="V1208">
            <v>1920160</v>
          </cell>
        </row>
        <row r="1209">
          <cell r="J1209">
            <v>561</v>
          </cell>
          <cell r="K1209">
            <v>43133</v>
          </cell>
          <cell r="L1209" t="str">
            <v>MARIEN EVELU COLORADO RODRIGUEZ</v>
          </cell>
          <cell r="M1209">
            <v>31</v>
          </cell>
          <cell r="N1209" t="str">
            <v>RESOLUCION</v>
          </cell>
          <cell r="O1209">
            <v>232</v>
          </cell>
          <cell r="P1209">
            <v>43133</v>
          </cell>
          <cell r="Q1209" t="str">
            <v>AYUDA TEMPORAL A LAS FAMILIAS DE VARIAS LOCALIDADES, PARA RELOCALIZACIÓN DE HOGARES LOCALIZADOS EN ZONAS DE ALTO RIESGO NO MITIGABLE ID:2016-08-14901, LOCALIDAD:08 KENNEDY, UPZ:82 PATIO BONITO, SECTOR:PALMITAS</v>
          </cell>
          <cell r="R1209">
            <v>6713226</v>
          </cell>
          <cell r="S1209">
            <v>0</v>
          </cell>
          <cell r="T1209">
            <v>0</v>
          </cell>
          <cell r="U1209">
            <v>6713226</v>
          </cell>
          <cell r="V1209">
            <v>4131216</v>
          </cell>
        </row>
        <row r="1210">
          <cell r="J1210">
            <v>562</v>
          </cell>
          <cell r="K1210">
            <v>43133</v>
          </cell>
          <cell r="L1210" t="str">
            <v>EDGAR HUMBERTO GUTIERREZ RAMIREZ</v>
          </cell>
          <cell r="M1210">
            <v>31</v>
          </cell>
          <cell r="N1210" t="str">
            <v>RESOLUCION</v>
          </cell>
          <cell r="O1210">
            <v>233</v>
          </cell>
          <cell r="P1210">
            <v>43133</v>
          </cell>
          <cell r="Q1210" t="str">
            <v>AYUDA TEMPORAL A LAS FAMILIAS DE VARIAS LOCALIDADES, PARA RELOCALIZACIÓN DE HOGARES LOCALIZADOS EN ZONAS DE ALTO RIESGO NO MITIGABLE ID:2015-W166-501, LOCALIDAD:03 SANTA FE, UPZ:95 LAS CRUCES, SECTOR:UITOTO</v>
          </cell>
          <cell r="R1210">
            <v>7539090</v>
          </cell>
          <cell r="S1210">
            <v>0</v>
          </cell>
          <cell r="T1210">
            <v>0</v>
          </cell>
          <cell r="U1210">
            <v>7539090</v>
          </cell>
          <cell r="V1210">
            <v>4639440</v>
          </cell>
        </row>
        <row r="1211">
          <cell r="J1211">
            <v>563</v>
          </cell>
          <cell r="K1211">
            <v>43133</v>
          </cell>
          <cell r="L1211" t="str">
            <v>JORGE MANUEL MARTINEZ ECHEVERRY</v>
          </cell>
          <cell r="M1211">
            <v>31</v>
          </cell>
          <cell r="N1211" t="str">
            <v>RESOLUCION</v>
          </cell>
          <cell r="O1211">
            <v>234</v>
          </cell>
          <cell r="P1211">
            <v>43133</v>
          </cell>
          <cell r="Q1211" t="str">
            <v>AYUDA TEMPORAL A LAS FAMILIAS DE VARIAS LOCALIDADES, PARA RELOCALIZACIÓN DE HOGARES LOCALIZADOS EN ZONAS DE ALTO RIESGO NO MITIGABLE ID:2017-08-14935, LOCALIDAD:08 KENNEDY, UPZ:82 PATIO BONITO, SECTOR:PALMITAS</v>
          </cell>
          <cell r="R1211">
            <v>5178771</v>
          </cell>
          <cell r="S1211">
            <v>4382037</v>
          </cell>
          <cell r="T1211">
            <v>0</v>
          </cell>
          <cell r="U1211">
            <v>796734</v>
          </cell>
          <cell r="V1211">
            <v>796734</v>
          </cell>
        </row>
        <row r="1212">
          <cell r="J1212">
            <v>564</v>
          </cell>
          <cell r="K1212">
            <v>43133</v>
          </cell>
          <cell r="L1212" t="str">
            <v>MARTIN ANTONIO ALVAREZ POSADA</v>
          </cell>
          <cell r="M1212">
            <v>31</v>
          </cell>
          <cell r="N1212" t="str">
            <v>RESOLUCION</v>
          </cell>
          <cell r="O1212">
            <v>235</v>
          </cell>
          <cell r="P1212">
            <v>43133</v>
          </cell>
          <cell r="Q1212" t="str">
            <v>AYUDA TEMPORAL A LAS FAMILIAS DE VARIAS LOCALIDADES, PARA RELOCALIZACIÓN DE HOGARES LOCALIZADOS EN ZONAS DE ALTO RIESGO NO MITIGABLE ID:2016-08-14873, LOCALIDAD:08 KENNEDY, UPZ:82 PATIO BONITO, SECTOR:PALMITAS</v>
          </cell>
          <cell r="R1212">
            <v>6233708</v>
          </cell>
          <cell r="S1212">
            <v>4795160</v>
          </cell>
          <cell r="T1212">
            <v>0</v>
          </cell>
          <cell r="U1212">
            <v>1438548</v>
          </cell>
          <cell r="V1212">
            <v>1438548</v>
          </cell>
        </row>
        <row r="1213">
          <cell r="J1213">
            <v>565</v>
          </cell>
          <cell r="K1213">
            <v>43133</v>
          </cell>
          <cell r="L1213" t="str">
            <v>MARLEN ROCIO BELLO SUAREZ</v>
          </cell>
          <cell r="M1213">
            <v>31</v>
          </cell>
          <cell r="N1213" t="str">
            <v>RESOLUCION</v>
          </cell>
          <cell r="O1213">
            <v>236</v>
          </cell>
          <cell r="P1213">
            <v>43133</v>
          </cell>
          <cell r="Q1213" t="str">
            <v>AYUDA TEMPORAL A LAS FAMILIAS DE VARIAS LOCALIDADES, PARA RELOCALIZACIÓN DE HOGARES LOCALIZADOS EN ZONAS DE ALTO RIESGO NO MITIGABLE ID:2015-OTR-01379, LOCALIDAD:11 SUBA, UPZ:71 TIBABUYES, SECTOR:GAVILANES</v>
          </cell>
          <cell r="R1213">
            <v>4521244</v>
          </cell>
          <cell r="S1213">
            <v>0</v>
          </cell>
          <cell r="T1213">
            <v>0</v>
          </cell>
          <cell r="U1213">
            <v>4521244</v>
          </cell>
          <cell r="V1213">
            <v>2782304</v>
          </cell>
        </row>
        <row r="1214">
          <cell r="J1214">
            <v>566</v>
          </cell>
          <cell r="K1214">
            <v>43133</v>
          </cell>
          <cell r="L1214" t="str">
            <v>RICARDO  BONILLA HERNANDEZ</v>
          </cell>
          <cell r="M1214">
            <v>31</v>
          </cell>
          <cell r="N1214" t="str">
            <v>RESOLUCION</v>
          </cell>
          <cell r="O1214">
            <v>237</v>
          </cell>
          <cell r="P1214">
            <v>43133</v>
          </cell>
          <cell r="Q1214" t="str">
            <v>AYUDA TEMPORAL A LAS FAMILIAS DE VARIAS LOCALIDADES, PARA RELOCALIZACIÓN DE HOGARES LOCALIZADOS EN ZONAS DE ALTO RIESGO NO MITIGABLE ID:2013-Q10-00585, LOCALIDAD:04 SAN CRISTÓBAL, UPZ:51 LOS LIBERTADORES, SECTOR:QUEBRADA VEREJONES</v>
          </cell>
          <cell r="R1214">
            <v>6274034</v>
          </cell>
          <cell r="S1214">
            <v>0</v>
          </cell>
          <cell r="T1214">
            <v>0</v>
          </cell>
          <cell r="U1214">
            <v>6274034</v>
          </cell>
          <cell r="V1214">
            <v>3860944</v>
          </cell>
        </row>
        <row r="1215">
          <cell r="J1215">
            <v>567</v>
          </cell>
          <cell r="K1215">
            <v>43133</v>
          </cell>
          <cell r="L1215" t="str">
            <v>LEONOR ESPERANZA PULIDO</v>
          </cell>
          <cell r="M1215">
            <v>31</v>
          </cell>
          <cell r="N1215" t="str">
            <v>RESOLUCION</v>
          </cell>
          <cell r="O1215">
            <v>238</v>
          </cell>
          <cell r="P1215">
            <v>43133</v>
          </cell>
          <cell r="Q1215" t="str">
            <v>AYUDA TEMPORAL A LAS FAMILIAS DE VARIAS LOCALIDADES, PARA RELOCALIZACIÓN DE HOGARES LOCALIZADOS EN ZONAS DE ALTO RIESGO NO MITIGABLE ID:2012-19-14018, LOCALIDAD:19 CIUDAD BOLÍVAR, UPZ:68 EL TESORO</v>
          </cell>
          <cell r="R1215">
            <v>5430984</v>
          </cell>
          <cell r="S1215">
            <v>0</v>
          </cell>
          <cell r="T1215">
            <v>0</v>
          </cell>
          <cell r="U1215">
            <v>5430984</v>
          </cell>
          <cell r="V1215">
            <v>3342144</v>
          </cell>
        </row>
        <row r="1216">
          <cell r="J1216">
            <v>568</v>
          </cell>
          <cell r="K1216">
            <v>43133</v>
          </cell>
          <cell r="L1216" t="str">
            <v>YAMEL ALBEIRO POSADA BEDOYA</v>
          </cell>
          <cell r="M1216">
            <v>31</v>
          </cell>
          <cell r="N1216" t="str">
            <v>RESOLUCION</v>
          </cell>
          <cell r="O1216">
            <v>239</v>
          </cell>
          <cell r="P1216">
            <v>43133</v>
          </cell>
          <cell r="Q1216" t="str">
            <v>AYUDA TEMPORAL A LAS FAMILIAS DE VARIAS LOCALIDADES, PARA RELOCALIZACIÓN DE HOGARES LOCALIZADOS EN ZONAS DE ALTO RIESGO NO MITIGABLE ID:2016-08-14898, LOCALIDAD:08 KENNEDY, UPZ:82 PATIO BONITO, SECTOR:PALMITAS</v>
          </cell>
          <cell r="R1216">
            <v>5466487</v>
          </cell>
          <cell r="S1216">
            <v>0</v>
          </cell>
          <cell r="T1216">
            <v>0</v>
          </cell>
          <cell r="U1216">
            <v>5466487</v>
          </cell>
          <cell r="V1216">
            <v>2102495</v>
          </cell>
        </row>
        <row r="1217">
          <cell r="J1217">
            <v>569</v>
          </cell>
          <cell r="K1217">
            <v>43133</v>
          </cell>
          <cell r="L1217" t="str">
            <v>MARTHA LUCIA LEON VEGA</v>
          </cell>
          <cell r="M1217">
            <v>31</v>
          </cell>
          <cell r="N1217" t="str">
            <v>RESOLUCION</v>
          </cell>
          <cell r="O1217">
            <v>240</v>
          </cell>
          <cell r="P1217">
            <v>43133</v>
          </cell>
          <cell r="Q1217" t="str">
            <v>AYUDA TEMPORAL A LAS FAMILIAS DE VARIAS LOCALIDADES, PARA RELOCALIZACIÓN DE HOGARES LOCALIZADOS EN ZONAS DE ALTO RIESGO NO MITIGABLE ID:2016-OTR-01555, LOCALIDAD:04 SAN CRISTÓBAL, UPZ:51 LOS LIBERTADORES</v>
          </cell>
          <cell r="R1217">
            <v>5556993</v>
          </cell>
          <cell r="S1217">
            <v>0</v>
          </cell>
          <cell r="T1217">
            <v>0</v>
          </cell>
          <cell r="U1217">
            <v>5556993</v>
          </cell>
          <cell r="V1217">
            <v>3419688</v>
          </cell>
        </row>
        <row r="1218">
          <cell r="J1218">
            <v>570</v>
          </cell>
          <cell r="K1218">
            <v>43133</v>
          </cell>
          <cell r="L1218" t="str">
            <v>YEYMI ALEJANDRA POVEDA POSADA</v>
          </cell>
          <cell r="M1218">
            <v>31</v>
          </cell>
          <cell r="N1218" t="str">
            <v>RESOLUCION</v>
          </cell>
          <cell r="O1218">
            <v>241</v>
          </cell>
          <cell r="P1218">
            <v>43133</v>
          </cell>
          <cell r="Q1218" t="str">
            <v>AYUDA TEMPORAL A LAS FAMILIAS DE VARIAS LOCALIDADES, PARA RELOCALIZACIÓN DE HOGARES LOCALIZADOS EN ZONAS DE ALTO RIESGO NO MITIGABLE ID:2016-08-14776, LOCALIDAD:08 KENNEDY, UPZ:82 PATIO BONITO, SECTOR:PALMITAS</v>
          </cell>
          <cell r="R1218">
            <v>6521424</v>
          </cell>
          <cell r="S1218">
            <v>0</v>
          </cell>
          <cell r="T1218">
            <v>0</v>
          </cell>
          <cell r="U1218">
            <v>6521424</v>
          </cell>
          <cell r="V1218">
            <v>4013184</v>
          </cell>
        </row>
        <row r="1219">
          <cell r="J1219">
            <v>571</v>
          </cell>
          <cell r="K1219">
            <v>43133</v>
          </cell>
          <cell r="L1219" t="str">
            <v>SILVANO  CABEZON MERCAZA</v>
          </cell>
          <cell r="M1219">
            <v>31</v>
          </cell>
          <cell r="N1219" t="str">
            <v>RESOLUCION</v>
          </cell>
          <cell r="O1219">
            <v>242</v>
          </cell>
          <cell r="P1219">
            <v>43133</v>
          </cell>
          <cell r="Q1219" t="str">
            <v>AYUDA TEMPORAL A LAS FAMILIAS DE VARIAS LOCALIDADES, PARA RELOCALIZACIÓN DE HOGARES LOCALIZADOS EN ZONAS DE ALTO RIESGO NO MITIGABLE ID:2015-W166-530, LOCALIDAD:19 CIUDAD BOLÍVAR, UPZ:67 LUCERO, SECTOR:WOUNAAN</v>
          </cell>
          <cell r="R1219">
            <v>5360745</v>
          </cell>
          <cell r="S1219">
            <v>0</v>
          </cell>
          <cell r="T1219">
            <v>0</v>
          </cell>
          <cell r="U1219">
            <v>5360745</v>
          </cell>
          <cell r="V1219">
            <v>3298920</v>
          </cell>
        </row>
        <row r="1220">
          <cell r="J1220">
            <v>572</v>
          </cell>
          <cell r="K1220">
            <v>43133</v>
          </cell>
          <cell r="L1220" t="str">
            <v>ROSA ELIDA VERA GUEPENDO</v>
          </cell>
          <cell r="M1220">
            <v>31</v>
          </cell>
          <cell r="N1220" t="str">
            <v>RESOLUCION</v>
          </cell>
          <cell r="O1220">
            <v>243</v>
          </cell>
          <cell r="P1220">
            <v>43133</v>
          </cell>
          <cell r="Q1220" t="str">
            <v>AYUDA TEMPORAL A LAS FAMILIAS DE VARIAS LOCALIDADES, PARA RELOCALIZACIÓN DE HOGARES LOCALIZADOS EN ZONAS DE ALTO RIESGO NO MITIGABLE ID:2013000477, LOCALIDAD:04 SAN CRISTÓBAL, UPZ:51 LOS LIBERTADORES, SECTOR:QUEBRADA VEREJONES</v>
          </cell>
          <cell r="R1220">
            <v>5178771</v>
          </cell>
          <cell r="S1220">
            <v>0</v>
          </cell>
          <cell r="T1220">
            <v>0</v>
          </cell>
          <cell r="U1220">
            <v>5178771</v>
          </cell>
          <cell r="V1220">
            <v>3186936</v>
          </cell>
        </row>
        <row r="1221">
          <cell r="J1221">
            <v>573</v>
          </cell>
          <cell r="K1221">
            <v>43133</v>
          </cell>
          <cell r="L1221" t="str">
            <v>LUZ ADRIANA POSADA BEDOYA</v>
          </cell>
          <cell r="M1221">
            <v>31</v>
          </cell>
          <cell r="N1221" t="str">
            <v>RESOLUCION</v>
          </cell>
          <cell r="O1221">
            <v>244</v>
          </cell>
          <cell r="P1221">
            <v>43133</v>
          </cell>
          <cell r="Q1221" t="str">
            <v>AYUDA TEMPORAL A LAS FAMILIAS DE VARIAS LOCALIDADES, PARA RELOCALIZACIÓN DE HOGARES LOCALIZADOS EN ZONAS DE ALTO RIESGO NO MITIGABLE ID:2016-08-14825, LOCALIDAD:08 KENNEDY, UPZ:82 PATIO BONITO, SECTOR:PALMITAS</v>
          </cell>
          <cell r="R1221">
            <v>5754190</v>
          </cell>
          <cell r="S1221">
            <v>0</v>
          </cell>
          <cell r="T1221">
            <v>0</v>
          </cell>
          <cell r="U1221">
            <v>5754190</v>
          </cell>
          <cell r="V1221">
            <v>3541040</v>
          </cell>
        </row>
        <row r="1222">
          <cell r="J1222">
            <v>574</v>
          </cell>
          <cell r="K1222">
            <v>43133</v>
          </cell>
          <cell r="L1222" t="str">
            <v>MANUEL  CISNEROS CASTILLO</v>
          </cell>
          <cell r="M1222">
            <v>31</v>
          </cell>
          <cell r="N1222" t="str">
            <v>RESOLUCION</v>
          </cell>
          <cell r="O1222">
            <v>245</v>
          </cell>
          <cell r="P1222">
            <v>43133</v>
          </cell>
          <cell r="Q1222" t="str">
            <v>AYUDA TEMPORAL A LAS FAMILIAS DE VARIAS LOCALIDADES, PARA RELOCALIZACIÓN DE HOGARES LOCALIZADOS EN ZONAS DE ALTO RIESGO NO MITIGABLE ID:2016-08-14782, LOCALIDAD:08 KENNEDY, UPZ:82 PATIO BONITO, SECTOR:PALMITAS</v>
          </cell>
          <cell r="R1222">
            <v>6722183</v>
          </cell>
          <cell r="S1222">
            <v>0</v>
          </cell>
          <cell r="T1222">
            <v>0</v>
          </cell>
          <cell r="U1222">
            <v>6722183</v>
          </cell>
          <cell r="V1222">
            <v>4136728</v>
          </cell>
        </row>
        <row r="1223">
          <cell r="J1223">
            <v>575</v>
          </cell>
          <cell r="K1223">
            <v>43133</v>
          </cell>
          <cell r="L1223" t="str">
            <v>MARIA CAROLINA CAGUA YATE</v>
          </cell>
          <cell r="M1223">
            <v>31</v>
          </cell>
          <cell r="N1223" t="str">
            <v>RESOLUCION</v>
          </cell>
          <cell r="O1223">
            <v>246</v>
          </cell>
          <cell r="P1223">
            <v>43133</v>
          </cell>
          <cell r="Q1223" t="str">
            <v>AYUDA TEMPORAL A LAS FAMILIAS DE VARIAS LOCALIDADES, PARA RELOCALIZACIÓN DE HOGARES LOCALIZADOS EN ZONAS DE ALTO RIESGO NO MITIGABLE ID:2016-08-14820, LOCALIDAD:08 KENNEDY, UPZ:82 PATIO BONITO, SECTOR:PALMITAS</v>
          </cell>
          <cell r="R1223">
            <v>5466487</v>
          </cell>
          <cell r="S1223">
            <v>0</v>
          </cell>
          <cell r="T1223">
            <v>0</v>
          </cell>
          <cell r="U1223">
            <v>5466487</v>
          </cell>
          <cell r="V1223">
            <v>3363992</v>
          </cell>
        </row>
        <row r="1224">
          <cell r="J1224">
            <v>576</v>
          </cell>
          <cell r="K1224">
            <v>43133</v>
          </cell>
          <cell r="L1224" t="str">
            <v>GIOVANA PAOLA BARBOSA NOGUERA</v>
          </cell>
          <cell r="M1224">
            <v>31</v>
          </cell>
          <cell r="N1224" t="str">
            <v>RESOLUCION</v>
          </cell>
          <cell r="O1224">
            <v>247</v>
          </cell>
          <cell r="P1224">
            <v>43133</v>
          </cell>
          <cell r="Q1224" t="str">
            <v>AYUDA TEMPORAL A LAS FAMILIAS DE VARIAS LOCALIDADES, PARA RELOCALIZACIÓN DE HOGARES LOCALIZADOS EN ZONAS DE ALTO RIESGO NO MITIGABLE ID:2010-19-11893, LOCALIDAD:19 CIUDAD BOLÍVAR, UPZ:68 EL TESORO, SECTOR:OLA INVERNAL 2010 FOPAE</v>
          </cell>
          <cell r="R1224">
            <v>3769731</v>
          </cell>
          <cell r="S1224">
            <v>538533</v>
          </cell>
          <cell r="T1224">
            <v>0</v>
          </cell>
          <cell r="U1224">
            <v>3231198</v>
          </cell>
          <cell r="V1224">
            <v>3231198</v>
          </cell>
        </row>
        <row r="1225">
          <cell r="J1225">
            <v>577</v>
          </cell>
          <cell r="K1225">
            <v>43133</v>
          </cell>
          <cell r="L1225" t="str">
            <v>ADONAI  MOLANO MENDOZA</v>
          </cell>
          <cell r="M1225">
            <v>31</v>
          </cell>
          <cell r="N1225" t="str">
            <v>RESOLUCION</v>
          </cell>
          <cell r="O1225">
            <v>248</v>
          </cell>
          <cell r="P1225">
            <v>43133</v>
          </cell>
          <cell r="Q1225" t="str">
            <v>AYUDA TEMPORAL A LAS FAMILIAS DE VARIAS LOCALIDADES, PARA RELOCALIZACIÓN DE HOGARES LOCALIZADOS EN ZONAS DE ALTO RIESGO NO MITIGABLE ID:2007-4-10136, LOCALIDAD:04 SAN CRISTÓBAL, UPZ:32 SAN BLAS</v>
          </cell>
          <cell r="R1225">
            <v>3459890</v>
          </cell>
          <cell r="S1225">
            <v>0</v>
          </cell>
          <cell r="T1225">
            <v>0</v>
          </cell>
          <cell r="U1225">
            <v>3459890</v>
          </cell>
          <cell r="V1225">
            <v>1482810</v>
          </cell>
        </row>
        <row r="1226">
          <cell r="J1226">
            <v>578</v>
          </cell>
          <cell r="K1226">
            <v>43133</v>
          </cell>
          <cell r="L1226" t="str">
            <v>ADELINA  ISMARE CONQUISTA</v>
          </cell>
          <cell r="M1226">
            <v>31</v>
          </cell>
          <cell r="N1226" t="str">
            <v>RESOLUCION</v>
          </cell>
          <cell r="O1226">
            <v>249</v>
          </cell>
          <cell r="P1226">
            <v>43133</v>
          </cell>
          <cell r="Q1226" t="str">
            <v>AYUDA TEMPORAL A LAS FAMILIAS DE VARIAS LOCALIDADES, PARA RELOCALIZACIÓN DE HOGARES LOCALIZADOS EN ZONAS DE ALTO RIESGO NO MITIGABLE ID:2014-W166-015, LOCALIDAD:19 CIUDAD BOLÍVAR, UPZ:68 EL TESORO, SECTOR:WOUNAAN</v>
          </cell>
          <cell r="R1226">
            <v>5946005</v>
          </cell>
          <cell r="S1226">
            <v>0</v>
          </cell>
          <cell r="T1226">
            <v>0</v>
          </cell>
          <cell r="U1226">
            <v>5946005</v>
          </cell>
          <cell r="V1226">
            <v>3659080</v>
          </cell>
        </row>
        <row r="1227">
          <cell r="J1227">
            <v>579</v>
          </cell>
          <cell r="K1227">
            <v>43133</v>
          </cell>
          <cell r="L1227" t="str">
            <v>BLANCA ELUBIDIA ZUÑIGA MENESES</v>
          </cell>
          <cell r="M1227">
            <v>31</v>
          </cell>
          <cell r="N1227" t="str">
            <v>RESOLUCION</v>
          </cell>
          <cell r="O1227">
            <v>170</v>
          </cell>
          <cell r="P1227">
            <v>43133</v>
          </cell>
          <cell r="Q1227" t="str">
            <v>AYUDA TEMPORAL A LAS FAMILIAS DE VARIAS LOCALIDADES, PARA RELOCALIZACIÓN DE HOGARES LOCALIZADOS EN ZONAS DE ALTO RIESGO NO MITIGABLE ID:2012-ALES-355, LOCALIDAD:19 CIUDAD BOLÍVAR, UPZ:69 ISMAEL PERDOMO</v>
          </cell>
          <cell r="R1227">
            <v>3218670</v>
          </cell>
          <cell r="S1227">
            <v>459810</v>
          </cell>
          <cell r="T1227">
            <v>0</v>
          </cell>
          <cell r="U1227">
            <v>2758860</v>
          </cell>
          <cell r="V1227">
            <v>2758860</v>
          </cell>
        </row>
        <row r="1228">
          <cell r="J1228">
            <v>580</v>
          </cell>
          <cell r="K1228">
            <v>43133</v>
          </cell>
          <cell r="L1228" t="str">
            <v>FRANCY YAMILE NIÑO GARCIA</v>
          </cell>
          <cell r="M1228">
            <v>31</v>
          </cell>
          <cell r="N1228" t="str">
            <v>RESOLUCION</v>
          </cell>
          <cell r="O1228">
            <v>171</v>
          </cell>
          <cell r="P1228">
            <v>43133</v>
          </cell>
          <cell r="Q1228" t="str">
            <v>AYUDA TEMPORAL A LAS FAMILIAS DE VARIAS LOCALIDADES, PARA RELOCALIZACIÓN DE HOGARES LOCALIZADOS EN ZONAS DE ALTO RIESGO NO MITIGABLE ID:2014-5-14735, LOCALIDAD:05 USME, UPZ:57 GRAN YOMASA</v>
          </cell>
          <cell r="R1228">
            <v>3038112</v>
          </cell>
          <cell r="S1228">
            <v>434016</v>
          </cell>
          <cell r="T1228">
            <v>0</v>
          </cell>
          <cell r="U1228">
            <v>2604096</v>
          </cell>
          <cell r="V1228">
            <v>2604096</v>
          </cell>
        </row>
        <row r="1229">
          <cell r="J1229">
            <v>581</v>
          </cell>
          <cell r="K1229">
            <v>43133</v>
          </cell>
          <cell r="L1229" t="str">
            <v>SANDRA VIVIANA CIFUENTES RODRIGUEZ</v>
          </cell>
          <cell r="M1229">
            <v>31</v>
          </cell>
          <cell r="N1229" t="str">
            <v>RESOLUCION</v>
          </cell>
          <cell r="O1229">
            <v>172</v>
          </cell>
          <cell r="P1229">
            <v>43133</v>
          </cell>
          <cell r="Q1229" t="str">
            <v>AYUDA TEMPORAL A LAS FAMILIAS DE VARIAS LOCALIDADES, PARA RELOCALIZACIÓN DE HOGARES LOCALIZADOS EN ZONAS DE ALTO RIESGO NO MITIGABLE ID:2016-08-14861, LOCALIDAD:08 KENNEDY, UPZ:82 PATIO BONITO, SECTOR:PALMITAS</v>
          </cell>
          <cell r="R1229">
            <v>4660708</v>
          </cell>
          <cell r="S1229">
            <v>0</v>
          </cell>
          <cell r="T1229">
            <v>0</v>
          </cell>
          <cell r="U1229">
            <v>4660708</v>
          </cell>
          <cell r="V1229">
            <v>2151096</v>
          </cell>
        </row>
        <row r="1230">
          <cell r="J1230">
            <v>582</v>
          </cell>
          <cell r="K1230">
            <v>43133</v>
          </cell>
          <cell r="L1230" t="str">
            <v>SANDRA MILENA OVALLE VELASQUEZ</v>
          </cell>
          <cell r="M1230">
            <v>31</v>
          </cell>
          <cell r="N1230" t="str">
            <v>RESOLUCION</v>
          </cell>
          <cell r="O1230">
            <v>173</v>
          </cell>
          <cell r="P1230">
            <v>43133</v>
          </cell>
          <cell r="Q1230" t="str">
            <v>AYUDA TEMPORAL A LAS FAMILIAS DE VARIAS LOCALIDADES, PARA RELOCALIZACIÓN DE HOGARES LOCALIZADOS EN ZONAS DE ALTO RIESGO NO MITIGABLE ID:2006-19-8078, LOCALIDAD:19 CIUDAD BOLÍVAR, UPZ:67 LUCERO</v>
          </cell>
          <cell r="R1230">
            <v>3111969</v>
          </cell>
          <cell r="S1230">
            <v>444567</v>
          </cell>
          <cell r="T1230">
            <v>0</v>
          </cell>
          <cell r="U1230">
            <v>2667402</v>
          </cell>
          <cell r="V1230">
            <v>2667402</v>
          </cell>
        </row>
        <row r="1231">
          <cell r="J1231">
            <v>583</v>
          </cell>
          <cell r="K1231">
            <v>43133</v>
          </cell>
          <cell r="L1231" t="str">
            <v>JOSE ALBERTO GIRALDO SANCHEZ</v>
          </cell>
          <cell r="M1231">
            <v>31</v>
          </cell>
          <cell r="N1231" t="str">
            <v>RESOLUCION</v>
          </cell>
          <cell r="O1231">
            <v>174</v>
          </cell>
          <cell r="P1231">
            <v>43133</v>
          </cell>
          <cell r="Q1231" t="str">
            <v>AYUDA TEMPORAL A LAS FAMILIAS DE VARIAS LOCALIDADES, PARA RELOCALIZACIÓN DE HOGARES LOCALIZADOS EN ZONAS DE ALTO RIESGO NO MITIGABLE ID:2015-W166-503, LOCALIDAD:03 SANTA FE, UPZ:95 LAS CRUCES, SECTOR:UITOTO</v>
          </cell>
          <cell r="R1231">
            <v>6868797</v>
          </cell>
          <cell r="S1231">
            <v>0</v>
          </cell>
          <cell r="T1231">
            <v>0</v>
          </cell>
          <cell r="U1231">
            <v>6868797</v>
          </cell>
          <cell r="V1231">
            <v>4226952</v>
          </cell>
        </row>
        <row r="1232">
          <cell r="J1232">
            <v>584</v>
          </cell>
          <cell r="K1232">
            <v>43133</v>
          </cell>
          <cell r="L1232" t="str">
            <v>CLAUDIA ISABEL CELY BARAJAS</v>
          </cell>
          <cell r="M1232">
            <v>31</v>
          </cell>
          <cell r="N1232" t="str">
            <v>RESOLUCION</v>
          </cell>
          <cell r="O1232">
            <v>175</v>
          </cell>
          <cell r="P1232">
            <v>43133</v>
          </cell>
          <cell r="Q1232" t="str">
            <v>AYUDA TEMPORAL A LAS FAMILIAS DE VARIAS LOCALIDADES, PARA RELOCALIZACIÓN DE HOGARES LOCALIZADOS EN ZONAS DE ALTO RIESGO NO MITIGABLE ID:2013000017, LOCALIDAD:19 CIUDAD BOLÍVAR, UPZ:67 LUCERO, SECTOR:QUEBRADA CAÑO BAÚL</v>
          </cell>
          <cell r="R1232">
            <v>3017000</v>
          </cell>
          <cell r="S1232">
            <v>862000</v>
          </cell>
          <cell r="T1232">
            <v>0</v>
          </cell>
          <cell r="U1232">
            <v>2155000</v>
          </cell>
          <cell r="V1232">
            <v>2155000</v>
          </cell>
        </row>
        <row r="1233">
          <cell r="J1233">
            <v>585</v>
          </cell>
          <cell r="K1233">
            <v>43133</v>
          </cell>
          <cell r="L1233" t="str">
            <v>JOSE MODESTO HERNANDEZ MORENO</v>
          </cell>
          <cell r="M1233">
            <v>31</v>
          </cell>
          <cell r="N1233" t="str">
            <v>RESOLUCION</v>
          </cell>
          <cell r="O1233">
            <v>176</v>
          </cell>
          <cell r="P1233">
            <v>43133</v>
          </cell>
          <cell r="Q1233" t="str">
            <v>AYUDA TEMPORAL A LAS FAMILIAS DE VARIAS LOCALIDADES, PARA RELOCALIZACIÓN DE HOGARES LOCALIZADOS EN ZONAS DE ALTO RIESGO NO MITIGABLE ID:2011-19-13514, LOCALIDAD:19 CIUDAD BOLÍVAR, UPZ:68 EL TESORO</v>
          </cell>
          <cell r="R1233">
            <v>2924376</v>
          </cell>
          <cell r="S1233">
            <v>417768</v>
          </cell>
          <cell r="T1233">
            <v>0</v>
          </cell>
          <cell r="U1233">
            <v>2506608</v>
          </cell>
          <cell r="V1233">
            <v>2506608</v>
          </cell>
        </row>
        <row r="1234">
          <cell r="J1234">
            <v>586</v>
          </cell>
          <cell r="K1234">
            <v>43133</v>
          </cell>
          <cell r="L1234" t="str">
            <v>GRACILIANA  AVILA PITA</v>
          </cell>
          <cell r="M1234">
            <v>31</v>
          </cell>
          <cell r="N1234" t="str">
            <v>RESOLUCION</v>
          </cell>
          <cell r="O1234">
            <v>177</v>
          </cell>
          <cell r="P1234">
            <v>43133</v>
          </cell>
          <cell r="Q1234" t="str">
            <v>AYUDA TEMPORAL A LAS FAMILIAS DE VARIAS LOCALIDADES, PARA RELOCALIZACIÓN DE HOGARES LOCALIZADOS EN ZONAS DE ALTO RIESGO NO MITIGABLE ID:2011-18-13622, LOCALIDAD:18 RAFAEL URIBE URIBE, UPZ:55 DIANA TURBAY</v>
          </cell>
          <cell r="R1234">
            <v>3017028</v>
          </cell>
          <cell r="S1234">
            <v>0</v>
          </cell>
          <cell r="T1234">
            <v>0</v>
          </cell>
          <cell r="U1234">
            <v>3017028</v>
          </cell>
          <cell r="V1234">
            <v>862008</v>
          </cell>
        </row>
        <row r="1235">
          <cell r="J1235">
            <v>587</v>
          </cell>
          <cell r="K1235">
            <v>43133</v>
          </cell>
          <cell r="L1235" t="str">
            <v>MARIA MIRNA PUAMA MEMBACHE</v>
          </cell>
          <cell r="M1235">
            <v>31</v>
          </cell>
          <cell r="N1235" t="str">
            <v>RESOLUCION</v>
          </cell>
          <cell r="O1235">
            <v>178</v>
          </cell>
          <cell r="P1235">
            <v>43133</v>
          </cell>
          <cell r="Q1235" t="str">
            <v>AYUDA TEMPORAL A LAS FAMILIAS DE VARIAS LOCALIDADES, PARA RELOCALIZACIÓN DE HOGARES LOCALIZADOS EN ZONAS DE ALTO RIESGO NO MITIGABLE ID:2015-W166-441, LOCALIDAD:19 CIUDAD BOLÍVAR, UPZ:67 LUCERO, SECTOR:WOUNAAN</v>
          </cell>
          <cell r="R1235">
            <v>7036432</v>
          </cell>
          <cell r="S1235">
            <v>0</v>
          </cell>
          <cell r="T1235">
            <v>0</v>
          </cell>
          <cell r="U1235">
            <v>7036432</v>
          </cell>
          <cell r="V1235">
            <v>4330112</v>
          </cell>
        </row>
        <row r="1236">
          <cell r="J1236">
            <v>588</v>
          </cell>
          <cell r="K1236">
            <v>43133</v>
          </cell>
          <cell r="L1236" t="str">
            <v>LUZ ISLENI CADENA SANCHEZ</v>
          </cell>
          <cell r="M1236">
            <v>31</v>
          </cell>
          <cell r="N1236" t="str">
            <v>RESOLUCION</v>
          </cell>
          <cell r="O1236">
            <v>179</v>
          </cell>
          <cell r="P1236">
            <v>43133</v>
          </cell>
          <cell r="Q1236" t="str">
            <v>AYUDA TEMPORAL A LAS FAMILIAS DE VARIAS LOCALIDADES, PARA RELOCALIZACIÓN DE HOGARES LOCALIZADOS EN ZONAS DE ALTO RIESGO NO MITIGABLE ID:2012-5-14150, LOCALIDAD:05 USME, UPZ:58 COMUNEROS</v>
          </cell>
          <cell r="R1236">
            <v>2582006</v>
          </cell>
          <cell r="S1236">
            <v>368858</v>
          </cell>
          <cell r="T1236">
            <v>0</v>
          </cell>
          <cell r="U1236">
            <v>2213148</v>
          </cell>
          <cell r="V1236">
            <v>2213148</v>
          </cell>
        </row>
        <row r="1237">
          <cell r="J1237">
            <v>589</v>
          </cell>
          <cell r="K1237">
            <v>43133</v>
          </cell>
          <cell r="L1237" t="str">
            <v>ALEJANDRO  CUAMA CHIRIMIA</v>
          </cell>
          <cell r="M1237">
            <v>31</v>
          </cell>
          <cell r="N1237" t="str">
            <v>RESOLUCION</v>
          </cell>
          <cell r="O1237">
            <v>180</v>
          </cell>
          <cell r="P1237">
            <v>43133</v>
          </cell>
          <cell r="Q1237" t="str">
            <v>AYUDA TEMPORAL A LAS FAMILIAS DE VARIAS LOCALIDADES, PARA RELOCALIZACIÓN DE HOGARES LOCALIZADOS EN ZONAS DE ALTO RIESGO NO MITIGABLE ID:2015-W166-211, LOCALIDAD:04 SAN CRISTÓBAL, UPZ:33 SOSIEGO, SECTOR:EPERARA</v>
          </cell>
          <cell r="R1237">
            <v>5525975</v>
          </cell>
          <cell r="S1237">
            <v>0</v>
          </cell>
          <cell r="T1237">
            <v>0</v>
          </cell>
          <cell r="U1237">
            <v>5525975</v>
          </cell>
          <cell r="V1237">
            <v>3400600</v>
          </cell>
        </row>
        <row r="1238">
          <cell r="J1238">
            <v>590</v>
          </cell>
          <cell r="K1238">
            <v>43133</v>
          </cell>
          <cell r="L1238" t="str">
            <v>MARIA ANGELICA QUIÑONEZ MOLANO</v>
          </cell>
          <cell r="M1238">
            <v>31</v>
          </cell>
          <cell r="N1238" t="str">
            <v>RESOLUCION</v>
          </cell>
          <cell r="O1238">
            <v>181</v>
          </cell>
          <cell r="P1238">
            <v>43133</v>
          </cell>
          <cell r="Q1238" t="str">
            <v>AYUDA TEMPORAL A LAS FAMILIAS DE VARIAS LOCALIDADES, PARA RELOCALIZACIÓN DE HOGARES LOCALIZADOS EN ZONAS DE ALTO RIESGO NO MITIGABLE ID:2013000294, LOCALIDAD:19 CIUDAD BOLÍVAR, UPZ:67 LUCERO, SECTOR:QUEBRADA TROMPETA</v>
          </cell>
          <cell r="R1238">
            <v>3157315</v>
          </cell>
          <cell r="S1238">
            <v>451045</v>
          </cell>
          <cell r="T1238">
            <v>0</v>
          </cell>
          <cell r="U1238">
            <v>2706270</v>
          </cell>
          <cell r="V1238">
            <v>2706270</v>
          </cell>
        </row>
        <row r="1239">
          <cell r="J1239">
            <v>591</v>
          </cell>
          <cell r="K1239">
            <v>43133</v>
          </cell>
          <cell r="L1239" t="str">
            <v>BRIGETH ADRIANA JIMENEZ WILCHES</v>
          </cell>
          <cell r="M1239">
            <v>31</v>
          </cell>
          <cell r="N1239" t="str">
            <v>RESOLUCION</v>
          </cell>
          <cell r="O1239">
            <v>182</v>
          </cell>
          <cell r="P1239">
            <v>43133</v>
          </cell>
          <cell r="Q1239" t="str">
            <v>AYUDA TEMPORAL A LAS FAMILIAS DE VARIAS LOCALIDADES, PARA RELOCALIZACIÓN DE HOGARES LOCALIZADOS EN ZONAS DE ALTO RIESGO NO MITIGABLE ID:2013-4-14633, LOCALIDAD:04 SAN CRISTÓBAL, UPZ:32 SAN BLAS</v>
          </cell>
          <cell r="R1239">
            <v>6897150</v>
          </cell>
          <cell r="S1239">
            <v>0</v>
          </cell>
          <cell r="T1239">
            <v>0</v>
          </cell>
          <cell r="U1239">
            <v>6897150</v>
          </cell>
          <cell r="V1239">
            <v>4244400</v>
          </cell>
        </row>
        <row r="1240">
          <cell r="J1240">
            <v>592</v>
          </cell>
          <cell r="K1240">
            <v>43133</v>
          </cell>
          <cell r="L1240" t="str">
            <v>MARIA ROCIO SANCHEZ LINARES</v>
          </cell>
          <cell r="M1240">
            <v>31</v>
          </cell>
          <cell r="N1240" t="str">
            <v>RESOLUCION</v>
          </cell>
          <cell r="O1240">
            <v>183</v>
          </cell>
          <cell r="P1240">
            <v>43133</v>
          </cell>
          <cell r="Q1240" t="str">
            <v>AYUDA TEMPORAL A LAS FAMILIAS DE VARIAS LOCALIDADES, PARA RELOCALIZACIÓN DE HOGARES LOCALIZADOS EN ZONAS DE ALTO RIESGO NO MITIGABLE ID:2016-08-14851, LOCALIDAD:08 KENNEDY, UPZ:82 PATIO BONITO, SECTOR:PALMITAS</v>
          </cell>
          <cell r="R1240">
            <v>7672262</v>
          </cell>
          <cell r="S1240">
            <v>0</v>
          </cell>
          <cell r="T1240">
            <v>0</v>
          </cell>
          <cell r="U1240">
            <v>7672262</v>
          </cell>
          <cell r="V1240">
            <v>4721392</v>
          </cell>
        </row>
        <row r="1241">
          <cell r="J1241">
            <v>593</v>
          </cell>
          <cell r="K1241">
            <v>43133</v>
          </cell>
          <cell r="L1241" t="str">
            <v>LUIS FERNANDO PADILLA VELASQUEZ</v>
          </cell>
          <cell r="M1241">
            <v>31</v>
          </cell>
          <cell r="N1241" t="str">
            <v>RESOLUCION</v>
          </cell>
          <cell r="O1241">
            <v>184</v>
          </cell>
          <cell r="P1241">
            <v>43133</v>
          </cell>
          <cell r="Q1241" t="str">
            <v>AYUDA TEMPORAL A LAS FAMILIAS DE VARIAS LOCALIDADES, PARA RELOCALIZACIÓN DE HOGARES LOCALIZADOS EN ZONAS DE ALTO RIESGO NO MITIGABLE ID:2016-08-14869, LOCALIDAD:08 KENNEDY, UPZ:82 PATIO BONITO, SECTOR:PALMITAS</v>
          </cell>
          <cell r="R1241">
            <v>5754190</v>
          </cell>
          <cell r="S1241">
            <v>0</v>
          </cell>
          <cell r="T1241">
            <v>0</v>
          </cell>
          <cell r="U1241">
            <v>5754190</v>
          </cell>
          <cell r="V1241">
            <v>3541040</v>
          </cell>
        </row>
        <row r="1242">
          <cell r="J1242">
            <v>594</v>
          </cell>
          <cell r="K1242">
            <v>43133</v>
          </cell>
          <cell r="L1242" t="str">
            <v>FERNANDO  CHAMAPURO CHOCHO</v>
          </cell>
          <cell r="M1242">
            <v>31</v>
          </cell>
          <cell r="N1242" t="str">
            <v>RESOLUCION</v>
          </cell>
          <cell r="O1242">
            <v>185</v>
          </cell>
          <cell r="P1242">
            <v>43133</v>
          </cell>
          <cell r="Q1242" t="str">
            <v>AYUDA TEMPORAL A LAS FAMILIAS DE VARIAS LOCALIDADES, PARA RELOCALIZACIÓN DE HOGARES LOCALIZADOS EN ZONAS DE ALTO RIESGO NO MITIGABLE ID:2015-W166-431, LOCALIDAD:19 CIUDAD BOLÍVAR, UPZ:68 EL TESORO, SECTOR:WOUNAAN</v>
          </cell>
          <cell r="R1242">
            <v>7036432</v>
          </cell>
          <cell r="S1242">
            <v>0</v>
          </cell>
          <cell r="T1242">
            <v>0</v>
          </cell>
          <cell r="U1242">
            <v>7036432</v>
          </cell>
          <cell r="V1242">
            <v>4330112</v>
          </cell>
        </row>
        <row r="1243">
          <cell r="J1243">
            <v>595</v>
          </cell>
          <cell r="K1243">
            <v>43133</v>
          </cell>
          <cell r="L1243" t="str">
            <v>FELIPE  DURA CHAMAPURA</v>
          </cell>
          <cell r="M1243">
            <v>31</v>
          </cell>
          <cell r="N1243" t="str">
            <v>RESOLUCION</v>
          </cell>
          <cell r="O1243">
            <v>186</v>
          </cell>
          <cell r="P1243">
            <v>43133</v>
          </cell>
          <cell r="Q1243" t="str">
            <v>AYUDA TEMPORAL A LAS FAMILIAS DE VARIAS LOCALIDADES, PARA RELOCALIZACIÓN DE HOGARES LOCALIZADOS EN ZONAS DE ALTO RIESGO NO MITIGABLE ID:2015-W166-434, LOCALIDAD:19 CIUDAD BOLÍVAR, UPZ:67 LUCERO, SECTOR:WOUNAAN</v>
          </cell>
          <cell r="R1243">
            <v>7036432</v>
          </cell>
          <cell r="S1243">
            <v>0</v>
          </cell>
          <cell r="T1243">
            <v>0</v>
          </cell>
          <cell r="U1243">
            <v>7036432</v>
          </cell>
          <cell r="V1243">
            <v>4330112</v>
          </cell>
        </row>
        <row r="1244">
          <cell r="J1244">
            <v>596</v>
          </cell>
          <cell r="K1244">
            <v>43133</v>
          </cell>
          <cell r="L1244" t="str">
            <v>JOSELITO  CARDENAS CABEZON</v>
          </cell>
          <cell r="M1244">
            <v>31</v>
          </cell>
          <cell r="N1244" t="str">
            <v>RESOLUCION</v>
          </cell>
          <cell r="O1244">
            <v>187</v>
          </cell>
          <cell r="P1244">
            <v>43133</v>
          </cell>
          <cell r="Q1244" t="str">
            <v>AYUDA TEMPORAL A LAS FAMILIAS DE VARIAS LOCALIDADES, PARA RELOCALIZACIÓN DE HOGARES LOCALIZADOS EN ZONAS DE ALTO RIESGO NO MITIGABLE ID:2014-W166-022, LOCALIDAD:19 CIUDAD BOLÍVAR, UPZ:68 EL TESORO, SECTOR:WOUNAAN</v>
          </cell>
          <cell r="R1244">
            <v>6713226</v>
          </cell>
          <cell r="S1244">
            <v>0</v>
          </cell>
          <cell r="T1244">
            <v>0</v>
          </cell>
          <cell r="U1244">
            <v>6713226</v>
          </cell>
          <cell r="V1244">
            <v>4131216</v>
          </cell>
        </row>
        <row r="1245">
          <cell r="J1245">
            <v>597</v>
          </cell>
          <cell r="K1245">
            <v>43133</v>
          </cell>
          <cell r="L1245" t="str">
            <v>JUAN  CHIRIPUA PUCHICAMA</v>
          </cell>
          <cell r="M1245">
            <v>31</v>
          </cell>
          <cell r="N1245" t="str">
            <v>RESOLUCION</v>
          </cell>
          <cell r="O1245">
            <v>188</v>
          </cell>
          <cell r="P1245">
            <v>43133</v>
          </cell>
          <cell r="Q1245" t="str">
            <v>AYUDA TEMPORAL A LAS FAMILIAS DE VARIAS LOCALIDADES, PARA RELOCALIZACIÓN DE HOGARES LOCALIZADOS EN ZONAS DE ALTO RIESGO NO MITIGABLE ID:2014-W166-013, LOCALIDAD:19 CIUDAD BOLÍVAR, UPZ:68 EL TESORO, SECTOR:WOUNAAN</v>
          </cell>
          <cell r="R1245">
            <v>5946005</v>
          </cell>
          <cell r="S1245">
            <v>0</v>
          </cell>
          <cell r="T1245">
            <v>0</v>
          </cell>
          <cell r="U1245">
            <v>5946005</v>
          </cell>
          <cell r="V1245">
            <v>3659080</v>
          </cell>
        </row>
        <row r="1246">
          <cell r="J1246">
            <v>598</v>
          </cell>
          <cell r="K1246">
            <v>43133</v>
          </cell>
          <cell r="L1246" t="str">
            <v>GLORIA MARCELA VEGA MARIN</v>
          </cell>
          <cell r="M1246">
            <v>31</v>
          </cell>
          <cell r="N1246" t="str">
            <v>RESOLUCION</v>
          </cell>
          <cell r="O1246">
            <v>189</v>
          </cell>
          <cell r="P1246">
            <v>43133</v>
          </cell>
          <cell r="Q1246" t="str">
            <v>AYUDA TEMPORAL A LAS FAMILIAS DE VARIAS LOCALIDADES, PARA RELOCALIZACIÓN DE HOGARES LOCALIZADOS EN ZONAS DE ALTO RIESGO NO MITIGABLE ID:2011-3-13136, LOCALIDAD:03 SANTA FE, UPZ:96 LOURDES</v>
          </cell>
          <cell r="R1246">
            <v>7000929</v>
          </cell>
          <cell r="S1246">
            <v>0</v>
          </cell>
          <cell r="T1246">
            <v>0</v>
          </cell>
          <cell r="U1246">
            <v>7000929</v>
          </cell>
          <cell r="V1246">
            <v>4308264</v>
          </cell>
        </row>
        <row r="1247">
          <cell r="J1247">
            <v>599</v>
          </cell>
          <cell r="K1247">
            <v>43133</v>
          </cell>
          <cell r="L1247" t="str">
            <v>JAIRO ANDRES VASQUEZ GARCIA</v>
          </cell>
          <cell r="M1247">
            <v>31</v>
          </cell>
          <cell r="N1247" t="str">
            <v>RESOLUCION</v>
          </cell>
          <cell r="O1247">
            <v>190</v>
          </cell>
          <cell r="P1247">
            <v>43133</v>
          </cell>
          <cell r="Q1247" t="str">
            <v>AYUDA TEMPORAL A LAS FAMILIAS DE VARIAS LOCALIDADES, PARA RELOCALIZACIÓN DE HOGARES LOCALIZADOS EN ZONAS DE ALTO RIESGO NO MITIGABLE ID:2014-P474-00745, LOCALIDAD:04 SAN CRISTÓBAL, UPZ:33 SOSIEGO, SECTOR:PROCESO LA MARIA</v>
          </cell>
          <cell r="R1247">
            <v>7540000</v>
          </cell>
          <cell r="S1247">
            <v>0</v>
          </cell>
          <cell r="T1247">
            <v>0</v>
          </cell>
          <cell r="U1247">
            <v>7540000</v>
          </cell>
          <cell r="V1247">
            <v>4640000</v>
          </cell>
        </row>
        <row r="1248">
          <cell r="J1248">
            <v>600</v>
          </cell>
          <cell r="K1248">
            <v>43133</v>
          </cell>
          <cell r="L1248" t="str">
            <v>YACQUELINE  TRIANA LOPEZ</v>
          </cell>
          <cell r="M1248">
            <v>31</v>
          </cell>
          <cell r="N1248" t="str">
            <v>RESOLUCION</v>
          </cell>
          <cell r="O1248">
            <v>191</v>
          </cell>
          <cell r="P1248">
            <v>43133</v>
          </cell>
          <cell r="Q1248" t="str">
            <v>AYUDA TEMPORAL A LAS FAMILIAS DE VARIAS LOCALIDADES, PARA RELOCALIZACIÓN DE HOGARES LOCALIZADOS EN ZONAS DE ALTO RIESGO NO MITIGABLE ID:2011-1-12798, LOCALIDAD:01 USAQUÉN, UPZ:11 SAN CRISTÓBAL NORTE, SECTOR:OLA INVERNAL 2010 FOPAE</v>
          </cell>
          <cell r="R1248">
            <v>5528289</v>
          </cell>
          <cell r="S1248">
            <v>0</v>
          </cell>
          <cell r="T1248">
            <v>0</v>
          </cell>
          <cell r="U1248">
            <v>5528289</v>
          </cell>
          <cell r="V1248">
            <v>3402024</v>
          </cell>
        </row>
        <row r="1249">
          <cell r="J1249">
            <v>601</v>
          </cell>
          <cell r="K1249">
            <v>43133</v>
          </cell>
          <cell r="L1249" t="str">
            <v>ROBINSON FERNEY MALAMBO QUESADA</v>
          </cell>
          <cell r="M1249">
            <v>31</v>
          </cell>
          <cell r="N1249" t="str">
            <v>RESOLUCION</v>
          </cell>
          <cell r="O1249">
            <v>192</v>
          </cell>
          <cell r="P1249">
            <v>43133</v>
          </cell>
          <cell r="Q1249" t="str">
            <v>AYUDA TEMPORAL A LAS FAMILIAS DE VARIAS LOCALIDADES, PARA RELOCALIZACIÓN DE HOGARES LOCALIZADOS EN ZONAS DE ALTO RIESGO NO MITIGABLE ID:2012-19-13931, LOCALIDAD:19 CIUDAD BOLÍVAR, UPZ:67 LUCERO</v>
          </cell>
          <cell r="R1249">
            <v>3614814</v>
          </cell>
          <cell r="S1249">
            <v>0</v>
          </cell>
          <cell r="T1249">
            <v>0</v>
          </cell>
          <cell r="U1249">
            <v>3614814</v>
          </cell>
          <cell r="V1249">
            <v>2065608</v>
          </cell>
        </row>
        <row r="1250">
          <cell r="J1250">
            <v>602</v>
          </cell>
          <cell r="K1250">
            <v>43133</v>
          </cell>
          <cell r="L1250" t="str">
            <v>REINALDO  CABEZON MERCAZA</v>
          </cell>
          <cell r="M1250">
            <v>31</v>
          </cell>
          <cell r="N1250" t="str">
            <v>RESOLUCION</v>
          </cell>
          <cell r="O1250">
            <v>193</v>
          </cell>
          <cell r="P1250">
            <v>43133</v>
          </cell>
          <cell r="Q1250" t="str">
            <v>AYUDA TEMPORAL A LAS FAMILIAS DE VARIAS LOCALIDADES, PARA RELOCALIZACIÓN DE HOGARES LOCALIZADOS EN ZONAS DE ALTO RIESGO NO MITIGABLE ID:2014-W166-086, LOCALIDAD:19 CIUDAD BOLÍVAR, UPZ:68 EL TESORO, SECTOR:WOUNAAN</v>
          </cell>
          <cell r="R1250">
            <v>8066617</v>
          </cell>
          <cell r="S1250">
            <v>0</v>
          </cell>
          <cell r="T1250">
            <v>0</v>
          </cell>
          <cell r="U1250">
            <v>8066617</v>
          </cell>
          <cell r="V1250">
            <v>4964072</v>
          </cell>
        </row>
        <row r="1251">
          <cell r="J1251">
            <v>603</v>
          </cell>
          <cell r="K1251">
            <v>43133</v>
          </cell>
          <cell r="L1251" t="str">
            <v>JOSE ALFONSO BETANCUR MORA</v>
          </cell>
          <cell r="M1251">
            <v>31</v>
          </cell>
          <cell r="N1251" t="str">
            <v>RESOLUCION</v>
          </cell>
          <cell r="O1251">
            <v>194</v>
          </cell>
          <cell r="P1251">
            <v>43133</v>
          </cell>
          <cell r="Q1251" t="str">
            <v>AYUDA TEMPORAL A LAS FAMILIAS DE VARIAS LOCALIDADES, PARA RELOCALIZACIÓN DE HOGARES LOCALIZADOS EN ZONAS DE ALTO RIESGO NO MITIGABLE ID:2013000228, LOCALIDAD:19 CIUDAD BOLÍVAR, UPZ:67 LUCERO, SECTOR:QUEBRADA TROMPETA</v>
          </cell>
          <cell r="R1251">
            <v>3157315</v>
          </cell>
          <cell r="S1251">
            <v>451045</v>
          </cell>
          <cell r="T1251">
            <v>0</v>
          </cell>
          <cell r="U1251">
            <v>2706270</v>
          </cell>
          <cell r="V1251">
            <v>2706270</v>
          </cell>
        </row>
        <row r="1252">
          <cell r="J1252">
            <v>604</v>
          </cell>
          <cell r="K1252">
            <v>43133</v>
          </cell>
          <cell r="L1252" t="str">
            <v>ROSA EMMA BARAJAS</v>
          </cell>
          <cell r="M1252">
            <v>31</v>
          </cell>
          <cell r="N1252" t="str">
            <v>RESOLUCION</v>
          </cell>
          <cell r="O1252">
            <v>195</v>
          </cell>
          <cell r="P1252">
            <v>43133</v>
          </cell>
          <cell r="Q1252" t="str">
            <v>AYUDA TEMPORAL A LAS FAMILIAS DE VARIAS LOCALIDADES, PARA RELOCALIZACIÓN DE HOGARES LOCALIZADOS EN ZONAS DE ALTO RIESGO NO MITIGABLE ID:2013000016, LOCALIDAD:19 CIUDAD BOLÍVAR, UPZ:67 LUCERO, SECTOR:QUEBRADA CAÑO BAÚL</v>
          </cell>
          <cell r="R1252">
            <v>3017000</v>
          </cell>
          <cell r="S1252">
            <v>862000</v>
          </cell>
          <cell r="T1252">
            <v>0</v>
          </cell>
          <cell r="U1252">
            <v>2155000</v>
          </cell>
          <cell r="V1252">
            <v>2155000</v>
          </cell>
        </row>
        <row r="1253">
          <cell r="J1253">
            <v>605</v>
          </cell>
          <cell r="K1253">
            <v>43133</v>
          </cell>
          <cell r="L1253" t="str">
            <v>CARMEN ANDREA VALLEJO RUANO</v>
          </cell>
          <cell r="M1253">
            <v>31</v>
          </cell>
          <cell r="N1253" t="str">
            <v>RESOLUCION</v>
          </cell>
          <cell r="O1253">
            <v>196</v>
          </cell>
          <cell r="P1253">
            <v>43133</v>
          </cell>
          <cell r="Q1253" t="str">
            <v>AYUDA TEMPORAL A LAS FAMILIAS DE VARIAS LOCALIDADES, PARA RELOCALIZACIÓN DE HOGARES LOCALIZADOS EN ZONAS DE ALTO RIESGO NO MITIGABLE ID:2011-19-12939, LOCALIDAD:19 CIUDAD BOLÍVAR, UPZ:67 LUCERO</v>
          </cell>
          <cell r="R1253">
            <v>2661659</v>
          </cell>
          <cell r="S1253">
            <v>0</v>
          </cell>
          <cell r="T1253">
            <v>0</v>
          </cell>
          <cell r="U1253">
            <v>2661659</v>
          </cell>
          <cell r="V1253">
            <v>1520948</v>
          </cell>
        </row>
        <row r="1254">
          <cell r="J1254">
            <v>606</v>
          </cell>
          <cell r="K1254">
            <v>43133</v>
          </cell>
          <cell r="L1254" t="str">
            <v>MARBEL ANDREA MARTINEZ ECHEVERRY</v>
          </cell>
          <cell r="M1254">
            <v>31</v>
          </cell>
          <cell r="N1254" t="str">
            <v>RESOLUCION</v>
          </cell>
          <cell r="O1254">
            <v>197</v>
          </cell>
          <cell r="P1254">
            <v>43133</v>
          </cell>
          <cell r="Q1254" t="str">
            <v>AYUDA TEMPORAL A LAS FAMILIAS DE VARIAS LOCALIDADES, PARA RELOCALIZACIÓN DE HOGARES LOCALIZADOS EN ZONAS DE ALTO RIESGO NO MITIGABLE ID:2016-08-14835, LOCALIDAD:08 KENNEDY, UPZ:82 PATIO BONITO, SECTOR:PALMITAS</v>
          </cell>
          <cell r="R1254">
            <v>5946005</v>
          </cell>
          <cell r="S1254">
            <v>0</v>
          </cell>
          <cell r="T1254">
            <v>0</v>
          </cell>
          <cell r="U1254">
            <v>5946005</v>
          </cell>
          <cell r="V1254">
            <v>3659080</v>
          </cell>
        </row>
        <row r="1255">
          <cell r="J1255">
            <v>607</v>
          </cell>
          <cell r="K1255">
            <v>43133</v>
          </cell>
          <cell r="L1255" t="str">
            <v>ALBA LILIANA TUNJUELO NIEVES</v>
          </cell>
          <cell r="M1255">
            <v>31</v>
          </cell>
          <cell r="N1255" t="str">
            <v>RESOLUCION</v>
          </cell>
          <cell r="O1255">
            <v>207</v>
          </cell>
          <cell r="P1255">
            <v>43133</v>
          </cell>
          <cell r="Q1255" t="str">
            <v>AYUDA TEMPORAL A LAS FAMILIAS DE VARIAS LOCALIDADES, PARA RELOCALIZACIÓN DE HOGARES LOCALIZADOS EN ZONAS DE ALTO RIESGO NO MITIGABLE ID:2012-ALES-7, LOCALIDAD:19 CIUDAD BOLÍVAR, UPZ:69 ISMAEL PERDOMO, SECTOR:ALTOS DE LA ESTANCIA</v>
          </cell>
          <cell r="R1255">
            <v>3022327</v>
          </cell>
          <cell r="S1255">
            <v>431761</v>
          </cell>
          <cell r="T1255">
            <v>0</v>
          </cell>
          <cell r="U1255">
            <v>2590566</v>
          </cell>
          <cell r="V1255">
            <v>2590566</v>
          </cell>
        </row>
        <row r="1256">
          <cell r="J1256">
            <v>608</v>
          </cell>
          <cell r="K1256">
            <v>43133</v>
          </cell>
          <cell r="L1256" t="str">
            <v>TERESA DE JESUS BERNAL DE GONZALEZ</v>
          </cell>
          <cell r="M1256">
            <v>31</v>
          </cell>
          <cell r="N1256" t="str">
            <v>RESOLUCION</v>
          </cell>
          <cell r="O1256">
            <v>208</v>
          </cell>
          <cell r="P1256">
            <v>43133</v>
          </cell>
          <cell r="Q1256" t="str">
            <v>AYUDA TEMPORAL A LAS FAMILIAS DE VARIAS LOCALIDADES, PARA RELOCALIZACIÓN DE HOGARES LOCALIZADOS EN ZONAS DE ALTO RIESGO NO MITIGABLE ID:2009-5-11042, LOCALIDAD:05 USME, UPZ:57 GRAN YOMASA</v>
          </cell>
          <cell r="R1256">
            <v>6868797</v>
          </cell>
          <cell r="S1256">
            <v>0</v>
          </cell>
          <cell r="T1256">
            <v>0</v>
          </cell>
          <cell r="U1256">
            <v>6868797</v>
          </cell>
          <cell r="V1256">
            <v>4226952</v>
          </cell>
        </row>
        <row r="1257">
          <cell r="J1257">
            <v>609</v>
          </cell>
          <cell r="K1257">
            <v>43133</v>
          </cell>
          <cell r="L1257" t="str">
            <v>SARAY  GUTIERREZ PEDREROS</v>
          </cell>
          <cell r="M1257">
            <v>31</v>
          </cell>
          <cell r="N1257" t="str">
            <v>RESOLUCION</v>
          </cell>
          <cell r="O1257">
            <v>209</v>
          </cell>
          <cell r="P1257">
            <v>43133</v>
          </cell>
          <cell r="Q1257" t="str">
            <v>AYUDA TEMPORAL A LAS FAMILIAS DE VARIAS LOCALIDADES, PARA RELOCALIZACIÓN DE HOGARES LOCALIZADOS EN ZONAS DE ALTO RIESGO NO MITIGABLE ID:2016-08-14810, LOCALIDAD:08 KENNEDY, UPZ:82 PATIO BONITO, SECTOR:PALMITAS</v>
          </cell>
          <cell r="R1257">
            <v>3137015</v>
          </cell>
          <cell r="S1257">
            <v>448145</v>
          </cell>
          <cell r="T1257">
            <v>0</v>
          </cell>
          <cell r="U1257">
            <v>2688870</v>
          </cell>
          <cell r="V1257">
            <v>2688870</v>
          </cell>
        </row>
        <row r="1258">
          <cell r="J1258">
            <v>610</v>
          </cell>
          <cell r="K1258">
            <v>43133</v>
          </cell>
          <cell r="L1258" t="str">
            <v>NOLBERTO  ALAPE TAPIERO</v>
          </cell>
          <cell r="M1258">
            <v>31</v>
          </cell>
          <cell r="N1258" t="str">
            <v>RESOLUCION</v>
          </cell>
          <cell r="O1258">
            <v>210</v>
          </cell>
          <cell r="P1258">
            <v>43133</v>
          </cell>
          <cell r="Q1258" t="str">
            <v>AYUDA TEMPORAL A LAS FAMILIAS DE VARIAS LOCALIDADES, PARA RELOCALIZACIÓN DE HOGARES LOCALIZADOS EN ZONAS DE ALTO RIESGO NO MITIGABLE ID:2012-19-13842, LOCALIDAD:19 CIUDAD BOLÍVAR, UPZ:67 LUCERO</v>
          </cell>
          <cell r="R1258">
            <v>5946005</v>
          </cell>
          <cell r="S1258">
            <v>0</v>
          </cell>
          <cell r="T1258">
            <v>0</v>
          </cell>
          <cell r="U1258">
            <v>5946005</v>
          </cell>
          <cell r="V1258">
            <v>3659080</v>
          </cell>
        </row>
        <row r="1259">
          <cell r="J1259">
            <v>611</v>
          </cell>
          <cell r="K1259">
            <v>43133</v>
          </cell>
          <cell r="L1259" t="str">
            <v>JOSE ORLANDO GIRALDO GOMEZ</v>
          </cell>
          <cell r="M1259">
            <v>31</v>
          </cell>
          <cell r="N1259" t="str">
            <v>RESOLUCION</v>
          </cell>
          <cell r="O1259">
            <v>211</v>
          </cell>
          <cell r="P1259">
            <v>43133</v>
          </cell>
          <cell r="Q1259" t="str">
            <v>AYUDA TEMPORAL A LAS FAMILIAS DE VARIAS LOCALIDADES, PARA RELOCALIZACIÓN DE HOGARES LOCALIZADOS EN ZONAS DE ALTO RIESGO NO MITIGABLE ID:2015-W166-502, LOCALIDAD:03 SANTA FE, UPZ:95 LAS CRUCES, SECTOR:UITOTO</v>
          </cell>
          <cell r="R1259">
            <v>7036432</v>
          </cell>
          <cell r="S1259">
            <v>0</v>
          </cell>
          <cell r="T1259">
            <v>0</v>
          </cell>
          <cell r="U1259">
            <v>7036432</v>
          </cell>
          <cell r="V1259">
            <v>4330112</v>
          </cell>
        </row>
        <row r="1260">
          <cell r="J1260">
            <v>612</v>
          </cell>
          <cell r="K1260">
            <v>43133</v>
          </cell>
          <cell r="L1260" t="str">
            <v>ADAN  CARPIO CHAMAPURO</v>
          </cell>
          <cell r="M1260">
            <v>31</v>
          </cell>
          <cell r="N1260" t="str">
            <v>RESOLUCION</v>
          </cell>
          <cell r="O1260">
            <v>250</v>
          </cell>
          <cell r="P1260">
            <v>43133</v>
          </cell>
          <cell r="Q1260" t="str">
            <v>AYUDA TEMPORAL A LAS FAMILIAS DE VARIAS LOCALIDADES, PARA RELOCALIZACIÓN DE HOGARES LOCALIZADOS EN ZONAS DE ALTO RIESGO NO MITIGABLE ID:2015-W166-426, LOCALIDAD:19 CIUDAD BOLÍVAR, UPZ:68 EL TESORO, SECTOR:WOUNAAN</v>
          </cell>
          <cell r="R1260">
            <v>5528393</v>
          </cell>
          <cell r="S1260">
            <v>0</v>
          </cell>
          <cell r="T1260">
            <v>0</v>
          </cell>
          <cell r="U1260">
            <v>5528393</v>
          </cell>
          <cell r="V1260">
            <v>3402088</v>
          </cell>
        </row>
        <row r="1261">
          <cell r="J1261">
            <v>613</v>
          </cell>
          <cell r="K1261">
            <v>43133</v>
          </cell>
          <cell r="L1261" t="str">
            <v>YURY VICTORIA VARGAS DIAZ</v>
          </cell>
          <cell r="M1261">
            <v>31</v>
          </cell>
          <cell r="N1261" t="str">
            <v>RESOLUCION</v>
          </cell>
          <cell r="O1261">
            <v>212</v>
          </cell>
          <cell r="P1261">
            <v>43133</v>
          </cell>
          <cell r="Q1261" t="str">
            <v>AYUDA TEMPORAL A LAS FAMILIAS DE VARIAS LOCALIDADES, PARA RELOCALIZACIÓN DE HOGARES LOCALIZADOS EN ZONAS DE ALTO RIESGO NO MITIGABLE ID:2011-4-13634, LOCALIDAD:04 SAN CRISTÓBAL, UPZ:32 SAN BLAS</v>
          </cell>
          <cell r="R1261">
            <v>5172000</v>
          </cell>
          <cell r="S1261">
            <v>0</v>
          </cell>
          <cell r="T1261">
            <v>0</v>
          </cell>
          <cell r="U1261">
            <v>5172000</v>
          </cell>
          <cell r="V1261">
            <v>3448000</v>
          </cell>
        </row>
        <row r="1262">
          <cell r="J1262">
            <v>614</v>
          </cell>
          <cell r="K1262">
            <v>43133</v>
          </cell>
          <cell r="L1262" t="str">
            <v>OSCAR EMILIO LUVIESA CHAMARRA</v>
          </cell>
          <cell r="M1262">
            <v>31</v>
          </cell>
          <cell r="N1262" t="str">
            <v>RESOLUCION</v>
          </cell>
          <cell r="O1262">
            <v>251</v>
          </cell>
          <cell r="P1262">
            <v>43133</v>
          </cell>
          <cell r="Q1262" t="str">
            <v>AYUDA TEMPORAL A LAS FAMILIAS DE VARIAS LOCALIDADES, PARA RELOCALIZACIÓN DE HOGARES LOCALIZADOS EN ZONAS DE ALTO RIESGO NO MITIGABLE ID:2014-W166-008, LOCALIDAD:19 CIUDAD BOLÍVAR, UPZ:67 LUCERO, SECTOR:WOUNAAN</v>
          </cell>
          <cell r="R1262">
            <v>6236100</v>
          </cell>
          <cell r="S1262">
            <v>0</v>
          </cell>
          <cell r="T1262">
            <v>0</v>
          </cell>
          <cell r="U1262">
            <v>6236100</v>
          </cell>
          <cell r="V1262">
            <v>3837600</v>
          </cell>
        </row>
        <row r="1263">
          <cell r="J1263">
            <v>615</v>
          </cell>
          <cell r="K1263">
            <v>43133</v>
          </cell>
          <cell r="L1263" t="str">
            <v>DIEGO ENRIQUE GALLEGO MORALES</v>
          </cell>
          <cell r="M1263">
            <v>31</v>
          </cell>
          <cell r="N1263" t="str">
            <v>RESOLUCION</v>
          </cell>
          <cell r="O1263">
            <v>213</v>
          </cell>
          <cell r="P1263">
            <v>43133</v>
          </cell>
          <cell r="Q1263" t="str">
            <v>AYUDA TEMPORAL A LAS FAMILIAS DE VARIAS LOCALIDADES, PARA RELOCALIZACIÓN DE HOGARES LOCALIZADOS EN ZONAS DE ALTO RIESGO NO MITIGABLE ID:2012-19-14412, LOCALIDAD:19 CIUDAD BOLÍVAR, UPZ:68 EL TESORO, SECTOR:QUEBRADA TROMPETA</v>
          </cell>
          <cell r="R1263">
            <v>4795154</v>
          </cell>
          <cell r="S1263">
            <v>0</v>
          </cell>
          <cell r="T1263">
            <v>0</v>
          </cell>
          <cell r="U1263">
            <v>4795154</v>
          </cell>
          <cell r="V1263">
            <v>2950864</v>
          </cell>
        </row>
        <row r="1264">
          <cell r="J1264">
            <v>616</v>
          </cell>
          <cell r="K1264">
            <v>43133</v>
          </cell>
          <cell r="L1264" t="str">
            <v>JOSE ADER MENBACHE GARCIA</v>
          </cell>
          <cell r="M1264">
            <v>31</v>
          </cell>
          <cell r="N1264" t="str">
            <v>RESOLUCION</v>
          </cell>
          <cell r="O1264">
            <v>252</v>
          </cell>
          <cell r="P1264">
            <v>43133</v>
          </cell>
          <cell r="Q1264" t="str">
            <v>AYUDA TEMPORAL A LAS FAMILIAS DE VARIAS LOCALIDADES, PARA RELOCALIZACIÓN DE HOGARES LOCALIZADOS EN ZONAS DE ALTO RIESGO NO MITIGABLE ID:2014-W166-071, LOCALIDAD:19 CIUDAD BOLÍVAR, UPZ:68 EL TESORO, SECTOR:WOUNAAN</v>
          </cell>
          <cell r="R1264">
            <v>5285280</v>
          </cell>
          <cell r="S1264">
            <v>0</v>
          </cell>
          <cell r="T1264">
            <v>0</v>
          </cell>
          <cell r="U1264">
            <v>5285280</v>
          </cell>
          <cell r="V1264">
            <v>3252480</v>
          </cell>
        </row>
        <row r="1265">
          <cell r="J1265">
            <v>617</v>
          </cell>
          <cell r="K1265">
            <v>43133</v>
          </cell>
          <cell r="L1265" t="str">
            <v>EMILIO  ACEVEDO AGUIRRE</v>
          </cell>
          <cell r="M1265">
            <v>31</v>
          </cell>
          <cell r="N1265" t="str">
            <v>RESOLUCION</v>
          </cell>
          <cell r="O1265">
            <v>214</v>
          </cell>
          <cell r="P1265">
            <v>43133</v>
          </cell>
          <cell r="Q1265" t="str">
            <v>AYUDA TEMPORAL A LAS FAMILIAS DE VARIAS LOCALIDADES, PARA RELOCALIZACIÓN DE HOGARES LOCALIZADOS EN ZONAS DE ALTO RIESGO NO MITIGABLE ID:2011-19-12515, LOCALIDAD:19 CIUDAD BOLÍVAR, UPZ:67 LUCERO, SECTOR:OLA INVERNAL 2010 FOPAE</v>
          </cell>
          <cell r="R1265">
            <v>2845920</v>
          </cell>
          <cell r="S1265">
            <v>406560</v>
          </cell>
          <cell r="T1265">
            <v>0</v>
          </cell>
          <cell r="U1265">
            <v>2439360</v>
          </cell>
          <cell r="V1265">
            <v>2439360</v>
          </cell>
        </row>
        <row r="1266">
          <cell r="J1266">
            <v>618</v>
          </cell>
          <cell r="K1266">
            <v>43133</v>
          </cell>
          <cell r="L1266" t="str">
            <v>FANNY  ISMARE MERCAZA</v>
          </cell>
          <cell r="M1266">
            <v>31</v>
          </cell>
          <cell r="N1266" t="str">
            <v>RESOLUCION</v>
          </cell>
          <cell r="O1266">
            <v>253</v>
          </cell>
          <cell r="P1266">
            <v>43133</v>
          </cell>
          <cell r="Q1266" t="str">
            <v>AYUDA TEMPORAL A LAS FAMILIAS DE VARIAS LOCALIDADES, PARA RELOCALIZACIÓN DE HOGARES LOCALIZADOS EN ZONAS DE ALTO RIESGO NO MITIGABLE ID:2015-W166-421, LOCALIDAD:19 CIUDAD BOLÍVAR, UPZ:67 LUCERO, SECTOR:WOUNAAN</v>
          </cell>
          <cell r="R1266">
            <v>7036432</v>
          </cell>
          <cell r="S1266">
            <v>0</v>
          </cell>
          <cell r="T1266">
            <v>0</v>
          </cell>
          <cell r="U1266">
            <v>7036432</v>
          </cell>
          <cell r="V1266">
            <v>4330112</v>
          </cell>
        </row>
        <row r="1267">
          <cell r="J1267">
            <v>619</v>
          </cell>
          <cell r="K1267">
            <v>43133</v>
          </cell>
          <cell r="L1267" t="str">
            <v>MARIO HUGO RODRIGUEZ FLOREZ</v>
          </cell>
          <cell r="M1267">
            <v>31</v>
          </cell>
          <cell r="N1267" t="str">
            <v>RESOLUCION</v>
          </cell>
          <cell r="O1267">
            <v>215</v>
          </cell>
          <cell r="P1267">
            <v>43133</v>
          </cell>
          <cell r="Q1267" t="str">
            <v>AYUDA TEMPORAL A LAS FAMILIAS DE VARIAS LOCALIDADES, PARA RELOCALIZACIÓN DE HOGARES LOCALIZADOS EN ZONAS DE ALTO RIESGO NO MITIGABLE ID:2012-ALES-389, LOCALIDAD:19 CIUDAD BOLÍVAR, UPZ:69 ISMAEL PERDOMO, SECTOR:ALTOS DE LA ESTANCIA</v>
          </cell>
          <cell r="R1267">
            <v>6233708</v>
          </cell>
          <cell r="S1267">
            <v>0</v>
          </cell>
          <cell r="T1267">
            <v>0</v>
          </cell>
          <cell r="U1267">
            <v>6233708</v>
          </cell>
          <cell r="V1267">
            <v>3836128</v>
          </cell>
        </row>
        <row r="1268">
          <cell r="J1268">
            <v>620</v>
          </cell>
          <cell r="K1268">
            <v>43133</v>
          </cell>
          <cell r="L1268" t="str">
            <v>NELLY  SUA OJEDA</v>
          </cell>
          <cell r="M1268">
            <v>31</v>
          </cell>
          <cell r="N1268" t="str">
            <v>RESOLUCION</v>
          </cell>
          <cell r="O1268">
            <v>254</v>
          </cell>
          <cell r="P1268">
            <v>43133</v>
          </cell>
          <cell r="Q1268" t="str">
            <v>AYUDA TEMPORAL A LAS FAMILIAS DE VARIAS LOCALIDADES, PARA RELOCALIZACIÓN DE HOGARES LOCALIZADOS EN ZONAS DE ALTO RIESGO NO MITIGABLE ID:2012-19-14068, LOCALIDAD:19 CIUDAD BOLÍVAR, UPZ:68 EL TESORO, SECTOR:QUEBRADA TROMPETA</v>
          </cell>
          <cell r="R1268">
            <v>3570210</v>
          </cell>
          <cell r="S1268">
            <v>510030</v>
          </cell>
          <cell r="T1268">
            <v>0</v>
          </cell>
          <cell r="U1268">
            <v>3060180</v>
          </cell>
          <cell r="V1268">
            <v>3060180</v>
          </cell>
        </row>
        <row r="1269">
          <cell r="J1269">
            <v>621</v>
          </cell>
          <cell r="K1269">
            <v>43133</v>
          </cell>
          <cell r="L1269" t="str">
            <v>ANDREA ESMERALDA FRANCO ALGECIRA</v>
          </cell>
          <cell r="M1269">
            <v>31</v>
          </cell>
          <cell r="N1269" t="str">
            <v>RESOLUCION</v>
          </cell>
          <cell r="O1269">
            <v>255</v>
          </cell>
          <cell r="P1269">
            <v>43133</v>
          </cell>
          <cell r="Q1269" t="str">
            <v>AYUDA TEMPORAL A LAS FAMILIAS DE VARIAS LOCALIDADES, PARA RELOCALIZACIÓN DE HOGARES LOCALIZADOS EN ZONAS DE ALTO RIESGO NO MITIGABLE ID:2014-18-14706, LOCALIDAD:18 RAFAEL URIBE URIBE, UPZ:53 MARCO FIDEL SUÁREZ</v>
          </cell>
          <cell r="R1269">
            <v>2893681</v>
          </cell>
          <cell r="S1269">
            <v>413383</v>
          </cell>
          <cell r="T1269">
            <v>0</v>
          </cell>
          <cell r="U1269">
            <v>2480298</v>
          </cell>
          <cell r="V1269">
            <v>2480298</v>
          </cell>
        </row>
        <row r="1270">
          <cell r="J1270">
            <v>622</v>
          </cell>
          <cell r="K1270">
            <v>43133</v>
          </cell>
          <cell r="L1270" t="str">
            <v>MARIA INES CERINZA</v>
          </cell>
          <cell r="M1270">
            <v>31</v>
          </cell>
          <cell r="N1270" t="str">
            <v>RESOLUCION</v>
          </cell>
          <cell r="O1270">
            <v>256</v>
          </cell>
          <cell r="P1270">
            <v>43133</v>
          </cell>
          <cell r="Q1270" t="str">
            <v>AYUDA TEMPORAL A LAS FAMILIAS DE VARIAS LOCALIDADES, PARA RELOCALIZACIÓN DE HOGARES LOCALIZADOS EN ZONAS DE ALTO RIESGO NO MITIGABLE ID:2011-19-12555, LOCALIDAD:19 CIUDAD BOLÍVAR, UPZ:69 ISMAEL PERDOMO, SECTOR:OLA INVERNAL 2010 FOPAE</v>
          </cell>
          <cell r="R1270">
            <v>5754190</v>
          </cell>
          <cell r="S1270">
            <v>0</v>
          </cell>
          <cell r="T1270">
            <v>0</v>
          </cell>
          <cell r="U1270">
            <v>5754190</v>
          </cell>
          <cell r="V1270">
            <v>3098410</v>
          </cell>
        </row>
        <row r="1271">
          <cell r="J1271">
            <v>623</v>
          </cell>
          <cell r="K1271">
            <v>43133</v>
          </cell>
          <cell r="L1271" t="str">
            <v>NUBIA ESPERANZA SIERRA LEON</v>
          </cell>
          <cell r="M1271">
            <v>31</v>
          </cell>
          <cell r="N1271" t="str">
            <v>RESOLUCION</v>
          </cell>
          <cell r="O1271">
            <v>257</v>
          </cell>
          <cell r="P1271">
            <v>43133</v>
          </cell>
          <cell r="Q1271" t="str">
            <v>AYUDA TEMPORAL A LAS FAMILIAS DE VARIAS LOCALIDADES, PARA RELOCALIZACIÓN DE HOGARES LOCALIZADOS EN ZONAS DE ALTO RIESGO NO MITIGABLE ID:2016-08-14783, LOCALIDAD:08 KENNEDY, UPZ:82 PATIO BONITO, SECTOR:PALMITAS</v>
          </cell>
          <cell r="R1271">
            <v>5274672</v>
          </cell>
          <cell r="S1271">
            <v>0</v>
          </cell>
          <cell r="T1271">
            <v>0</v>
          </cell>
          <cell r="U1271">
            <v>5274672</v>
          </cell>
          <cell r="V1271">
            <v>3245952</v>
          </cell>
        </row>
        <row r="1272">
          <cell r="J1272">
            <v>624</v>
          </cell>
          <cell r="K1272">
            <v>43133</v>
          </cell>
          <cell r="L1272" t="str">
            <v>MONICA ANDREA VELEZ FERRIN</v>
          </cell>
          <cell r="M1272">
            <v>31</v>
          </cell>
          <cell r="N1272" t="str">
            <v>RESOLUCION</v>
          </cell>
          <cell r="O1272">
            <v>258</v>
          </cell>
          <cell r="P1272">
            <v>43133</v>
          </cell>
          <cell r="Q1272" t="str">
            <v>AYUDA TEMPORAL A LAS FAMILIAS DE VARIAS LOCALIDADES, PARA RELOCALIZACIÓN DE HOGARES LOCALIZADOS EN ZONAS DE ALTO RIESGO NO MITIGABLE ID:2012-19-14510, LOCALIDAD:19 CIUDAD BOLÍVAR, UPZ:68 EL TESORO, SECTOR:QUEBRADA EL INFIERNO</v>
          </cell>
          <cell r="R1272">
            <v>3098410</v>
          </cell>
          <cell r="S1272">
            <v>885260</v>
          </cell>
          <cell r="T1272">
            <v>0</v>
          </cell>
          <cell r="U1272">
            <v>2213150</v>
          </cell>
          <cell r="V1272">
            <v>2213150</v>
          </cell>
        </row>
        <row r="1273">
          <cell r="J1273">
            <v>625</v>
          </cell>
          <cell r="K1273">
            <v>43133</v>
          </cell>
          <cell r="L1273" t="str">
            <v>PABLO EMILIO REYES CALDERON</v>
          </cell>
          <cell r="M1273">
            <v>31</v>
          </cell>
          <cell r="N1273" t="str">
            <v>RESOLUCION</v>
          </cell>
          <cell r="O1273">
            <v>259</v>
          </cell>
          <cell r="P1273">
            <v>43133</v>
          </cell>
          <cell r="Q1273" t="str">
            <v>AYUDA TEMPORAL A LAS FAMILIAS DE VARIAS LOCALIDADES, PARA RELOCALIZACIÓN DE HOGARES LOCALIZADOS EN ZONAS DE ALTO RIESGO NO MITIGABLE ID:2013-Q10-00229, LOCALIDAD:19 CIUDAD BOLÍVAR, UPZ:67 LUCERO, SECTOR:PEÑA COLORADA</v>
          </cell>
          <cell r="R1273">
            <v>2685291</v>
          </cell>
          <cell r="S1273">
            <v>767226</v>
          </cell>
          <cell r="T1273">
            <v>0</v>
          </cell>
          <cell r="U1273">
            <v>1918065</v>
          </cell>
          <cell r="V1273">
            <v>1918065</v>
          </cell>
        </row>
        <row r="1274">
          <cell r="J1274">
            <v>626</v>
          </cell>
          <cell r="K1274">
            <v>43133</v>
          </cell>
          <cell r="L1274" t="str">
            <v>RUPERTO  SUAREZ MOLINA</v>
          </cell>
          <cell r="M1274">
            <v>31</v>
          </cell>
          <cell r="N1274" t="str">
            <v>RESOLUCION</v>
          </cell>
          <cell r="O1274">
            <v>260</v>
          </cell>
          <cell r="P1274">
            <v>43133</v>
          </cell>
          <cell r="Q1274" t="str">
            <v>AYUDA TEMPORAL A LAS FAMILIAS DE VARIAS LOCALIDADES, PARA RELOCALIZACIÓN DE HOGARES LOCALIZADOS EN ZONAS DE ALTO RIESGO NO MITIGABLE ID:2016-08-14894, LOCALIDAD:08 KENNEDY, UPZ:82 PATIO BONITO, SECTOR:PALMITAS</v>
          </cell>
          <cell r="R1274">
            <v>5178771</v>
          </cell>
          <cell r="S1274">
            <v>0</v>
          </cell>
          <cell r="T1274">
            <v>0</v>
          </cell>
          <cell r="U1274">
            <v>5178771</v>
          </cell>
          <cell r="V1274">
            <v>3186936</v>
          </cell>
        </row>
        <row r="1275">
          <cell r="J1275">
            <v>627</v>
          </cell>
          <cell r="K1275">
            <v>43133</v>
          </cell>
          <cell r="L1275" t="str">
            <v>JOSE EDILBERTO RESTREPO FORERO</v>
          </cell>
          <cell r="M1275">
            <v>31</v>
          </cell>
          <cell r="N1275" t="str">
            <v>RESOLUCION</v>
          </cell>
          <cell r="O1275">
            <v>261</v>
          </cell>
          <cell r="P1275">
            <v>43133</v>
          </cell>
          <cell r="Q1275" t="str">
            <v>AYUDA TEMPORAL A LAS FAMILIAS DE VARIAS LOCALIDADES, PARA RELOCALIZACIÓN DE HOGARES LOCALIZADOS EN ZONAS DE ALTO RIESGO NO MITIGABLE ID:2011-4-13183, LOCALIDAD:04 SAN CRISTÓBAL, UPZ:32 SAN BLAS</v>
          </cell>
          <cell r="R1275">
            <v>2924376</v>
          </cell>
          <cell r="S1275">
            <v>417768</v>
          </cell>
          <cell r="T1275">
            <v>0</v>
          </cell>
          <cell r="U1275">
            <v>2506608</v>
          </cell>
          <cell r="V1275">
            <v>2506608</v>
          </cell>
        </row>
        <row r="1276">
          <cell r="J1276">
            <v>628</v>
          </cell>
          <cell r="K1276">
            <v>43133</v>
          </cell>
          <cell r="L1276" t="str">
            <v>HERNANDO  CASTRO MERGAREJO</v>
          </cell>
          <cell r="M1276">
            <v>31</v>
          </cell>
          <cell r="N1276" t="str">
            <v>RESOLUCION</v>
          </cell>
          <cell r="O1276">
            <v>262</v>
          </cell>
          <cell r="P1276">
            <v>43133</v>
          </cell>
          <cell r="Q1276" t="str">
            <v>AYUDA TEMPORAL A LAS FAMILIAS DE VARIAS LOCALIDADES, PARA RELOCALIZACIÓN DE HOGARES LOCALIZADOS EN ZONAS DE ALTO RIESGO NO MITIGABLE ID:2013-Q09-00479, LOCALIDAD:19 CIUDAD BOLÍVAR, UPZ:67 LUCERO, SECTOR:QUEBRADA TROMPETA</v>
          </cell>
          <cell r="R1276">
            <v>3157315</v>
          </cell>
          <cell r="S1276">
            <v>451045</v>
          </cell>
          <cell r="T1276">
            <v>0</v>
          </cell>
          <cell r="U1276">
            <v>2706270</v>
          </cell>
          <cell r="V1276">
            <v>2706270</v>
          </cell>
        </row>
        <row r="1277">
          <cell r="J1277">
            <v>629</v>
          </cell>
          <cell r="K1277">
            <v>43133</v>
          </cell>
          <cell r="L1277" t="str">
            <v>MARIA CLAUDIA MENDEZ SANCHEZ</v>
          </cell>
          <cell r="M1277">
            <v>31</v>
          </cell>
          <cell r="N1277" t="str">
            <v>RESOLUCION</v>
          </cell>
          <cell r="O1277">
            <v>263</v>
          </cell>
          <cell r="P1277">
            <v>43133</v>
          </cell>
          <cell r="Q1277" t="str">
            <v>AYUDA TEMPORAL A LAS FAMILIAS DE VARIAS LOCALIDADES, PARA RELOCALIZACIÓN DE HOGARES LOCALIZADOS EN ZONAS DE ALTO RIESGO NO MITIGABLE ID:2011-19-12752, LOCALIDAD:19 CIUDAD BOLÍVAR, UPZ:68 EL TESORO, SECTOR:QUEBRADA EL INFIERNO</v>
          </cell>
          <cell r="R1277">
            <v>2845220</v>
          </cell>
          <cell r="S1277">
            <v>812920</v>
          </cell>
          <cell r="T1277">
            <v>0</v>
          </cell>
          <cell r="U1277">
            <v>2032300</v>
          </cell>
          <cell r="V1277">
            <v>2032300</v>
          </cell>
        </row>
        <row r="1278">
          <cell r="J1278">
            <v>630</v>
          </cell>
          <cell r="K1278">
            <v>43133</v>
          </cell>
          <cell r="L1278" t="str">
            <v>LUZ DARY VIRVIESCAS SANCHEZ</v>
          </cell>
          <cell r="M1278">
            <v>31</v>
          </cell>
          <cell r="N1278" t="str">
            <v>RESOLUCION</v>
          </cell>
          <cell r="O1278">
            <v>264</v>
          </cell>
          <cell r="P1278">
            <v>43133</v>
          </cell>
          <cell r="Q1278" t="str">
            <v>AYUDA TEMPORAL A LAS FAMILIAS DE VARIAS LOCALIDADES, PARA RELOCALIZACIÓN DE HOGARES LOCALIZADOS EN ZONAS DE ALTO RIESGO NO MITIGABLE ID:2011-19-12751, LOCALIDAD:19 CIUDAD BOLÍVAR, UPZ:68 EL TESORO, SECTOR:QUEBRADA EL INFIERNO</v>
          </cell>
          <cell r="R1278">
            <v>2845920</v>
          </cell>
          <cell r="S1278">
            <v>406560</v>
          </cell>
          <cell r="T1278">
            <v>0</v>
          </cell>
          <cell r="U1278">
            <v>2439360</v>
          </cell>
          <cell r="V1278">
            <v>2439360</v>
          </cell>
        </row>
        <row r="1279">
          <cell r="J1279">
            <v>631</v>
          </cell>
          <cell r="K1279">
            <v>43133</v>
          </cell>
          <cell r="L1279" t="str">
            <v>SILVIA  CABRERA GUERRERO</v>
          </cell>
          <cell r="M1279">
            <v>31</v>
          </cell>
          <cell r="N1279" t="str">
            <v>RESOLUCION</v>
          </cell>
          <cell r="O1279">
            <v>265</v>
          </cell>
          <cell r="P1279">
            <v>43133</v>
          </cell>
          <cell r="Q1279" t="str">
            <v>AYUDA TEMPORAL A LAS FAMILIAS DE VARIAS LOCALIDADES, PARA RELOCALIZACIÓN DE HOGARES LOCALIZADOS EN ZONAS DE ALTO RIESGO NO MITIGABLE ID:2015-W166-401, LOCALIDAD:19 CIUDAD BOLÍVAR, UPZ:70 JERUSALÉN, SECTOR:UITOTO</v>
          </cell>
          <cell r="R1279">
            <v>7036432</v>
          </cell>
          <cell r="S1279">
            <v>0</v>
          </cell>
          <cell r="T1279">
            <v>0</v>
          </cell>
          <cell r="U1279">
            <v>7036432</v>
          </cell>
          <cell r="V1279">
            <v>4330112</v>
          </cell>
        </row>
        <row r="1280">
          <cell r="J1280">
            <v>632</v>
          </cell>
          <cell r="K1280">
            <v>43133</v>
          </cell>
          <cell r="L1280" t="str">
            <v>ANUNCIO  MOÑA BURGARA</v>
          </cell>
          <cell r="M1280">
            <v>31</v>
          </cell>
          <cell r="N1280" t="str">
            <v>RESOLUCION</v>
          </cell>
          <cell r="O1280">
            <v>266</v>
          </cell>
          <cell r="P1280">
            <v>43133</v>
          </cell>
          <cell r="Q1280" t="str">
            <v>AYUDA TEMPORAL A LAS FAMILIAS DE VARIAS LOCALIDADES, PARA RELOCALIZACIÓN DE HOGARES LOCALIZADOS EN ZONAS DE ALTO RIESGO NO MITIGABLE ID:2014-W166-052, LOCALIDAD:19 CIUDAD BOLÍVAR, UPZ:68 EL TESORO, SECTOR:WOUNAAN</v>
          </cell>
          <cell r="R1280">
            <v>5178771</v>
          </cell>
          <cell r="S1280">
            <v>0</v>
          </cell>
          <cell r="T1280">
            <v>0</v>
          </cell>
          <cell r="U1280">
            <v>5178771</v>
          </cell>
          <cell r="V1280">
            <v>3186936</v>
          </cell>
        </row>
        <row r="1281">
          <cell r="J1281">
            <v>633</v>
          </cell>
          <cell r="K1281">
            <v>43133</v>
          </cell>
          <cell r="L1281" t="str">
            <v>SANDRA PATRICIA RODRIGUEZ ORTIZ</v>
          </cell>
          <cell r="M1281">
            <v>31</v>
          </cell>
          <cell r="N1281" t="str">
            <v>RESOLUCION</v>
          </cell>
          <cell r="O1281">
            <v>267</v>
          </cell>
          <cell r="P1281">
            <v>43133</v>
          </cell>
          <cell r="Q1281" t="str">
            <v>AYUDA TEMPORAL A LAS FAMILIAS DE VARIAS LOCALIDADES, PARA RELOCALIZACIÓN DE HOGARES LOCALIZADOS EN ZONAS DE ALTO RIESGO NO MITIGABLE ID:2014-OTR-01170, LOCALIDAD:11 SUBA, UPZ:71 TIBABUYES, SECTOR:GAVILANES</v>
          </cell>
          <cell r="R1281">
            <v>3014166</v>
          </cell>
          <cell r="S1281">
            <v>502361</v>
          </cell>
          <cell r="T1281">
            <v>0</v>
          </cell>
          <cell r="U1281">
            <v>2511805</v>
          </cell>
          <cell r="V1281">
            <v>2511805</v>
          </cell>
        </row>
        <row r="1282">
          <cell r="J1282">
            <v>634</v>
          </cell>
          <cell r="K1282">
            <v>43133</v>
          </cell>
          <cell r="L1282" t="str">
            <v>ELISABETH  MENESES RODRIGUEZ</v>
          </cell>
          <cell r="M1282">
            <v>31</v>
          </cell>
          <cell r="N1282" t="str">
            <v>RESOLUCION</v>
          </cell>
          <cell r="O1282">
            <v>268</v>
          </cell>
          <cell r="P1282">
            <v>43133</v>
          </cell>
          <cell r="Q1282" t="str">
            <v>AYUDA TEMPORAL A LAS FAMILIAS DE VARIAS LOCALIDADES, PARA RELOCALIZACIÓN DE HOGARES LOCALIZADOS EN ZONAS DE ALTO RIESGO NO MITIGABLE ID:2011-4-12690, LOCALIDAD:04 SAN CRISTÓBAL, UPZ:32 SAN BLAS</v>
          </cell>
          <cell r="R1282">
            <v>2590566</v>
          </cell>
          <cell r="S1282">
            <v>431761</v>
          </cell>
          <cell r="T1282">
            <v>0</v>
          </cell>
          <cell r="U1282">
            <v>2158805</v>
          </cell>
          <cell r="V1282">
            <v>2158805</v>
          </cell>
        </row>
        <row r="1283">
          <cell r="J1283">
            <v>635</v>
          </cell>
          <cell r="K1283">
            <v>43133</v>
          </cell>
          <cell r="L1283" t="str">
            <v>ANA VICTORIA MOLINA VARGAS</v>
          </cell>
          <cell r="M1283">
            <v>31</v>
          </cell>
          <cell r="N1283" t="str">
            <v>RESOLUCION</v>
          </cell>
          <cell r="O1283">
            <v>269</v>
          </cell>
          <cell r="P1283">
            <v>43133</v>
          </cell>
          <cell r="Q1283" t="str">
            <v>AYUDA TEMPORAL A LAS FAMILIAS DE VARIAS LOCALIDADES, PARA RELOCALIZACIÓN DE HOGARES LOCALIZADOS EN ZONAS DE ALTO RIESGO NO MITIGABLE ID:2016-4-14767, LOCALIDAD:04 SAN CRISTÓBAL, UPZ:32 SAN BLAS</v>
          </cell>
          <cell r="R1283">
            <v>3098412</v>
          </cell>
          <cell r="S1283">
            <v>516402</v>
          </cell>
          <cell r="T1283">
            <v>0</v>
          </cell>
          <cell r="U1283">
            <v>2582010</v>
          </cell>
          <cell r="V1283">
            <v>2582010</v>
          </cell>
        </row>
        <row r="1284">
          <cell r="J1284">
            <v>636</v>
          </cell>
          <cell r="K1284">
            <v>43133</v>
          </cell>
          <cell r="L1284" t="str">
            <v>CARMEN  MARTINEZ</v>
          </cell>
          <cell r="M1284">
            <v>31</v>
          </cell>
          <cell r="N1284" t="str">
            <v>RESOLUCION</v>
          </cell>
          <cell r="O1284">
            <v>270</v>
          </cell>
          <cell r="P1284">
            <v>43133</v>
          </cell>
          <cell r="Q1284" t="str">
            <v>AYUDA TEMPORAL A LAS FAMILIAS DE VARIAS LOCALIDADES, PARA RELOCALIZACIÓN DE HOGARES LOCALIZADOS EN ZONAS DE ALTO RIESGO NO MITIGABLE ID:2012-19-14046, LOCALIDAD:19 CIUDAD BOLÍVAR, UPZ:68 EL TESORO, SECTOR:QUEBRADA TROMPETA</v>
          </cell>
          <cell r="R1284">
            <v>2892240</v>
          </cell>
          <cell r="S1284">
            <v>482040</v>
          </cell>
          <cell r="T1284">
            <v>0</v>
          </cell>
          <cell r="U1284">
            <v>2410200</v>
          </cell>
          <cell r="V1284">
            <v>2410200</v>
          </cell>
        </row>
        <row r="1285">
          <cell r="J1285">
            <v>637</v>
          </cell>
          <cell r="K1285">
            <v>43133</v>
          </cell>
          <cell r="L1285" t="str">
            <v>MANUEL LIBARDO ARIAS MARQUEZ</v>
          </cell>
          <cell r="M1285">
            <v>31</v>
          </cell>
          <cell r="N1285" t="str">
            <v>RESOLUCION</v>
          </cell>
          <cell r="O1285">
            <v>271</v>
          </cell>
          <cell r="P1285">
            <v>43133</v>
          </cell>
          <cell r="Q1285" t="str">
            <v>AYUDA TEMPORAL A LAS FAMILIAS DE VARIAS LOCALIDADES, PARA RELOCALIZACIÓN DE HOGARES LOCALIZADOS EN ZONAS DE ALTO RIESGO NO MITIGABLE ID:2007-19-9702, LOCALIDAD:19 CIUDAD BOLÍVAR, UPZ:69 ISMAEL PERDOMO</v>
          </cell>
          <cell r="R1285">
            <v>2582006</v>
          </cell>
          <cell r="S1285">
            <v>368858</v>
          </cell>
          <cell r="T1285">
            <v>0</v>
          </cell>
          <cell r="U1285">
            <v>2213148</v>
          </cell>
          <cell r="V1285">
            <v>2213148</v>
          </cell>
        </row>
        <row r="1286">
          <cell r="J1286">
            <v>638</v>
          </cell>
          <cell r="K1286">
            <v>43133</v>
          </cell>
          <cell r="L1286" t="str">
            <v>YERSON FABIAN LOPEZ PENAGOS</v>
          </cell>
          <cell r="M1286">
            <v>31</v>
          </cell>
          <cell r="N1286" t="str">
            <v>RESOLUCION</v>
          </cell>
          <cell r="O1286">
            <v>512</v>
          </cell>
          <cell r="P1286">
            <v>43102</v>
          </cell>
          <cell r="Q1286" t="str">
            <v>Asignacion del instrumento financiero a las familias ocupantes del predio que hayan superado la fase de verificacion dentro  del marco del Decreto 457 de 2017. LOCALIDAD: KENNEDY; BARRIO: VEREDITAS; ID: 2017-8-383888</v>
          </cell>
          <cell r="R1286">
            <v>54686940</v>
          </cell>
          <cell r="S1286">
            <v>0</v>
          </cell>
          <cell r="T1286">
            <v>0</v>
          </cell>
          <cell r="U1286">
            <v>54686940</v>
          </cell>
          <cell r="V1286">
            <v>54686940</v>
          </cell>
        </row>
        <row r="1287">
          <cell r="J1287">
            <v>639</v>
          </cell>
          <cell r="K1287">
            <v>43133</v>
          </cell>
          <cell r="L1287" t="str">
            <v>EVA  ORTIZ CABEZON</v>
          </cell>
          <cell r="M1287">
            <v>31</v>
          </cell>
          <cell r="N1287" t="str">
            <v>RESOLUCION</v>
          </cell>
          <cell r="O1287">
            <v>272</v>
          </cell>
          <cell r="P1287">
            <v>43133</v>
          </cell>
          <cell r="Q1287" t="str">
            <v>AYUDA TEMPORAL A LAS FAMILIAS DE VARIAS LOCALIDADES, PARA RELOCALIZACIÓN DE HOGARES LOCALIZADOS EN ZONAS DE ALTO RIESGO NO MITIGABLE ID:2014-W166-058, LOCALIDAD:19 CIUDAD BOLÍVAR, UPZ:68 EL TESORO, SECTOR:WOUNAAN</v>
          </cell>
          <cell r="R1287">
            <v>5284500</v>
          </cell>
          <cell r="S1287">
            <v>0</v>
          </cell>
          <cell r="T1287">
            <v>0</v>
          </cell>
          <cell r="U1287">
            <v>5284500</v>
          </cell>
          <cell r="V1287">
            <v>3252000</v>
          </cell>
        </row>
        <row r="1288">
          <cell r="J1288">
            <v>640</v>
          </cell>
          <cell r="K1288">
            <v>43133</v>
          </cell>
          <cell r="L1288" t="str">
            <v>JOSE GONZALO PINZON SOSA</v>
          </cell>
          <cell r="M1288">
            <v>31</v>
          </cell>
          <cell r="N1288" t="str">
            <v>RESOLUCION</v>
          </cell>
          <cell r="O1288">
            <v>106</v>
          </cell>
          <cell r="P1288">
            <v>43133</v>
          </cell>
          <cell r="Q1288" t="str">
            <v>AYUDA TEMPORAL A LAS FAMILIAS DE VARIAS LOCALIDADES, PARA RELOCALIZACIÓN DE HOGARES LOCALIZADOS EN ZONAS DE ALTO RIESGO NO MITIGABLE ID:2011-4-12686, LOCALIDAD:04 SAN CRISTÓBAL, UPZ:32 SAN BLAS</v>
          </cell>
          <cell r="R1288">
            <v>2977086</v>
          </cell>
          <cell r="S1288">
            <v>496181</v>
          </cell>
          <cell r="T1288">
            <v>0</v>
          </cell>
          <cell r="U1288">
            <v>2480905</v>
          </cell>
          <cell r="V1288">
            <v>2480905</v>
          </cell>
        </row>
        <row r="1289">
          <cell r="J1289">
            <v>641</v>
          </cell>
          <cell r="K1289">
            <v>43133</v>
          </cell>
          <cell r="L1289" t="str">
            <v>NUBIA ENID MENDEZ CORREDOR</v>
          </cell>
          <cell r="M1289">
            <v>31</v>
          </cell>
          <cell r="N1289" t="str">
            <v>RESOLUCION</v>
          </cell>
          <cell r="O1289">
            <v>107</v>
          </cell>
          <cell r="P1289">
            <v>43133</v>
          </cell>
          <cell r="Q1289" t="str">
            <v>AYUDA TEMPORAL A LAS FAMILIAS DE VARIAS LOCALIDADES, PARA RELOCALIZACIÓN DE HOGARES LOCALIZADOS EN ZONAS DE ALTO RIESGO NO MITIGABLE ID:2014-LC-00812, LOCALIDAD:19 CIUDAD BOLÍVAR, UPZ:69 ISMAEL PERDOMO</v>
          </cell>
          <cell r="R1289">
            <v>2882880</v>
          </cell>
          <cell r="S1289">
            <v>480480</v>
          </cell>
          <cell r="T1289">
            <v>0</v>
          </cell>
          <cell r="U1289">
            <v>2402400</v>
          </cell>
          <cell r="V1289">
            <v>2402400</v>
          </cell>
        </row>
        <row r="1290">
          <cell r="J1290">
            <v>642</v>
          </cell>
          <cell r="K1290">
            <v>43133</v>
          </cell>
          <cell r="L1290" t="str">
            <v>JHON ALEXANDER SARMIENTO</v>
          </cell>
          <cell r="M1290">
            <v>31</v>
          </cell>
          <cell r="N1290" t="str">
            <v>RESOLUCION</v>
          </cell>
          <cell r="O1290">
            <v>108</v>
          </cell>
          <cell r="P1290">
            <v>43133</v>
          </cell>
          <cell r="Q1290" t="str">
            <v>AYUDA TEMPORAL A LAS FAMILIAS DE VARIAS LOCALIDADES, PARA RELOCALIZACIÓN DE HOGARES LOCALIZADOS EN ZONAS DE ALTO RIESGO NO MITIGABLE ID:2012-T314-04, LOCALIDAD:04 SAN CRISTÓBAL, UPZ:50 LA GLORIA</v>
          </cell>
          <cell r="R1290">
            <v>2784006</v>
          </cell>
          <cell r="S1290">
            <v>464001</v>
          </cell>
          <cell r="T1290">
            <v>0</v>
          </cell>
          <cell r="U1290">
            <v>2320005</v>
          </cell>
          <cell r="V1290">
            <v>2320005</v>
          </cell>
        </row>
        <row r="1291">
          <cell r="J1291">
            <v>643</v>
          </cell>
          <cell r="K1291">
            <v>43133</v>
          </cell>
          <cell r="L1291" t="str">
            <v>JESUS MARCIAL MAYAG IPUJAN</v>
          </cell>
          <cell r="M1291">
            <v>31</v>
          </cell>
          <cell r="N1291" t="str">
            <v>RESOLUCION</v>
          </cell>
          <cell r="O1291">
            <v>109</v>
          </cell>
          <cell r="P1291">
            <v>43133</v>
          </cell>
          <cell r="Q1291" t="str">
            <v>AYUDA TEMPORAL A LAS FAMILIAS DE VARIAS LOCALIDADES, PARA RELOCALIZACIÓN DE HOGARES LOCALIZADOS EN ZONAS DE ALTO RIESGO NO MITIGABLE ID:2011-4-12637, LOCALIDAD:04 SAN CRISTÓBAL, UPZ:32 SAN BLAS</v>
          </cell>
          <cell r="R1291">
            <v>2667402</v>
          </cell>
          <cell r="S1291">
            <v>444567</v>
          </cell>
          <cell r="T1291">
            <v>0</v>
          </cell>
          <cell r="U1291">
            <v>2222835</v>
          </cell>
          <cell r="V1291">
            <v>2222835</v>
          </cell>
        </row>
        <row r="1292">
          <cell r="J1292">
            <v>644</v>
          </cell>
          <cell r="K1292">
            <v>43133</v>
          </cell>
          <cell r="L1292" t="str">
            <v>MARIA WFELMIDA ANZOLA GALINDO</v>
          </cell>
          <cell r="M1292">
            <v>31</v>
          </cell>
          <cell r="N1292" t="str">
            <v>RESOLUCION</v>
          </cell>
          <cell r="O1292">
            <v>110</v>
          </cell>
          <cell r="P1292">
            <v>43133</v>
          </cell>
          <cell r="Q1292" t="str">
            <v>AYUDA TEMPORAL A LAS FAMILIAS DE VARIAS LOCALIDADES, PARA RELOCALIZACIÓN DE HOGARES LOCALIZADOS EN ZONAS DE ALTO RIESGO NO MITIGABLE ID:2012-19-14192, LOCALIDAD:19 CIUDAD BOLÍVAR, UPZ:68 EL TESORO, SECTOR:QUEBRADA TROMPETA</v>
          </cell>
          <cell r="R1292">
            <v>2213148</v>
          </cell>
          <cell r="S1292">
            <v>368858</v>
          </cell>
          <cell r="T1292">
            <v>0</v>
          </cell>
          <cell r="U1292">
            <v>1844290</v>
          </cell>
          <cell r="V1292">
            <v>1844290</v>
          </cell>
        </row>
        <row r="1293">
          <cell r="J1293">
            <v>645</v>
          </cell>
          <cell r="K1293">
            <v>43133</v>
          </cell>
          <cell r="L1293" t="str">
            <v>MAYURI  RODRIGUEZ RAMIREZ</v>
          </cell>
          <cell r="M1293">
            <v>31</v>
          </cell>
          <cell r="N1293" t="str">
            <v>RESOLUCION</v>
          </cell>
          <cell r="O1293">
            <v>111</v>
          </cell>
          <cell r="P1293">
            <v>43133</v>
          </cell>
          <cell r="Q1293" t="str">
            <v>AYUDA TEMPORAL A LAS FAMILIAS DE VARIAS LOCALIDADES, PARA RELOCALIZACIÓN DE HOGARES LOCALIZADOS EN ZONAS DE ALTO RIESGO NO MITIGABLE ID:2017-04-14930, LOCALIDAD:04 SAN CRISTÓBAL, UPZ:32 SAN BLAS, SECTOR:TRIANGULO ALTO</v>
          </cell>
          <cell r="R1293">
            <v>2434464</v>
          </cell>
          <cell r="S1293">
            <v>405744</v>
          </cell>
          <cell r="T1293">
            <v>0</v>
          </cell>
          <cell r="U1293">
            <v>2028720</v>
          </cell>
          <cell r="V1293">
            <v>2028720</v>
          </cell>
        </row>
        <row r="1294">
          <cell r="J1294">
            <v>646</v>
          </cell>
          <cell r="K1294">
            <v>43133</v>
          </cell>
          <cell r="L1294" t="str">
            <v>BLANCA LUCILA BELTRAN</v>
          </cell>
          <cell r="M1294">
            <v>31</v>
          </cell>
          <cell r="N1294" t="str">
            <v>RESOLUCION</v>
          </cell>
          <cell r="O1294">
            <v>112</v>
          </cell>
          <cell r="P1294">
            <v>43133</v>
          </cell>
          <cell r="Q1294" t="str">
            <v>AYUDA TEMPORAL A LAS FAMILIAS DE VARIAS LOCALIDADES, PARA RELOCALIZACIÓN DE HOGARES LOCALIZADOS EN ZONAS DE ALTO RIESGO NO MITIGABLE ID:2011-4-12656, LOCALIDAD:04 SAN CRISTÓBAL, UPZ:32 SAN BLAS</v>
          </cell>
          <cell r="R1294">
            <v>2655780</v>
          </cell>
          <cell r="S1294">
            <v>442630</v>
          </cell>
          <cell r="T1294">
            <v>0</v>
          </cell>
          <cell r="U1294">
            <v>2213150</v>
          </cell>
          <cell r="V1294">
            <v>2213150</v>
          </cell>
        </row>
        <row r="1295">
          <cell r="J1295">
            <v>647</v>
          </cell>
          <cell r="K1295">
            <v>43133</v>
          </cell>
          <cell r="L1295" t="str">
            <v>LILIA INES DUARTE RUBIANO</v>
          </cell>
          <cell r="M1295">
            <v>31</v>
          </cell>
          <cell r="N1295" t="str">
            <v>RESOLUCION</v>
          </cell>
          <cell r="O1295">
            <v>113</v>
          </cell>
          <cell r="P1295">
            <v>43133</v>
          </cell>
          <cell r="Q1295" t="str">
            <v>AYUDA TEMPORAL A LAS FAMILIAS DE VARIAS LOCALIDADES, PARA RELOCALIZACIÓN DE HOGARES LOCALIZADOS EN ZONAS DE ALTO RIESGO NO MITIGABLE ID:2010-5-11557, LOCALIDAD:05 USME, UPZ:57 GRAN YOMASA, SECTOR:OLA INVERNAL 2010 FOPAE</v>
          </cell>
          <cell r="R1295">
            <v>2678000</v>
          </cell>
          <cell r="S1295">
            <v>2678000</v>
          </cell>
          <cell r="T1295">
            <v>0</v>
          </cell>
          <cell r="U1295">
            <v>0</v>
          </cell>
          <cell r="V1295">
            <v>0</v>
          </cell>
        </row>
        <row r="1296">
          <cell r="J1296">
            <v>648</v>
          </cell>
          <cell r="K1296">
            <v>43133</v>
          </cell>
          <cell r="L1296" t="str">
            <v>LILIA INES DUARTE RUBIANO</v>
          </cell>
          <cell r="M1296">
            <v>31</v>
          </cell>
          <cell r="N1296" t="str">
            <v>RESOLUCION</v>
          </cell>
          <cell r="O1296">
            <v>113</v>
          </cell>
          <cell r="P1296">
            <v>43133</v>
          </cell>
          <cell r="Q1296" t="str">
            <v>AYUDA TEMPORAL A LAS FAMILIAS DE VARIAS LOCALIDADES, PARA RELOCALIZACIÓN DE HOGARES LOCALIZADOS EN ZONAS DE ALTO RIESGO NO MITIGABLE ID:2010-5-11557, LOCALIDAD:05 USME, UPZ:57 GRAN YOMASA, SECTOR:OLA INVERNAL 2010 FOPAE</v>
          </cell>
          <cell r="R1296">
            <v>3213600</v>
          </cell>
          <cell r="S1296">
            <v>535600</v>
          </cell>
          <cell r="T1296">
            <v>0</v>
          </cell>
          <cell r="U1296">
            <v>2678000</v>
          </cell>
          <cell r="V1296">
            <v>2678000</v>
          </cell>
        </row>
        <row r="1297">
          <cell r="J1297">
            <v>651</v>
          </cell>
          <cell r="K1297">
            <v>43133</v>
          </cell>
          <cell r="L1297" t="str">
            <v>JOSE FLORINDO BARAJAS</v>
          </cell>
          <cell r="M1297">
            <v>31</v>
          </cell>
          <cell r="N1297" t="str">
            <v>RESOLUCION</v>
          </cell>
          <cell r="O1297">
            <v>114</v>
          </cell>
          <cell r="P1297">
            <v>43133</v>
          </cell>
          <cell r="Q1297" t="str">
            <v>AYUDA TEMPORAL A LAS FAMILIAS DE VARIAS LOCALIDADES, PARA RELOCALIZACIÓN DE HOGARES LOCALIZADOS EN ZONAS DE ALTO RIESGO NO MITIGABLE ID:2015-D227-00045, LOCALIDAD:04 SAN CRISTÓBAL, UPZ:51 LOS LIBERTADORES, SECTOR:SANTA TERESITA</v>
          </cell>
          <cell r="R1297">
            <v>2976996</v>
          </cell>
          <cell r="S1297">
            <v>496166</v>
          </cell>
          <cell r="T1297">
            <v>0</v>
          </cell>
          <cell r="U1297">
            <v>2480830</v>
          </cell>
          <cell r="V1297">
            <v>2480830</v>
          </cell>
        </row>
        <row r="1298">
          <cell r="J1298">
            <v>652</v>
          </cell>
          <cell r="K1298">
            <v>43133</v>
          </cell>
          <cell r="L1298" t="str">
            <v>PEDRO ANTONIO RODRIGUEZ CIFUENTES</v>
          </cell>
          <cell r="M1298">
            <v>31</v>
          </cell>
          <cell r="N1298" t="str">
            <v>RESOLUCION</v>
          </cell>
          <cell r="O1298">
            <v>115</v>
          </cell>
          <cell r="P1298">
            <v>43133</v>
          </cell>
          <cell r="Q1298" t="str">
            <v>AYUDA TEMPORAL A LAS FAMILIAS DE VARIAS LOCALIDADES, PARA RELOCALIZACIÓN DE HOGARES LOCALIZADOS EN ZONAS DE ALTO RIESGO NO MITIGABLE ID:2012-19-13964, LOCALIDAD:19 CIUDAD BOLÍVAR, UPZ:67 LUCERO, SECTOR:ZANJÓN DE LA ESTRELLA</v>
          </cell>
          <cell r="R1298">
            <v>2586000</v>
          </cell>
          <cell r="S1298">
            <v>431000</v>
          </cell>
          <cell r="T1298">
            <v>0</v>
          </cell>
          <cell r="U1298">
            <v>2155000</v>
          </cell>
          <cell r="V1298">
            <v>2155000</v>
          </cell>
        </row>
        <row r="1299">
          <cell r="J1299">
            <v>654</v>
          </cell>
          <cell r="K1299">
            <v>43136</v>
          </cell>
          <cell r="L1299" t="str">
            <v>ALONSO  HERRERA CARPIO</v>
          </cell>
          <cell r="M1299">
            <v>31</v>
          </cell>
          <cell r="N1299" t="str">
            <v>RESOLUCION</v>
          </cell>
          <cell r="O1299">
            <v>116</v>
          </cell>
          <cell r="P1299">
            <v>43136</v>
          </cell>
          <cell r="Q1299" t="str">
            <v>AYUDA TEMPORAL A LAS FAMILIAS DE VARIAS LOCALIDADES, PARA RELOCALIZACIÓN DE HOGARES LOCALIZADOS EN ZONAS DE ALTO RIESGO NO MITIGABLE ID:2011-4-12695, LOCALIDAD:04 SAN CRISTÓBAL, UPZ:32 SAN BLAS</v>
          </cell>
          <cell r="R1299">
            <v>2301678</v>
          </cell>
          <cell r="S1299">
            <v>383613</v>
          </cell>
          <cell r="T1299">
            <v>0</v>
          </cell>
          <cell r="U1299">
            <v>1918065</v>
          </cell>
          <cell r="V1299">
            <v>1918065</v>
          </cell>
        </row>
        <row r="1300">
          <cell r="J1300">
            <v>655</v>
          </cell>
          <cell r="K1300">
            <v>43136</v>
          </cell>
          <cell r="L1300" t="str">
            <v>NUBIA XIMENA CAMACHO PUENTES</v>
          </cell>
          <cell r="M1300">
            <v>31</v>
          </cell>
          <cell r="N1300" t="str">
            <v>RESOLUCION</v>
          </cell>
          <cell r="O1300">
            <v>117</v>
          </cell>
          <cell r="P1300">
            <v>43136</v>
          </cell>
          <cell r="Q1300" t="str">
            <v>AYUDA TEMPORAL A LAS FAMILIAS DE VARIAS LOCALIDADES, PARA RELOCALIZACIÓN DE HOGARES LOCALIZADOS EN ZONAS DE ALTO RIESGO NO MITIGABLE ID:2012-T314-02, LOCALIDAD:04 SAN CRISTÓBAL, UPZ:50 LA GLORIA</v>
          </cell>
          <cell r="R1300">
            <v>2474634</v>
          </cell>
          <cell r="S1300">
            <v>412439</v>
          </cell>
          <cell r="T1300">
            <v>0</v>
          </cell>
          <cell r="U1300">
            <v>2062195</v>
          </cell>
          <cell r="V1300">
            <v>2062195</v>
          </cell>
        </row>
        <row r="1301">
          <cell r="J1301">
            <v>656</v>
          </cell>
          <cell r="K1301">
            <v>43136</v>
          </cell>
          <cell r="L1301" t="str">
            <v>LUZ AMANDA CASTRO</v>
          </cell>
          <cell r="M1301">
            <v>31</v>
          </cell>
          <cell r="N1301" t="str">
            <v>RESOLUCION</v>
          </cell>
          <cell r="O1301">
            <v>118</v>
          </cell>
          <cell r="P1301">
            <v>43136</v>
          </cell>
          <cell r="Q1301" t="str">
            <v>AYUDA TEMPORAL A LAS FAMILIAS DE VARIAS LOCALIDADES, PARA RELOCALIZACIÓN DE HOGARES LOCALIZADOS EN ZONAS DE ALTO RIESGO NO MITIGABLE ID:2014-LC-00811, LOCALIDAD:19 CIUDAD BOLÍVAR, UPZ:69 ISMAEL PERDOMO</v>
          </cell>
          <cell r="R1301">
            <v>2436000</v>
          </cell>
          <cell r="S1301">
            <v>406000</v>
          </cell>
          <cell r="T1301">
            <v>0</v>
          </cell>
          <cell r="U1301">
            <v>2030000</v>
          </cell>
          <cell r="V1301">
            <v>2030000</v>
          </cell>
        </row>
        <row r="1302">
          <cell r="J1302">
            <v>657</v>
          </cell>
          <cell r="K1302">
            <v>43136</v>
          </cell>
          <cell r="L1302" t="str">
            <v>LUZ STELLA CRIOLLO</v>
          </cell>
          <cell r="M1302">
            <v>31</v>
          </cell>
          <cell r="N1302" t="str">
            <v>RESOLUCION</v>
          </cell>
          <cell r="O1302">
            <v>119</v>
          </cell>
          <cell r="P1302">
            <v>43136</v>
          </cell>
          <cell r="Q1302" t="str">
            <v>AYUDA TEMPORAL A LAS FAMILIAS DE VARIAS LOCALIDADES, PARA RELOCALIZACIÓN DE HOGARES LOCALIZADOS EN ZONAS DE ALTO RIESGO NO MITIGABLE ID:2014-Q03-00991, LOCALIDAD:19 CIUDAD BOLÍVAR, UPZ:66 SAN FRANCISCO, SECTOR:LIMAS</v>
          </cell>
          <cell r="R1302">
            <v>2586000</v>
          </cell>
          <cell r="S1302">
            <v>431000</v>
          </cell>
          <cell r="T1302">
            <v>0</v>
          </cell>
          <cell r="U1302">
            <v>2155000</v>
          </cell>
          <cell r="V1302">
            <v>2155000</v>
          </cell>
        </row>
        <row r="1303">
          <cell r="J1303">
            <v>658</v>
          </cell>
          <cell r="K1303">
            <v>43136</v>
          </cell>
          <cell r="L1303" t="str">
            <v>ROSMIRA  ASPRILLA MOSQUERA</v>
          </cell>
          <cell r="M1303">
            <v>31</v>
          </cell>
          <cell r="N1303" t="str">
            <v>RESOLUCION</v>
          </cell>
          <cell r="O1303">
            <v>120</v>
          </cell>
          <cell r="P1303">
            <v>43136</v>
          </cell>
          <cell r="Q1303" t="str">
            <v>AYUDA TEMPORAL A LAS FAMILIAS DE VARIAS LOCALIDADES, PARA RELOCALIZACIÓN DE HOGARES LOCALIZADOS EN ZONAS DE ALTO RIESGO NO MITIGABLE ID:2011-4-12712, LOCALIDAD:04 SAN CRISTÓBAL, UPZ:32 SAN BLAS</v>
          </cell>
          <cell r="R1303">
            <v>2213148</v>
          </cell>
          <cell r="S1303">
            <v>368858</v>
          </cell>
          <cell r="T1303">
            <v>0</v>
          </cell>
          <cell r="U1303">
            <v>1844290</v>
          </cell>
          <cell r="V1303">
            <v>1844290</v>
          </cell>
        </row>
        <row r="1304">
          <cell r="J1304">
            <v>659</v>
          </cell>
          <cell r="K1304">
            <v>43136</v>
          </cell>
          <cell r="L1304" t="str">
            <v>LADY JOHANNA BENAVIDES RIVERA</v>
          </cell>
          <cell r="M1304">
            <v>31</v>
          </cell>
          <cell r="N1304" t="str">
            <v>RESOLUCION</v>
          </cell>
          <cell r="O1304">
            <v>121</v>
          </cell>
          <cell r="P1304">
            <v>43136</v>
          </cell>
          <cell r="Q1304" t="str">
            <v>AYUDA TEMPORAL A LAS FAMILIAS DE VARIAS LOCALIDADES, PARA RELOCALIZACIÓN DE HOGARES LOCALIZADOS EN ZONAS DE ALTO RIESGO NO MITIGABLE ID:2016-08-14867, LOCALIDAD:08 KENNEDY, UPZ:82 PATIO BONITO, SECTOR:PALMITAS</v>
          </cell>
          <cell r="R1304">
            <v>5556993</v>
          </cell>
          <cell r="S1304">
            <v>0</v>
          </cell>
          <cell r="T1304">
            <v>0</v>
          </cell>
          <cell r="U1304">
            <v>5556993</v>
          </cell>
          <cell r="V1304">
            <v>3419688</v>
          </cell>
        </row>
        <row r="1305">
          <cell r="J1305">
            <v>660</v>
          </cell>
          <cell r="K1305">
            <v>43136</v>
          </cell>
          <cell r="L1305" t="str">
            <v>LUIS EDUARDO SANCHEZ VERA</v>
          </cell>
          <cell r="M1305">
            <v>31</v>
          </cell>
          <cell r="N1305" t="str">
            <v>RESOLUCION</v>
          </cell>
          <cell r="O1305">
            <v>122</v>
          </cell>
          <cell r="P1305">
            <v>43136</v>
          </cell>
          <cell r="Q1305" t="str">
            <v>AYUDA TEMPORAL A LAS FAMILIAS DE VARIAS LOCALIDADES, PARA RELOCALIZACIÓN DE HOGARES LOCALIZADOS EN ZONAS DE ALTO RIESGO NO MITIGABLE ID:2013-Q10-00522, LOCALIDAD:04 SAN CRISTÓBAL, UPZ:51 LOS LIBERTADORES, SECTOR:QUEBRADA VEREJONES</v>
          </cell>
          <cell r="R1305">
            <v>5361421</v>
          </cell>
          <cell r="S1305">
            <v>0</v>
          </cell>
          <cell r="T1305">
            <v>0</v>
          </cell>
          <cell r="U1305">
            <v>5361421</v>
          </cell>
          <cell r="V1305">
            <v>3299336</v>
          </cell>
        </row>
        <row r="1306">
          <cell r="J1306">
            <v>661</v>
          </cell>
          <cell r="K1306">
            <v>43136</v>
          </cell>
          <cell r="L1306" t="str">
            <v>FRANCISCO LUIS LOPEZ OROZCO</v>
          </cell>
          <cell r="M1306">
            <v>31</v>
          </cell>
          <cell r="N1306" t="str">
            <v>RESOLUCION</v>
          </cell>
          <cell r="O1306">
            <v>123</v>
          </cell>
          <cell r="P1306">
            <v>43136</v>
          </cell>
          <cell r="Q1306" t="str">
            <v>AYUDA TEMPORAL A LAS FAMILIAS DE VARIAS LOCALIDADES, PARA RELOCALIZACIÓN DE HOGARES LOCALIZADOS EN ZONAS DE ALTO RIESGO NO MITIGABLE ID:2011-19-12882, LOCALIDAD:19 CIUDAD BOLÍVAR, UPZ:67 LUCERO</v>
          </cell>
          <cell r="R1306">
            <v>2788562</v>
          </cell>
          <cell r="S1306">
            <v>398366</v>
          </cell>
          <cell r="T1306">
            <v>0</v>
          </cell>
          <cell r="U1306">
            <v>2390196</v>
          </cell>
          <cell r="V1306">
            <v>2390196</v>
          </cell>
        </row>
        <row r="1307">
          <cell r="J1307">
            <v>662</v>
          </cell>
          <cell r="K1307">
            <v>43136</v>
          </cell>
          <cell r="L1307" t="str">
            <v>BERNEY  VIUCHE SIERRA</v>
          </cell>
          <cell r="M1307">
            <v>31</v>
          </cell>
          <cell r="N1307" t="str">
            <v>RESOLUCION</v>
          </cell>
          <cell r="O1307">
            <v>124</v>
          </cell>
          <cell r="P1307">
            <v>43136</v>
          </cell>
          <cell r="Q1307" t="str">
            <v>AYUDA TEMPORAL A LAS FAMILIAS DE VARIAS LOCALIDADES, PARA RELOCALIZACIÓN DE HOGARES LOCALIZADOS EN ZONAS DE ALTO RIESGO NO MITIGABLE ID:2015-Q03-01487, LOCALIDAD:19 CIUDAD BOLÍVAR, UPZ:66 SAN FRANCISCO, SECTOR:LIMAS</v>
          </cell>
          <cell r="R1307">
            <v>2685291</v>
          </cell>
          <cell r="S1307">
            <v>383613</v>
          </cell>
          <cell r="T1307">
            <v>0</v>
          </cell>
          <cell r="U1307">
            <v>2301678</v>
          </cell>
          <cell r="V1307">
            <v>2301678</v>
          </cell>
        </row>
        <row r="1308">
          <cell r="J1308">
            <v>663</v>
          </cell>
          <cell r="K1308">
            <v>43136</v>
          </cell>
          <cell r="L1308" t="str">
            <v>GUILLERMO  DIAZ PEREA</v>
          </cell>
          <cell r="M1308">
            <v>31</v>
          </cell>
          <cell r="N1308" t="str">
            <v>RESOLUCION</v>
          </cell>
          <cell r="O1308">
            <v>125</v>
          </cell>
          <cell r="P1308">
            <v>43136</v>
          </cell>
          <cell r="Q1308" t="str">
            <v>AYUDA TEMPORAL A LAS FAMILIAS DE VARIAS LOCALIDADES, PARA RELOCALIZACIÓN DE HOGARES LOCALIZADOS EN ZONAS DE ALTO RIESGO NO MITIGABLE ID:2011-4-12693, LOCALIDAD:04 SAN CRISTÓBAL, UPZ:32 SAN BLAS</v>
          </cell>
          <cell r="R1308">
            <v>2886919</v>
          </cell>
          <cell r="S1308">
            <v>412417</v>
          </cell>
          <cell r="T1308">
            <v>0</v>
          </cell>
          <cell r="U1308">
            <v>2474502</v>
          </cell>
          <cell r="V1308">
            <v>2474502</v>
          </cell>
        </row>
        <row r="1309">
          <cell r="J1309">
            <v>664</v>
          </cell>
          <cell r="K1309">
            <v>43136</v>
          </cell>
          <cell r="L1309" t="str">
            <v>GUSTAVO  PARRA CORTES</v>
          </cell>
          <cell r="M1309">
            <v>31</v>
          </cell>
          <cell r="N1309" t="str">
            <v>RESOLUCION</v>
          </cell>
          <cell r="O1309">
            <v>126</v>
          </cell>
          <cell r="P1309">
            <v>43136</v>
          </cell>
          <cell r="Q1309" t="str">
            <v>AYUDA TEMPORAL A LAS FAMILIAS DE VARIAS LOCALIDADES, PARA RELOCALIZACIÓN DE HOGARES LOCALIZADOS EN ZONAS DE ALTO RIESGO NO MITIGABLE ID:2013-Q09-00082, LOCALIDAD:19 CIUDAD BOLÍVAR, UPZ:67 LUCERO, SECTOR:QUEBRADA HONDA</v>
          </cell>
          <cell r="R1309">
            <v>3098410</v>
          </cell>
          <cell r="S1309">
            <v>442630</v>
          </cell>
          <cell r="T1309">
            <v>0</v>
          </cell>
          <cell r="U1309">
            <v>2655780</v>
          </cell>
          <cell r="V1309">
            <v>2655780</v>
          </cell>
        </row>
        <row r="1310">
          <cell r="J1310">
            <v>665</v>
          </cell>
          <cell r="K1310">
            <v>43136</v>
          </cell>
          <cell r="L1310" t="str">
            <v>GUSTAVO  RODRIGUEZ CANCELADO</v>
          </cell>
          <cell r="M1310">
            <v>31</v>
          </cell>
          <cell r="N1310" t="str">
            <v>RESOLUCION</v>
          </cell>
          <cell r="O1310">
            <v>127</v>
          </cell>
          <cell r="P1310">
            <v>43136</v>
          </cell>
          <cell r="Q1310" t="str">
            <v>AYUDA TEMPORAL A LAS FAMILIAS DE VARIAS LOCALIDADES, PARA RELOCALIZACIÓN DE HOGARES LOCALIZADOS EN ZONAS DE ALTO RIESGO NO MITIGABLE ID:2015-Q03-03364, LOCALIDAD:19 CIUDAD BOLÍVAR, UPZ:67 LUCERO, SECTOR:LIMAS</v>
          </cell>
          <cell r="R1310">
            <v>5863585</v>
          </cell>
          <cell r="S1310">
            <v>0</v>
          </cell>
          <cell r="T1310">
            <v>0</v>
          </cell>
          <cell r="U1310">
            <v>5863585</v>
          </cell>
          <cell r="V1310">
            <v>3608360</v>
          </cell>
        </row>
        <row r="1311">
          <cell r="J1311">
            <v>666</v>
          </cell>
          <cell r="K1311">
            <v>43136</v>
          </cell>
          <cell r="L1311" t="str">
            <v>JAIME ENRIQUE GUERRERO</v>
          </cell>
          <cell r="M1311">
            <v>31</v>
          </cell>
          <cell r="N1311" t="str">
            <v>RESOLUCION</v>
          </cell>
          <cell r="O1311">
            <v>128</v>
          </cell>
          <cell r="P1311">
            <v>43136</v>
          </cell>
          <cell r="Q1311" t="str">
            <v>AYUDA TEMPORAL A LAS FAMILIAS DE VARIAS LOCALIDADES, PARA RELOCALIZACIÓN DE HOGARES LOCALIZADOS EN ZONAS DE ALTO RIESGO NO MITIGABLE ID:2016-08-14797, LOCALIDAD:08 KENNEDY, UPZ:82 PATIO BONITO, SECTOR:PALMITAS</v>
          </cell>
          <cell r="R1311">
            <v>7000929</v>
          </cell>
          <cell r="S1311">
            <v>0</v>
          </cell>
          <cell r="T1311">
            <v>0</v>
          </cell>
          <cell r="U1311">
            <v>7000929</v>
          </cell>
          <cell r="V1311">
            <v>4308264</v>
          </cell>
        </row>
        <row r="1312">
          <cell r="J1312">
            <v>667</v>
          </cell>
          <cell r="K1312">
            <v>43136</v>
          </cell>
          <cell r="L1312" t="str">
            <v>EPIFANIO  TOVAR CUAMA</v>
          </cell>
          <cell r="M1312">
            <v>31</v>
          </cell>
          <cell r="N1312" t="str">
            <v>RESOLUCION</v>
          </cell>
          <cell r="O1312">
            <v>129</v>
          </cell>
          <cell r="P1312">
            <v>43136</v>
          </cell>
          <cell r="Q1312" t="str">
            <v>AYUDA TEMPORAL A LAS FAMILIAS DE VARIAS LOCALIDADES, PARA RELOCALIZACIÓN DE HOGARES LOCALIZADOS EN ZONAS DE ALTO RIESGO NO MITIGABLE ID:2015-W166-532, LOCALIDAD:04 SAN CRISTÓBAL, UPZ:34 20 DE JULIO, SECTOR:EPERARA</v>
          </cell>
          <cell r="R1312">
            <v>6868797</v>
          </cell>
          <cell r="S1312">
            <v>0</v>
          </cell>
          <cell r="T1312">
            <v>0</v>
          </cell>
          <cell r="U1312">
            <v>6868797</v>
          </cell>
          <cell r="V1312">
            <v>4226952</v>
          </cell>
        </row>
        <row r="1313">
          <cell r="J1313">
            <v>668</v>
          </cell>
          <cell r="K1313">
            <v>43136</v>
          </cell>
          <cell r="L1313" t="str">
            <v>MARIA ELVIRA TOVAR</v>
          </cell>
          <cell r="M1313">
            <v>31</v>
          </cell>
          <cell r="N1313" t="str">
            <v>RESOLUCION</v>
          </cell>
          <cell r="O1313">
            <v>130</v>
          </cell>
          <cell r="P1313">
            <v>43136</v>
          </cell>
          <cell r="Q1313" t="str">
            <v>AYUDA TEMPORAL A LAS FAMILIAS DE VARIAS LOCALIDADES, PARA RELOCALIZACIÓN DE HOGARES LOCALIZADOS EN ZONAS DE ALTO RIESGO NO MITIGABLE ID:2013000328, LOCALIDAD:19 CIUDAD BOLÍVAR, UPZ:67 LUCERO, SECTOR:PEÑA COLORADA</v>
          </cell>
          <cell r="R1313">
            <v>3157315</v>
          </cell>
          <cell r="S1313">
            <v>451045</v>
          </cell>
          <cell r="T1313">
            <v>0</v>
          </cell>
          <cell r="U1313">
            <v>2706270</v>
          </cell>
          <cell r="V1313">
            <v>2706270</v>
          </cell>
        </row>
        <row r="1314">
          <cell r="J1314">
            <v>669</v>
          </cell>
          <cell r="K1314">
            <v>43136</v>
          </cell>
          <cell r="L1314" t="str">
            <v>LUZ DARY MEZA MEDINA</v>
          </cell>
          <cell r="M1314">
            <v>31</v>
          </cell>
          <cell r="N1314" t="str">
            <v>RESOLUCION</v>
          </cell>
          <cell r="O1314">
            <v>131</v>
          </cell>
          <cell r="P1314">
            <v>43136</v>
          </cell>
          <cell r="Q1314" t="str">
            <v>AYUDA TEMPORAL A LAS FAMILIAS DE VARIAS LOCALIDADES, PARA RELOCALIZACIÓN DE HOGARES LOCALIZADOS EN ZONAS DE ALTO RIESGO NO MITIGABLE ID:2011-4-12677, LOCALIDAD:04 SAN CRISTÓBAL, UPZ:32 SAN BLAS</v>
          </cell>
          <cell r="R1314">
            <v>3098410</v>
          </cell>
          <cell r="S1314">
            <v>442630</v>
          </cell>
          <cell r="T1314">
            <v>0</v>
          </cell>
          <cell r="U1314">
            <v>2655780</v>
          </cell>
          <cell r="V1314">
            <v>2655780</v>
          </cell>
        </row>
        <row r="1315">
          <cell r="J1315">
            <v>670</v>
          </cell>
          <cell r="K1315">
            <v>43136</v>
          </cell>
          <cell r="L1315" t="str">
            <v>JOSE ISMAEL BABATIVA BARRETO</v>
          </cell>
          <cell r="M1315">
            <v>31</v>
          </cell>
          <cell r="N1315" t="str">
            <v>RESOLUCION</v>
          </cell>
          <cell r="O1315">
            <v>132</v>
          </cell>
          <cell r="P1315">
            <v>43136</v>
          </cell>
          <cell r="Q1315" t="str">
            <v>AYUDA TEMPORAL A LAS FAMILIAS DE VARIAS LOCALIDADES, PARA RELOCALIZACIÓN DE HOGARES LOCALIZADOS EN ZONAS DE ALTO RIESGO NO MITIGABLE ID:2012-4-14278, LOCALIDAD:04 SAN CRISTÓBAL, UPZ:32 SAN BLAS</v>
          </cell>
          <cell r="R1315">
            <v>4862286</v>
          </cell>
          <cell r="S1315">
            <v>0</v>
          </cell>
          <cell r="T1315">
            <v>0</v>
          </cell>
          <cell r="U1315">
            <v>4862286</v>
          </cell>
          <cell r="V1315">
            <v>2992176</v>
          </cell>
        </row>
        <row r="1316">
          <cell r="J1316">
            <v>671</v>
          </cell>
          <cell r="K1316">
            <v>43136</v>
          </cell>
          <cell r="L1316" t="str">
            <v>LAURA PATRICIA AREVALO</v>
          </cell>
          <cell r="M1316">
            <v>31</v>
          </cell>
          <cell r="N1316" t="str">
            <v>RESOLUCION</v>
          </cell>
          <cell r="O1316">
            <v>133</v>
          </cell>
          <cell r="P1316">
            <v>43136</v>
          </cell>
          <cell r="Q1316" t="str">
            <v>AYUDA TEMPORAL A LAS FAMILIAS DE VARIAS LOCALIDADES, PARA RELOCALIZACIÓN DE HOGARES LOCALIZADOS EN ZONAS DE ALTO RIESGO NO MITIGABLE ID:2012-ALES-284, LOCALIDAD:19 CIUDAD BOLÍVAR, UPZ:69 ISMAEL PERDOMO</v>
          </cell>
          <cell r="R1316">
            <v>3769731</v>
          </cell>
          <cell r="S1316">
            <v>2064132</v>
          </cell>
          <cell r="T1316">
            <v>0</v>
          </cell>
          <cell r="U1316">
            <v>1705599</v>
          </cell>
          <cell r="V1316">
            <v>1705599</v>
          </cell>
        </row>
        <row r="1317">
          <cell r="J1317">
            <v>672</v>
          </cell>
          <cell r="K1317">
            <v>43136</v>
          </cell>
          <cell r="L1317" t="str">
            <v>MANUELA  DURA VALENCIA</v>
          </cell>
          <cell r="M1317">
            <v>31</v>
          </cell>
          <cell r="N1317" t="str">
            <v>RESOLUCION</v>
          </cell>
          <cell r="O1317">
            <v>134</v>
          </cell>
          <cell r="P1317">
            <v>43136</v>
          </cell>
          <cell r="Q1317" t="str">
            <v>AYUDA TEMPORAL A LAS FAMILIAS DE VARIAS LOCALIDADES, PARA RELOCALIZACIÓN DE HOGARES LOCALIZADOS EN ZONAS DE ALTO RIESGO NO MITIGABLE ID:2015-W166-206, LOCALIDAD:04 SAN CRISTÓBAL, UPZ:33 SOSIEGO, SECTOR:EPERARA</v>
          </cell>
          <cell r="R1317">
            <v>5525975</v>
          </cell>
          <cell r="S1317">
            <v>0</v>
          </cell>
          <cell r="T1317">
            <v>0</v>
          </cell>
          <cell r="U1317">
            <v>5525975</v>
          </cell>
          <cell r="V1317">
            <v>3400600</v>
          </cell>
        </row>
        <row r="1318">
          <cell r="J1318">
            <v>673</v>
          </cell>
          <cell r="K1318">
            <v>43136</v>
          </cell>
          <cell r="L1318" t="str">
            <v>LUZ AIDA CHIRIMIA DURA</v>
          </cell>
          <cell r="M1318">
            <v>31</v>
          </cell>
          <cell r="N1318" t="str">
            <v>RESOLUCION</v>
          </cell>
          <cell r="O1318">
            <v>135</v>
          </cell>
          <cell r="P1318">
            <v>43136</v>
          </cell>
          <cell r="Q1318" t="str">
            <v>AYUDA TEMPORAL A LAS FAMILIAS DE VARIAS LOCALIDADES, PARA RELOCALIZACIÓN DE HOGARES LOCALIZADOS EN ZONAS DE ALTO RIESGO NO MITIGABLE ID:2015-W166-217, LOCALIDAD:04 SAN CRISTÓBAL, UPZ:33 SOSIEGO, SECTOR:EPERARA</v>
          </cell>
          <cell r="R1318">
            <v>5525975</v>
          </cell>
          <cell r="S1318">
            <v>0</v>
          </cell>
          <cell r="T1318">
            <v>0</v>
          </cell>
          <cell r="U1318">
            <v>5525975</v>
          </cell>
          <cell r="V1318">
            <v>3400600</v>
          </cell>
        </row>
        <row r="1319">
          <cell r="J1319">
            <v>674</v>
          </cell>
          <cell r="K1319">
            <v>43136</v>
          </cell>
          <cell r="L1319" t="str">
            <v>ALBA RUBI TORRES FORERO</v>
          </cell>
          <cell r="M1319">
            <v>31</v>
          </cell>
          <cell r="N1319" t="str">
            <v>RESOLUCION</v>
          </cell>
          <cell r="O1319">
            <v>136</v>
          </cell>
          <cell r="P1319">
            <v>43136</v>
          </cell>
          <cell r="Q1319" t="str">
            <v>AYUDA TEMPORAL A LAS FAMILIAS DE VARIAS LOCALIDADES, PARA RELOCALIZACIÓN DE HOGARES LOCALIZADOS EN ZONAS DE ALTO RIESGO NO MITIGABLE ID:2014-5-14734, LOCALIDAD:05 USME, UPZ:57 GRAN YOMASA</v>
          </cell>
          <cell r="R1319">
            <v>3038112</v>
          </cell>
          <cell r="S1319">
            <v>434016</v>
          </cell>
          <cell r="T1319">
            <v>0</v>
          </cell>
          <cell r="U1319">
            <v>2604096</v>
          </cell>
          <cell r="V1319">
            <v>2604096</v>
          </cell>
        </row>
        <row r="1320">
          <cell r="J1320">
            <v>675</v>
          </cell>
          <cell r="K1320">
            <v>43136</v>
          </cell>
          <cell r="L1320" t="str">
            <v>ALDEMAR  BERMEO</v>
          </cell>
          <cell r="M1320">
            <v>31</v>
          </cell>
          <cell r="N1320" t="str">
            <v>RESOLUCION</v>
          </cell>
          <cell r="O1320">
            <v>137</v>
          </cell>
          <cell r="P1320">
            <v>43136</v>
          </cell>
          <cell r="Q1320" t="str">
            <v>AYUDA TEMPORAL A LAS FAMILIAS DE VARIAS LOCALIDADES, PARA RELOCALIZACIÓN DE HOGARES LOCALIZADOS EN ZONAS DE ALTO RIESGO NO MITIGABLE ID:2016-08-14842, LOCALIDAD:08 KENNEDY, UPZ:82 PATIO BONITO, SECTOR:PALMITAS</v>
          </cell>
          <cell r="R1320">
            <v>5274672</v>
          </cell>
          <cell r="S1320">
            <v>0</v>
          </cell>
          <cell r="T1320">
            <v>0</v>
          </cell>
          <cell r="U1320">
            <v>5274672</v>
          </cell>
          <cell r="V1320">
            <v>3245952</v>
          </cell>
        </row>
        <row r="1321">
          <cell r="J1321">
            <v>676</v>
          </cell>
          <cell r="K1321">
            <v>43136</v>
          </cell>
          <cell r="L1321" t="str">
            <v>MARCELA  CHACON GAONA</v>
          </cell>
          <cell r="M1321">
            <v>31</v>
          </cell>
          <cell r="N1321" t="str">
            <v>RESOLUCION</v>
          </cell>
          <cell r="O1321">
            <v>138</v>
          </cell>
          <cell r="P1321">
            <v>43136</v>
          </cell>
          <cell r="Q1321" t="str">
            <v>AYUDA TEMPORAL A LAS FAMILIAS DE VARIAS LOCALIDADES, PARA RELOCALIZACIÓN DE HOGARES LOCALIZADOS EN ZONAS DE ALTO RIESGO NO MITIGABLE ID:2014-Q04-01188, LOCALIDAD:19 CIUDAD BOLÍVAR, UPZ:67 LUCERO, SECTOR:PEÑA COLORADA</v>
          </cell>
          <cell r="R1321">
            <v>3157315</v>
          </cell>
          <cell r="S1321">
            <v>0</v>
          </cell>
          <cell r="T1321">
            <v>0</v>
          </cell>
          <cell r="U1321">
            <v>3157315</v>
          </cell>
          <cell r="V1321">
            <v>2255225</v>
          </cell>
        </row>
        <row r="1322">
          <cell r="J1322">
            <v>677</v>
          </cell>
          <cell r="K1322">
            <v>43136</v>
          </cell>
          <cell r="L1322" t="str">
            <v>PATRICIA  D ORTA CAMACHO</v>
          </cell>
          <cell r="M1322">
            <v>31</v>
          </cell>
          <cell r="N1322" t="str">
            <v>RESOLUCION</v>
          </cell>
          <cell r="O1322">
            <v>139</v>
          </cell>
          <cell r="P1322">
            <v>43136</v>
          </cell>
          <cell r="Q1322" t="str">
            <v>AYUDA TEMPORAL A LAS FAMILIAS DE VARIAS LOCALIDADES, PARA RELOCALIZACIÓN DE HOGARES LOCALIZADOS EN ZONAS DE ALTO RIESGO NO MITIGABLE ID:2012-4-14531, LOCALIDAD:04 SAN CRISTÓBAL, UPZ:32 SAN BLAS</v>
          </cell>
          <cell r="R1322">
            <v>6367530</v>
          </cell>
          <cell r="S1322">
            <v>0</v>
          </cell>
          <cell r="T1322">
            <v>0</v>
          </cell>
          <cell r="U1322">
            <v>6367530</v>
          </cell>
          <cell r="V1322">
            <v>3918480</v>
          </cell>
        </row>
        <row r="1323">
          <cell r="J1323">
            <v>678</v>
          </cell>
          <cell r="K1323">
            <v>43136</v>
          </cell>
          <cell r="L1323" t="str">
            <v>EUDORO  HERNANDEZ TORRES</v>
          </cell>
          <cell r="M1323">
            <v>31</v>
          </cell>
          <cell r="N1323" t="str">
            <v>RESOLUCION</v>
          </cell>
          <cell r="O1323">
            <v>140</v>
          </cell>
          <cell r="P1323">
            <v>43136</v>
          </cell>
          <cell r="Q1323" t="str">
            <v>AYUDA TEMPORAL A LAS FAMILIAS DE VARIAS LOCALIDADES, PARA RELOCALIZACIÓN DE HOGARES LOCALIZADOS EN ZONAS DE ALTO RIESGO NO MITIGABLE ID:2015-ALES-537, LOCALIDAD:19 CIUDAD BOLÍVAR, UPZ:69 ISMAEL PERDOMO, SECTOR:ALTOS DE LA ESTANCIA</v>
          </cell>
          <cell r="R1323">
            <v>3718092</v>
          </cell>
          <cell r="S1323">
            <v>531156</v>
          </cell>
          <cell r="T1323">
            <v>0</v>
          </cell>
          <cell r="U1323">
            <v>3186936</v>
          </cell>
          <cell r="V1323">
            <v>3186936</v>
          </cell>
        </row>
        <row r="1324">
          <cell r="J1324">
            <v>679</v>
          </cell>
          <cell r="K1324">
            <v>43136</v>
          </cell>
          <cell r="L1324" t="str">
            <v>NIDIA  RODRIGUEZ ALONSO</v>
          </cell>
          <cell r="M1324">
            <v>31</v>
          </cell>
          <cell r="N1324" t="str">
            <v>RESOLUCION</v>
          </cell>
          <cell r="O1324">
            <v>141</v>
          </cell>
          <cell r="P1324">
            <v>43136</v>
          </cell>
          <cell r="Q1324" t="str">
            <v>AYUDA TEMPORAL A LAS FAMILIAS DE VARIAS LOCALIDADES, PARA RELOCALIZACIÓN DE HOGARES LOCALIZADOS EN ZONAS DE ALTO RIESGO NO MITIGABLE ID:2010-4-11938, LOCALIDAD:04 SAN CRISTÓBAL, UPZ:32 SAN BLAS, SECTOR:OLA INVERNAL 2010 FOPAE</v>
          </cell>
          <cell r="R1324">
            <v>2788569</v>
          </cell>
          <cell r="S1324">
            <v>398367</v>
          </cell>
          <cell r="T1324">
            <v>0</v>
          </cell>
          <cell r="U1324">
            <v>2390202</v>
          </cell>
          <cell r="V1324">
            <v>2390202</v>
          </cell>
        </row>
        <row r="1325">
          <cell r="J1325">
            <v>680</v>
          </cell>
          <cell r="K1325">
            <v>43136</v>
          </cell>
          <cell r="L1325" t="str">
            <v>MARIA DEL CARMEN MANCILLA LADINO</v>
          </cell>
          <cell r="M1325">
            <v>31</v>
          </cell>
          <cell r="N1325" t="str">
            <v>RESOLUCION</v>
          </cell>
          <cell r="O1325">
            <v>142</v>
          </cell>
          <cell r="P1325">
            <v>43136</v>
          </cell>
          <cell r="Q1325" t="str">
            <v>AYUDA TEMPORAL A LAS FAMILIAS DE VARIAS LOCALIDADES, PARA RELOCALIZACIÓN DE HOGARES LOCALIZADOS EN ZONAS DE ALTO RIESGO NO MITIGABLE ID:2013-Q04-00299, LOCALIDAD:19 CIUDAD BOLÍVAR, UPZ:67 LUCERO, SECTOR:PEÑA COLORADA</v>
          </cell>
          <cell r="R1325">
            <v>3017000</v>
          </cell>
          <cell r="S1325">
            <v>431000</v>
          </cell>
          <cell r="T1325">
            <v>0</v>
          </cell>
          <cell r="U1325">
            <v>2586000</v>
          </cell>
          <cell r="V1325">
            <v>2586000</v>
          </cell>
        </row>
        <row r="1326">
          <cell r="J1326">
            <v>681</v>
          </cell>
          <cell r="K1326">
            <v>43136</v>
          </cell>
          <cell r="L1326" t="str">
            <v>JOSE ANTONIO BAÑOL</v>
          </cell>
          <cell r="M1326">
            <v>31</v>
          </cell>
          <cell r="N1326" t="str">
            <v>RESOLUCION</v>
          </cell>
          <cell r="O1326">
            <v>143</v>
          </cell>
          <cell r="P1326">
            <v>43136</v>
          </cell>
          <cell r="Q1326" t="str">
            <v>AYUDA TEMPORAL A LAS FAMILIAS DE VARIAS LOCALIDADES, PARA RELOCALIZACIÓN DE HOGARES LOCALIZADOS EN ZONAS DE ALTO RIESGO NO MITIGABLE ID:2016-08-14839, LOCALIDAD:08 KENNEDY, UPZ:82 PATIO BONITO, SECTOR:PALMITAS</v>
          </cell>
          <cell r="R1326">
            <v>6722183</v>
          </cell>
          <cell r="S1326">
            <v>0</v>
          </cell>
          <cell r="T1326">
            <v>0</v>
          </cell>
          <cell r="U1326">
            <v>6722183</v>
          </cell>
          <cell r="V1326">
            <v>4136728</v>
          </cell>
        </row>
        <row r="1327">
          <cell r="J1327">
            <v>682</v>
          </cell>
          <cell r="K1327">
            <v>43136</v>
          </cell>
          <cell r="L1327" t="str">
            <v>LEIDY YISELA REYES SANHABRIA</v>
          </cell>
          <cell r="M1327">
            <v>31</v>
          </cell>
          <cell r="N1327" t="str">
            <v>RESOLUCION</v>
          </cell>
          <cell r="O1327">
            <v>144</v>
          </cell>
          <cell r="P1327">
            <v>43136</v>
          </cell>
          <cell r="Q1327" t="str">
            <v>AYUDA TEMPORAL A LAS FAMILIAS DE VARIAS LOCALIDADES, PARA RELOCALIZACIÓN DE HOGARES LOCALIZADOS EN ZONAS DE ALTO RIESGO NO MITIGABLE ID:2014-OTR-00959, LOCALIDAD:19 CIUDAD BOLÍVAR, UPZ:67 LUCERO, SECTOR:TABOR ALTALOMA</v>
          </cell>
          <cell r="R1327">
            <v>3017000</v>
          </cell>
          <cell r="S1327">
            <v>0</v>
          </cell>
          <cell r="T1327">
            <v>0</v>
          </cell>
          <cell r="U1327">
            <v>3017000</v>
          </cell>
          <cell r="V1327">
            <v>1724000</v>
          </cell>
        </row>
        <row r="1328">
          <cell r="J1328">
            <v>683</v>
          </cell>
          <cell r="K1328">
            <v>43136</v>
          </cell>
          <cell r="L1328" t="str">
            <v>OLGA LUCIA VARGAS ARCHILA</v>
          </cell>
          <cell r="M1328">
            <v>31</v>
          </cell>
          <cell r="N1328" t="str">
            <v>RESOLUCION</v>
          </cell>
          <cell r="O1328">
            <v>145</v>
          </cell>
          <cell r="P1328">
            <v>43136</v>
          </cell>
          <cell r="Q1328" t="str">
            <v>AYUDA TEMPORAL A LAS FAMILIAS DE VARIAS LOCALIDADES, PARA RELOCALIZACIÓN DE HOGARES LOCALIZADOS EN ZONAS DE ALTO RIESGO NO MITIGABLE ID:2014-4-14714, LOCALIDAD:04 SAN CRISTÓBAL, UPZ:50 LA GLORIA</v>
          </cell>
          <cell r="R1328">
            <v>3022327</v>
          </cell>
          <cell r="S1328">
            <v>0</v>
          </cell>
          <cell r="T1328">
            <v>0</v>
          </cell>
          <cell r="U1328">
            <v>3022327</v>
          </cell>
          <cell r="V1328">
            <v>1727044</v>
          </cell>
        </row>
        <row r="1329">
          <cell r="J1329">
            <v>684</v>
          </cell>
          <cell r="K1329">
            <v>43136</v>
          </cell>
          <cell r="L1329" t="str">
            <v>JENNY CAROLINA ADAMES TAUTA</v>
          </cell>
          <cell r="M1329">
            <v>31</v>
          </cell>
          <cell r="N1329" t="str">
            <v>RESOLUCION</v>
          </cell>
          <cell r="O1329">
            <v>146</v>
          </cell>
          <cell r="P1329">
            <v>43136</v>
          </cell>
          <cell r="Q1329" t="str">
            <v>AYUDA TEMPORAL A LAS FAMILIAS DE VARIAS LOCALIDADES, PARA RELOCALIZACIÓN DE HOGARES LOCALIZADOS EN ZONAS DE ALTO RIESGO NO MITIGABLE ID:2016-08-14853, LOCALIDAD:08 KENNEDY, UPZ:82 PATIO BONITO, SECTOR:PALMITAS</v>
          </cell>
          <cell r="R1329">
            <v>6905028</v>
          </cell>
          <cell r="S1329">
            <v>0</v>
          </cell>
          <cell r="T1329">
            <v>0</v>
          </cell>
          <cell r="U1329">
            <v>6905028</v>
          </cell>
          <cell r="V1329">
            <v>4249248</v>
          </cell>
        </row>
        <row r="1330">
          <cell r="J1330">
            <v>685</v>
          </cell>
          <cell r="K1330">
            <v>43136</v>
          </cell>
          <cell r="L1330" t="str">
            <v>MARIA ISLANDA LOPEZ GRACIA</v>
          </cell>
          <cell r="M1330">
            <v>31</v>
          </cell>
          <cell r="N1330" t="str">
            <v>RESOLUCION</v>
          </cell>
          <cell r="O1330">
            <v>147</v>
          </cell>
          <cell r="P1330">
            <v>43136</v>
          </cell>
          <cell r="Q1330" t="str">
            <v>AYUDA TEMPORAL A LAS FAMILIAS DE VARIAS LOCALIDADES, PARA RELOCALIZACIÓN DE HOGARES LOCALIZADOS EN ZONAS DE ALTO RIESGO NO MITIGABLE ID:2003-19-5161, LOCALIDAD:19 CIUDAD BOLÍVAR, UPZ:69 ISMAEL PERDOMO, SECTOR:ALTOS DE LA ESTANCIA</v>
          </cell>
          <cell r="R1330">
            <v>3374280</v>
          </cell>
          <cell r="S1330">
            <v>2410200</v>
          </cell>
          <cell r="T1330">
            <v>0</v>
          </cell>
          <cell r="U1330">
            <v>964080</v>
          </cell>
          <cell r="V1330">
            <v>964080</v>
          </cell>
        </row>
        <row r="1331">
          <cell r="J1331">
            <v>686</v>
          </cell>
          <cell r="K1331">
            <v>43136</v>
          </cell>
          <cell r="L1331" t="str">
            <v>JOSE AUGUSTO MARTINEZ BAENA</v>
          </cell>
          <cell r="M1331">
            <v>31</v>
          </cell>
          <cell r="N1331" t="str">
            <v>RESOLUCION</v>
          </cell>
          <cell r="O1331">
            <v>148</v>
          </cell>
          <cell r="P1331">
            <v>43136</v>
          </cell>
          <cell r="Q1331" t="str">
            <v>AYUDA TEMPORAL A LAS FAMILIAS DE VARIAS LOCALIDADES, PARA RELOCALIZACIÓN DE HOGARES LOCALIZADOS EN ZONAS DE ALTO RIESGO NO MITIGABLE ID:2015-D227-00007, LOCALIDAD:04 SAN CRISTÓBAL, UPZ:51 LOS LIBERTADORES, SECTOR:SANTA TERESITA</v>
          </cell>
          <cell r="R1331">
            <v>6617325</v>
          </cell>
          <cell r="S1331">
            <v>0</v>
          </cell>
          <cell r="T1331">
            <v>0</v>
          </cell>
          <cell r="U1331">
            <v>6617325</v>
          </cell>
          <cell r="V1331">
            <v>4072200</v>
          </cell>
        </row>
        <row r="1332">
          <cell r="J1332">
            <v>687</v>
          </cell>
          <cell r="K1332">
            <v>43136</v>
          </cell>
          <cell r="L1332" t="str">
            <v>JOSE ALBERTO REINA SICUA</v>
          </cell>
          <cell r="M1332">
            <v>31</v>
          </cell>
          <cell r="N1332" t="str">
            <v>RESOLUCION</v>
          </cell>
          <cell r="O1332">
            <v>149</v>
          </cell>
          <cell r="P1332">
            <v>43136</v>
          </cell>
          <cell r="Q1332" t="str">
            <v>AYUDA TEMPORAL A LAS FAMILIAS DE VARIAS LOCALIDADES, PARA RELOCALIZACIÓN DE HOGARES LOCALIZADOS EN ZONAS DE ALTO RIESGO NO MITIGABLE ID:2013000376, LOCALIDAD:19 CIUDAD BOLÍVAR, UPZ:67 LUCERO, SECTOR:PEÑA COLORADA</v>
          </cell>
          <cell r="R1332">
            <v>3017000</v>
          </cell>
          <cell r="S1332">
            <v>431000</v>
          </cell>
          <cell r="T1332">
            <v>0</v>
          </cell>
          <cell r="U1332">
            <v>2586000</v>
          </cell>
          <cell r="V1332">
            <v>2586000</v>
          </cell>
        </row>
        <row r="1333">
          <cell r="J1333">
            <v>688</v>
          </cell>
          <cell r="K1333">
            <v>43136</v>
          </cell>
          <cell r="L1333" t="str">
            <v>MARIA ADELIA LOPEZ QUINTERO</v>
          </cell>
          <cell r="M1333">
            <v>31</v>
          </cell>
          <cell r="N1333" t="str">
            <v>RESOLUCION</v>
          </cell>
          <cell r="O1333">
            <v>150</v>
          </cell>
          <cell r="P1333">
            <v>43136</v>
          </cell>
          <cell r="Q1333" t="str">
            <v>AYUDA TEMPORAL A LAS FAMILIAS DE VARIAS LOCALIDADES, PARA RELOCALIZACIÓN DE HOGARES LOCALIZADOS EN ZONAS DE ALTO RIESGO NO MITIGABLE ID:2012-19-13791, LOCALIDAD:19 CIUDAD BOLÍVAR, UPZ:67 LUCERO</v>
          </cell>
          <cell r="R1333">
            <v>2924376</v>
          </cell>
          <cell r="S1333">
            <v>417768</v>
          </cell>
          <cell r="T1333">
            <v>0</v>
          </cell>
          <cell r="U1333">
            <v>2506608</v>
          </cell>
          <cell r="V1333">
            <v>2506608</v>
          </cell>
        </row>
        <row r="1334">
          <cell r="J1334">
            <v>689</v>
          </cell>
          <cell r="K1334">
            <v>43136</v>
          </cell>
          <cell r="L1334" t="str">
            <v>GRECIA VERONICA PACHON GUTIERREZ</v>
          </cell>
          <cell r="M1334">
            <v>31</v>
          </cell>
          <cell r="N1334" t="str">
            <v>RESOLUCION</v>
          </cell>
          <cell r="O1334">
            <v>151</v>
          </cell>
          <cell r="P1334">
            <v>43136</v>
          </cell>
          <cell r="Q1334" t="str">
            <v>AYUDA TEMPORAL A LAS FAMILIAS DE VARIAS LOCALIDADES, PARA RELOCALIZACIÓN DE HOGARES LOCALIZADOS EN ZONAS DE ALTO RIESGO NO MITIGABLE ID:2014-OTR-00968, LOCALIDAD:19 CIUDAD BOLÍVAR, UPZ:67 LUCERO, SECTOR:TABOR ALTALOMA</v>
          </cell>
          <cell r="R1334">
            <v>3614814</v>
          </cell>
          <cell r="S1334">
            <v>0</v>
          </cell>
          <cell r="T1334">
            <v>0</v>
          </cell>
          <cell r="U1334">
            <v>3614814</v>
          </cell>
          <cell r="V1334">
            <v>1549206</v>
          </cell>
        </row>
        <row r="1335">
          <cell r="J1335">
            <v>690</v>
          </cell>
          <cell r="K1335">
            <v>43136</v>
          </cell>
          <cell r="L1335" t="str">
            <v>JOSE HERMINSO MENDOZA GUISA</v>
          </cell>
          <cell r="M1335">
            <v>31</v>
          </cell>
          <cell r="N1335" t="str">
            <v>RESOLUCION</v>
          </cell>
          <cell r="O1335">
            <v>152</v>
          </cell>
          <cell r="P1335">
            <v>43136</v>
          </cell>
          <cell r="Q1335" t="str">
            <v>AYUDA TEMPORAL A LAS FAMILIAS DE VARIAS LOCALIDADES, PARA RELOCALIZACIÓN DE HOGARES LOCALIZADOS EN ZONAS DE ALTO RIESGO NO MITIGABLE ID:2007-4-10150, LOCALIDAD:04 SAN CRISTÓBAL, UPZ:32 SAN BLAS</v>
          </cell>
          <cell r="R1335">
            <v>2788569</v>
          </cell>
          <cell r="S1335">
            <v>398367</v>
          </cell>
          <cell r="T1335">
            <v>0</v>
          </cell>
          <cell r="U1335">
            <v>2390202</v>
          </cell>
          <cell r="V1335">
            <v>2390202</v>
          </cell>
        </row>
        <row r="1336">
          <cell r="J1336">
            <v>691</v>
          </cell>
          <cell r="K1336">
            <v>43136</v>
          </cell>
          <cell r="L1336" t="str">
            <v>JOSE GREGORIO MARTINEZ ACOSTA</v>
          </cell>
          <cell r="M1336">
            <v>31</v>
          </cell>
          <cell r="N1336" t="str">
            <v>RESOLUCION</v>
          </cell>
          <cell r="O1336">
            <v>153</v>
          </cell>
          <cell r="P1336">
            <v>43136</v>
          </cell>
          <cell r="Q1336" t="str">
            <v>AYUDA TEMPORAL A LAS FAMILIAS DE VARIAS LOCALIDADES, PARA RELOCALIZACIÓN DE HOGARES LOCALIZADOS EN ZONAS DE ALTO RIESGO NO MITIGABLE ID:2016-08-14808, LOCALIDAD:08 KENNEDY, UPZ:82 PATIO BONITO, SECTOR:PALMITAS</v>
          </cell>
          <cell r="R1336">
            <v>2992227</v>
          </cell>
          <cell r="S1336">
            <v>2137305</v>
          </cell>
          <cell r="T1336">
            <v>0</v>
          </cell>
          <cell r="U1336">
            <v>854922</v>
          </cell>
          <cell r="V1336">
            <v>854922</v>
          </cell>
        </row>
        <row r="1337">
          <cell r="J1337">
            <v>692</v>
          </cell>
          <cell r="K1337">
            <v>43136</v>
          </cell>
          <cell r="L1337" t="str">
            <v>SANDRA PATRICIA CARILLO VILLOTA</v>
          </cell>
          <cell r="M1337">
            <v>31</v>
          </cell>
          <cell r="N1337" t="str">
            <v>RESOLUCION</v>
          </cell>
          <cell r="O1337">
            <v>154</v>
          </cell>
          <cell r="P1337">
            <v>43136</v>
          </cell>
          <cell r="Q1337" t="str">
            <v>AYUDA TEMPORAL A LAS FAMILIAS DE VARIAS LOCALIDADES, PARA RELOCALIZACIÓN DE HOGARES LOCALIZADOS EN ZONAS DE ALTO RIESGO NO MITIGABLE ID:2014-Q04-01105, LOCALIDAD:19 CIUDAD BOLÍVAR, UPZ:67 LUCERO, SECTOR:PEÑA COLORADA</v>
          </cell>
          <cell r="R1337">
            <v>3157315</v>
          </cell>
          <cell r="S1337">
            <v>451045</v>
          </cell>
          <cell r="T1337">
            <v>0</v>
          </cell>
          <cell r="U1337">
            <v>2706270</v>
          </cell>
          <cell r="V1337">
            <v>2706270</v>
          </cell>
        </row>
        <row r="1338">
          <cell r="J1338">
            <v>693</v>
          </cell>
          <cell r="K1338">
            <v>43136</v>
          </cell>
          <cell r="L1338" t="str">
            <v>LUZ ANGELA GARCIA</v>
          </cell>
          <cell r="M1338">
            <v>31</v>
          </cell>
          <cell r="N1338" t="str">
            <v>RESOLUCION</v>
          </cell>
          <cell r="O1338">
            <v>155</v>
          </cell>
          <cell r="P1338">
            <v>43136</v>
          </cell>
          <cell r="Q1338" t="str">
            <v>AYUDA TEMPORAL A LAS FAMILIAS DE VARIAS LOCALIDADES, PARA RELOCALIZACIÓN DE HOGARES LOCALIZADOS EN ZONAS DE ALTO RIESGO NO MITIGABLE ID:2010-19-11755, LOCALIDAD:19 CIUDAD BOLÍVAR, UPZ:69 ISMAEL PERDOMO, SECTOR:ALTOS DE LA ESTANCIA - OLA INVERNAL 2010 FOPAE</v>
          </cell>
          <cell r="R1338">
            <v>5430984</v>
          </cell>
          <cell r="S1338">
            <v>0</v>
          </cell>
          <cell r="T1338">
            <v>0</v>
          </cell>
          <cell r="U1338">
            <v>5430984</v>
          </cell>
          <cell r="V1338">
            <v>3342144</v>
          </cell>
        </row>
        <row r="1339">
          <cell r="J1339">
            <v>694</v>
          </cell>
          <cell r="K1339">
            <v>43136</v>
          </cell>
          <cell r="L1339" t="str">
            <v>LIGIA MARYELY SANHABRIA ZAPATA</v>
          </cell>
          <cell r="M1339">
            <v>31</v>
          </cell>
          <cell r="N1339" t="str">
            <v>RESOLUCION</v>
          </cell>
          <cell r="O1339">
            <v>156</v>
          </cell>
          <cell r="P1339">
            <v>43136</v>
          </cell>
          <cell r="Q1339" t="str">
            <v>AYUDA TEMPORAL A LAS FAMILIAS DE VARIAS LOCALIDADES, PARA RELOCALIZACIÓN DE HOGARES LOCALIZADOS EN ZONAS DE ALTO RIESGO NO MITIGABLE ID:2015-OTR-01295, LOCALIDAD:19 CIUDAD BOLÍVAR, UPZ:67 LUCERO, SECTOR:TABOR ALTALOMA</v>
          </cell>
          <cell r="R1339">
            <v>3157315</v>
          </cell>
          <cell r="S1339">
            <v>0</v>
          </cell>
          <cell r="T1339">
            <v>0</v>
          </cell>
          <cell r="U1339">
            <v>3157315</v>
          </cell>
          <cell r="V1339">
            <v>1804180</v>
          </cell>
        </row>
        <row r="1340">
          <cell r="J1340">
            <v>695</v>
          </cell>
          <cell r="K1340">
            <v>43136</v>
          </cell>
          <cell r="L1340" t="str">
            <v>MARIA ISABEL VELASQUEZ GARCIA</v>
          </cell>
          <cell r="M1340">
            <v>31</v>
          </cell>
          <cell r="N1340" t="str">
            <v>RESOLUCION</v>
          </cell>
          <cell r="O1340">
            <v>332</v>
          </cell>
          <cell r="P1340">
            <v>43136</v>
          </cell>
          <cell r="Q1340" t="str">
            <v>AYUDA TEMPORAL A LAS FAMILIAS DE VARIAS LOCALIDADES, PARA RELOCALIZACIÓN DE HOGARES LOCALIZADOS EN ZONAS DE ALTO RIESGO NO MITIGABLE ID:2014-OTR-00977, LOCALIDAD:19 CIUDAD BOLÍVAR, UPZ:67 LUCERO, SECTOR:TABOR ALTALOMA</v>
          </cell>
          <cell r="R1340">
            <v>4986969</v>
          </cell>
          <cell r="S1340">
            <v>0</v>
          </cell>
          <cell r="T1340">
            <v>0</v>
          </cell>
          <cell r="U1340">
            <v>4986969</v>
          </cell>
          <cell r="V1340">
            <v>3068904</v>
          </cell>
        </row>
        <row r="1341">
          <cell r="J1341">
            <v>696</v>
          </cell>
          <cell r="K1341">
            <v>43136</v>
          </cell>
          <cell r="L1341" t="str">
            <v>ROSA YOHANA DELGADO LOPEZ</v>
          </cell>
          <cell r="M1341">
            <v>31</v>
          </cell>
          <cell r="N1341" t="str">
            <v>RESOLUCION</v>
          </cell>
          <cell r="O1341">
            <v>325</v>
          </cell>
          <cell r="P1341">
            <v>43136</v>
          </cell>
          <cell r="Q1341" t="str">
            <v>AYUDA TEMPORAL A LAS FAMILIAS DE VARIAS LOCALIDADES, PARA RELOCALIZACIÓN DE HOGARES LOCALIZADOS EN ZONAS DE ALTO RIESGO NO MITIGABLE ID:2014-OTR-00881, LOCALIDAD:03 SANTA FE, UPZ:96 LOURDES, SECTOR:CASA 2</v>
          </cell>
          <cell r="R1341">
            <v>2551518</v>
          </cell>
          <cell r="S1341">
            <v>425253</v>
          </cell>
          <cell r="T1341">
            <v>0</v>
          </cell>
          <cell r="U1341">
            <v>2126265</v>
          </cell>
          <cell r="V1341">
            <v>2126265</v>
          </cell>
        </row>
        <row r="1342">
          <cell r="J1342">
            <v>697</v>
          </cell>
          <cell r="K1342">
            <v>43136</v>
          </cell>
          <cell r="L1342" t="str">
            <v>ROSA AIDE OSORIO SOTO</v>
          </cell>
          <cell r="M1342">
            <v>31</v>
          </cell>
          <cell r="N1342" t="str">
            <v>RESOLUCION</v>
          </cell>
          <cell r="O1342">
            <v>326</v>
          </cell>
          <cell r="P1342">
            <v>43136</v>
          </cell>
          <cell r="Q1342" t="str">
            <v>AYUDA TEMPORAL A LAS FAMILIAS DE VARIAS LOCALIDADES, PARA RELOCALIZACIÓN DE HOGARES LOCALIZADOS EN ZONAS DE ALTO RIESGO NO MITIGABLE ID:2011-4-12638, LOCALIDAD:04 SAN CRISTÓBAL, UPZ:32 SAN BLAS</v>
          </cell>
          <cell r="R1342">
            <v>2213148</v>
          </cell>
          <cell r="S1342">
            <v>368858</v>
          </cell>
          <cell r="T1342">
            <v>0</v>
          </cell>
          <cell r="U1342">
            <v>1844290</v>
          </cell>
          <cell r="V1342">
            <v>1844290</v>
          </cell>
        </row>
        <row r="1343">
          <cell r="J1343">
            <v>698</v>
          </cell>
          <cell r="K1343">
            <v>43136</v>
          </cell>
          <cell r="L1343" t="str">
            <v>OSCAR ALEXANDER BARRERA GROSSO</v>
          </cell>
          <cell r="M1343">
            <v>31</v>
          </cell>
          <cell r="N1343" t="str">
            <v>RESOLUCION</v>
          </cell>
          <cell r="O1343">
            <v>273</v>
          </cell>
          <cell r="P1343">
            <v>43136</v>
          </cell>
          <cell r="Q1343" t="str">
            <v>AYUDA TEMPORAL A LAS FAMILIAS DE VARIAS LOCALIDADES, PARA RELOCALIZACIÓN DE HOGARES LOCALIZADOS EN ZONAS DE ALTO RIESGO NO MITIGABLE ID:2013-3-14686, LOCALIDAD:03 SANTA FE, UPZ:94 LA CANDELARIA</v>
          </cell>
          <cell r="R1343">
            <v>2845920</v>
          </cell>
          <cell r="S1343">
            <v>0</v>
          </cell>
          <cell r="T1343">
            <v>0</v>
          </cell>
          <cell r="U1343">
            <v>2845920</v>
          </cell>
          <cell r="V1343">
            <v>1219680</v>
          </cell>
        </row>
        <row r="1344">
          <cell r="J1344">
            <v>699</v>
          </cell>
          <cell r="K1344">
            <v>43136</v>
          </cell>
          <cell r="L1344" t="str">
            <v>INGRIT PAOLA PARADA RUEDA</v>
          </cell>
          <cell r="M1344">
            <v>31</v>
          </cell>
          <cell r="N1344" t="str">
            <v>RESOLUCION</v>
          </cell>
          <cell r="O1344">
            <v>274</v>
          </cell>
          <cell r="P1344">
            <v>43136</v>
          </cell>
          <cell r="Q1344" t="str">
            <v>AYUDA TEMPORAL A LAS FAMILIAS DE VARIAS LOCALIDADES, PARA RELOCALIZACIÓN DE HOGARES LOCALIZADOS EN ZONAS DE ALTO RIESGO NO MITIGABLE ID:2014-OTR-01246, LOCALIDAD:11 SUBA, UPZ:71 TIBABUYES, SECTOR:GAVILANES</v>
          </cell>
          <cell r="R1344">
            <v>7672262</v>
          </cell>
          <cell r="S1344">
            <v>0</v>
          </cell>
          <cell r="T1344">
            <v>0</v>
          </cell>
          <cell r="U1344">
            <v>7672262</v>
          </cell>
          <cell r="V1344">
            <v>4721392</v>
          </cell>
        </row>
        <row r="1345">
          <cell r="J1345">
            <v>700</v>
          </cell>
          <cell r="K1345">
            <v>43136</v>
          </cell>
          <cell r="L1345" t="str">
            <v>GLADYS  MUÑOZ SANTUARIO</v>
          </cell>
          <cell r="M1345">
            <v>31</v>
          </cell>
          <cell r="N1345" t="str">
            <v>RESOLUCION</v>
          </cell>
          <cell r="O1345">
            <v>275</v>
          </cell>
          <cell r="P1345">
            <v>43136</v>
          </cell>
          <cell r="Q1345" t="str">
            <v>AYUDA TEMPORAL A LAS FAMILIAS DE VARIAS LOCALIDADES, PARA LA RELOCALIZACIÓN DE HOGARES LOCALIZADOS EN ZONAS DE ALTO RIESGO NO MITIGABLE</v>
          </cell>
          <cell r="R1345">
            <v>3112599</v>
          </cell>
          <cell r="S1345">
            <v>3112599</v>
          </cell>
          <cell r="T1345">
            <v>0</v>
          </cell>
          <cell r="U1345">
            <v>0</v>
          </cell>
          <cell r="V1345">
            <v>0</v>
          </cell>
        </row>
        <row r="1346">
          <cell r="J1346">
            <v>701</v>
          </cell>
          <cell r="K1346">
            <v>43136</v>
          </cell>
          <cell r="L1346" t="str">
            <v>DIEGO  CABEZON MERCAZA</v>
          </cell>
          <cell r="M1346">
            <v>31</v>
          </cell>
          <cell r="N1346" t="str">
            <v>RESOLUCION</v>
          </cell>
          <cell r="O1346">
            <v>276</v>
          </cell>
          <cell r="P1346">
            <v>43136</v>
          </cell>
          <cell r="Q1346" t="str">
            <v>AYUDA TEMPORAL A LAS FAMILIAS DE VARIAS LOCALIDADES, PARA RELOCALIZACIÓN DE HOGARES LOCALIZADOS EN ZONAS DE ALTO RIESGO NO MITIGABLE ID:2014-W166-041, LOCALIDAD:19 CIUDAD BOLÍVAR, UPZ:68 EL TESORO, SECTOR:WOUNAAN</v>
          </cell>
          <cell r="R1346">
            <v>5285280</v>
          </cell>
          <cell r="S1346">
            <v>0</v>
          </cell>
          <cell r="T1346">
            <v>0</v>
          </cell>
          <cell r="U1346">
            <v>5285280</v>
          </cell>
          <cell r="V1346">
            <v>3252480</v>
          </cell>
        </row>
        <row r="1347">
          <cell r="J1347">
            <v>702</v>
          </cell>
          <cell r="K1347">
            <v>43136</v>
          </cell>
          <cell r="L1347" t="str">
            <v>RAUL DARIO AREVALO SALINAS</v>
          </cell>
          <cell r="M1347">
            <v>31</v>
          </cell>
          <cell r="N1347" t="str">
            <v>RESOLUCION</v>
          </cell>
          <cell r="O1347">
            <v>277</v>
          </cell>
          <cell r="P1347">
            <v>43136</v>
          </cell>
          <cell r="Q1347" t="str">
            <v>AYUDA TEMPORAL A LAS FAMILIAS DE VARIAS LOCALIDADES, PARA RELOCALIZACIÓN DE HOGARES LOCALIZADOS EN ZONAS DE ALTO RIESGO NO MITIGABLE ID:2012-4-14198, LOCALIDAD:04 SAN CRISTÓBAL, UPZ:32 SAN BLAS</v>
          </cell>
          <cell r="R1347">
            <v>6483048</v>
          </cell>
          <cell r="S1347">
            <v>0</v>
          </cell>
          <cell r="T1347">
            <v>0</v>
          </cell>
          <cell r="U1347">
            <v>6483048</v>
          </cell>
          <cell r="V1347">
            <v>3989568</v>
          </cell>
        </row>
        <row r="1348">
          <cell r="J1348">
            <v>703</v>
          </cell>
          <cell r="K1348">
            <v>43136</v>
          </cell>
          <cell r="L1348" t="str">
            <v>CANDIDA GLORIA BERNAL DE RICO</v>
          </cell>
          <cell r="M1348">
            <v>31</v>
          </cell>
          <cell r="N1348" t="str">
            <v>RESOLUCION</v>
          </cell>
          <cell r="O1348">
            <v>278</v>
          </cell>
          <cell r="P1348">
            <v>43136</v>
          </cell>
          <cell r="Q1348" t="str">
            <v>AYUDA TEMPORAL A LAS FAMILIAS DE VARIAS LOCALIDADES, PARA RELOCALIZACIÓN DE HOGARES LOCALIZADOS EN ZONAS DE ALTO RIESGO NO MITIGABLE ID:2012-4-14202, LOCALIDAD:04 SAN CRISTÓBAL, UPZ:32 SAN BLAS</v>
          </cell>
          <cell r="R1348">
            <v>5746338</v>
          </cell>
          <cell r="S1348">
            <v>0</v>
          </cell>
          <cell r="T1348">
            <v>0</v>
          </cell>
          <cell r="U1348">
            <v>5746338</v>
          </cell>
          <cell r="V1348">
            <v>3094182</v>
          </cell>
        </row>
        <row r="1349">
          <cell r="J1349">
            <v>704</v>
          </cell>
          <cell r="K1349">
            <v>43136</v>
          </cell>
          <cell r="L1349" t="str">
            <v>GLORIA INES ESPINOSA DE OCAMPO</v>
          </cell>
          <cell r="M1349">
            <v>31</v>
          </cell>
          <cell r="N1349" t="str">
            <v>RESOLUCION</v>
          </cell>
          <cell r="O1349">
            <v>279</v>
          </cell>
          <cell r="P1349">
            <v>43136</v>
          </cell>
          <cell r="Q1349" t="str">
            <v>AYUDA TEMPORAL A LAS FAMILIAS DE VARIAS LOCALIDADES, PARA RELOCALIZACIÓN DE HOGARES LOCALIZADOS EN ZONAS DE ALTO RIESGO NO MITIGABLE ID:2013000562, LOCALIDAD:05 USME, UPZ:56 DANUBIO, SECTOR:HOYA DEL RAMO</v>
          </cell>
          <cell r="R1349">
            <v>3201695</v>
          </cell>
          <cell r="S1349">
            <v>457385</v>
          </cell>
          <cell r="T1349">
            <v>0</v>
          </cell>
          <cell r="U1349">
            <v>2744310</v>
          </cell>
          <cell r="V1349">
            <v>2744310</v>
          </cell>
        </row>
        <row r="1350">
          <cell r="J1350">
            <v>705</v>
          </cell>
          <cell r="K1350">
            <v>43136</v>
          </cell>
          <cell r="L1350" t="str">
            <v>LIBIA YANETH VARELA ROJAS</v>
          </cell>
          <cell r="M1350">
            <v>31</v>
          </cell>
          <cell r="N1350" t="str">
            <v>RESOLUCION</v>
          </cell>
          <cell r="O1350">
            <v>280</v>
          </cell>
          <cell r="P1350">
            <v>43136</v>
          </cell>
          <cell r="Q1350" t="str">
            <v>AYUDA TEMPORAL A LAS FAMILIAS DE VARIAS LOCALIDADES, PARA RELOCALIZACIÓN DE HOGARES LOCALIZADOS EN ZONAS DE ALTO RIESGO NO MITIGABLE ID:2010-4-11976, LOCALIDAD:04 SAN CRISTÓBAL, UPZ:32 SAN BLAS, SECTOR:OLA INVERNAL 2010 FOPAE</v>
          </cell>
          <cell r="R1350">
            <v>5754190</v>
          </cell>
          <cell r="S1350">
            <v>0</v>
          </cell>
          <cell r="T1350">
            <v>0</v>
          </cell>
          <cell r="U1350">
            <v>5754190</v>
          </cell>
          <cell r="V1350">
            <v>3541040</v>
          </cell>
        </row>
        <row r="1351">
          <cell r="J1351">
            <v>706</v>
          </cell>
          <cell r="K1351">
            <v>43136</v>
          </cell>
          <cell r="L1351" t="str">
            <v>LEIDY SUSANA OSORIO QUINTERO</v>
          </cell>
          <cell r="M1351">
            <v>31</v>
          </cell>
          <cell r="N1351" t="str">
            <v>RESOLUCION</v>
          </cell>
          <cell r="O1351">
            <v>281</v>
          </cell>
          <cell r="P1351">
            <v>43136</v>
          </cell>
          <cell r="Q1351" t="str">
            <v>AYUDA TEMPORAL A LAS FAMILIAS DE VARIAS LOCALIDADES, PARA RELOCALIZACIÓN DE HOGARES LOCALIZADOS EN ZONAS DE ALTO RIESGO NO MITIGABLE ID:2016-08-14780, LOCALIDAD:08 KENNEDY, UPZ:82 PATIO BONITO, SECTOR:PALMITAS</v>
          </cell>
          <cell r="R1351">
            <v>5946005</v>
          </cell>
          <cell r="S1351">
            <v>0</v>
          </cell>
          <cell r="T1351">
            <v>0</v>
          </cell>
          <cell r="U1351">
            <v>5946005</v>
          </cell>
          <cell r="V1351">
            <v>3659080</v>
          </cell>
        </row>
        <row r="1352">
          <cell r="J1352">
            <v>707</v>
          </cell>
          <cell r="K1352">
            <v>43136</v>
          </cell>
          <cell r="L1352" t="str">
            <v>BLANCA INES REINA PRIETO</v>
          </cell>
          <cell r="M1352">
            <v>31</v>
          </cell>
          <cell r="N1352" t="str">
            <v>RESOLUCION</v>
          </cell>
          <cell r="O1352">
            <v>282</v>
          </cell>
          <cell r="P1352">
            <v>43136</v>
          </cell>
          <cell r="Q1352" t="str">
            <v>AYUDA TEMPORAL A LAS FAMILIAS DE VARIAS LOCALIDADES, PARA RELOCALIZACIÓN DE HOGARES LOCALIZADOS EN ZONAS DE ALTO RIESGO NO MITIGABLE ID:2013-4-14607, LOCALIDAD:04 SAN CRISTÓBAL, UPZ:32 SAN BLAS</v>
          </cell>
          <cell r="R1352">
            <v>4795154</v>
          </cell>
          <cell r="S1352">
            <v>0</v>
          </cell>
          <cell r="T1352">
            <v>0</v>
          </cell>
          <cell r="U1352">
            <v>4795154</v>
          </cell>
          <cell r="V1352">
            <v>2950864</v>
          </cell>
        </row>
        <row r="1353">
          <cell r="J1353">
            <v>708</v>
          </cell>
          <cell r="K1353">
            <v>43136</v>
          </cell>
          <cell r="L1353" t="str">
            <v>MARCO TULIO PRIAS VILLABON</v>
          </cell>
          <cell r="M1353">
            <v>31</v>
          </cell>
          <cell r="N1353" t="str">
            <v>RESOLUCION</v>
          </cell>
          <cell r="O1353">
            <v>283</v>
          </cell>
          <cell r="P1353">
            <v>43136</v>
          </cell>
          <cell r="Q1353" t="str">
            <v>AYUDA TEMPORAL A LAS FAMILIAS DE VARIAS LOCALIDADES, PARA RELOCALIZACIÓN DE HOGARES LOCALIZADOS EN ZONAS DE ALTO RIESGO NO MITIGABLE ID:2014-OTR-00955, LOCALIDAD:19 CIUDAD BOLÍVAR, UPZ:67 LUCERO, SECTOR:TABOR ALTALOMA</v>
          </cell>
          <cell r="R1353">
            <v>3017000</v>
          </cell>
          <cell r="S1353">
            <v>431000</v>
          </cell>
          <cell r="T1353">
            <v>0</v>
          </cell>
          <cell r="U1353">
            <v>2586000</v>
          </cell>
          <cell r="V1353">
            <v>2586000</v>
          </cell>
        </row>
        <row r="1354">
          <cell r="J1354">
            <v>709</v>
          </cell>
          <cell r="K1354">
            <v>43136</v>
          </cell>
          <cell r="L1354" t="str">
            <v>BRANDON CAMILO VILLALOBOS HIGUERA</v>
          </cell>
          <cell r="M1354">
            <v>31</v>
          </cell>
          <cell r="N1354" t="str">
            <v>RESOLUCION</v>
          </cell>
          <cell r="O1354">
            <v>284</v>
          </cell>
          <cell r="P1354">
            <v>43136</v>
          </cell>
          <cell r="Q1354" t="str">
            <v>AYUDA TEMPORAL A LAS FAMILIAS DE VARIAS LOCALIDADES, PARA RELOCALIZACIÓN DE HOGARES LOCALIZADOS EN ZONAS DE ALTO RIESGO NO MITIGABLE ID:2016-08-14821, LOCALIDAD:08 KENNEDY, UPZ:82 PATIO BONITO, SECTOR:PALMITAS</v>
          </cell>
          <cell r="R1354">
            <v>7192744</v>
          </cell>
          <cell r="S1354">
            <v>0</v>
          </cell>
          <cell r="T1354">
            <v>0</v>
          </cell>
          <cell r="U1354">
            <v>7192744</v>
          </cell>
          <cell r="V1354">
            <v>4426304</v>
          </cell>
        </row>
        <row r="1355">
          <cell r="J1355">
            <v>710</v>
          </cell>
          <cell r="K1355">
            <v>43136</v>
          </cell>
          <cell r="L1355" t="str">
            <v>NORBERTO  GARCIA VILLEGAS</v>
          </cell>
          <cell r="M1355">
            <v>31</v>
          </cell>
          <cell r="N1355" t="str">
            <v>RESOLUCION</v>
          </cell>
          <cell r="O1355">
            <v>285</v>
          </cell>
          <cell r="P1355">
            <v>43136</v>
          </cell>
          <cell r="Q1355" t="str">
            <v>AYUDA TEMPORAL A LAS FAMILIAS DE VARIAS LOCALIDADES, PARA RELOCALIZACIÓN DE HOGARES LOCALIZADOS EN ZONAS DE ALTO RIESGO NO MITIGABLE ID:2003-19-4838, LOCALIDAD:19 CIUDAD BOLÍVAR, UPZ:69 ISMAEL PERDOMO, SECTOR:ALTOS DE LA ESTANCIA</v>
          </cell>
          <cell r="R1355">
            <v>4795154</v>
          </cell>
          <cell r="S1355">
            <v>0</v>
          </cell>
          <cell r="T1355">
            <v>0</v>
          </cell>
          <cell r="U1355">
            <v>4795154</v>
          </cell>
          <cell r="V1355">
            <v>2950864</v>
          </cell>
        </row>
        <row r="1356">
          <cell r="J1356">
            <v>711</v>
          </cell>
          <cell r="K1356">
            <v>43136</v>
          </cell>
          <cell r="L1356" t="str">
            <v>LEIDY JOHANA GUTIERREZ ABELLO</v>
          </cell>
          <cell r="M1356">
            <v>31</v>
          </cell>
          <cell r="N1356" t="str">
            <v>RESOLUCION</v>
          </cell>
          <cell r="O1356">
            <v>286</v>
          </cell>
          <cell r="P1356">
            <v>43136</v>
          </cell>
          <cell r="Q1356" t="str">
            <v>AYUDA TEMPORAL A LAS FAMILIAS DE VARIAS LOCALIDADES, PARA RELOCALIZACIÓN DE HOGARES LOCALIZADOS EN ZONAS DE ALTO RIESGO NO MITIGABLE ID:2010-19-11937, LOCALIDAD:19 CIUDAD BOLÍVAR, UPZ:67 LUCERO, SECTOR:LIMAS</v>
          </cell>
          <cell r="R1356">
            <v>2845920</v>
          </cell>
          <cell r="S1356">
            <v>406560</v>
          </cell>
          <cell r="T1356">
            <v>0</v>
          </cell>
          <cell r="U1356">
            <v>2439360</v>
          </cell>
          <cell r="V1356">
            <v>2439360</v>
          </cell>
        </row>
        <row r="1357">
          <cell r="J1357">
            <v>712</v>
          </cell>
          <cell r="K1357">
            <v>43136</v>
          </cell>
          <cell r="L1357" t="str">
            <v>JOSE ALIRIO CHIRIMIA ISMARY</v>
          </cell>
          <cell r="M1357">
            <v>31</v>
          </cell>
          <cell r="N1357" t="str">
            <v>RESOLUCION</v>
          </cell>
          <cell r="O1357">
            <v>287</v>
          </cell>
          <cell r="P1357">
            <v>43136</v>
          </cell>
          <cell r="Q1357" t="str">
            <v>AYUDA TEMPORAL A LAS FAMILIAS DE VARIAS LOCALIDADES, PARA RELOCALIZACIÓN DE HOGARES LOCALIZADOS EN ZONAS DE ALTO RIESGO NO MITIGABLE ID:2015-W166-215, LOCALIDAD:04 SAN CRISTÓBAL, UPZ:33 SOSIEGO, SECTOR:EPERARA</v>
          </cell>
          <cell r="R1357">
            <v>5525975</v>
          </cell>
          <cell r="S1357">
            <v>0</v>
          </cell>
          <cell r="T1357">
            <v>0</v>
          </cell>
          <cell r="U1357">
            <v>5525975</v>
          </cell>
          <cell r="V1357">
            <v>3400600</v>
          </cell>
        </row>
        <row r="1358">
          <cell r="J1358">
            <v>713</v>
          </cell>
          <cell r="K1358">
            <v>43136</v>
          </cell>
          <cell r="L1358" t="str">
            <v>MARIA ESMERALDA MARTINEZ</v>
          </cell>
          <cell r="M1358">
            <v>31</v>
          </cell>
          <cell r="N1358" t="str">
            <v>RESOLUCION</v>
          </cell>
          <cell r="O1358">
            <v>288</v>
          </cell>
          <cell r="P1358">
            <v>43136</v>
          </cell>
          <cell r="Q1358" t="str">
            <v>AYUDA TEMPORAL A LAS FAMILIAS DE VARIAS LOCALIDADES, PARA RELOCALIZACIÓN DE HOGARES LOCALIZADOS EN ZONAS DE ALTO RIESGO NO MITIGABLE ID:2013-Q10-00306, LOCALIDAD:19 CIUDAD BOLÍVAR, UPZ:67 LUCERO, SECTOR:PEÑA COLORADA</v>
          </cell>
          <cell r="R1358">
            <v>5361707</v>
          </cell>
          <cell r="S1358">
            <v>0</v>
          </cell>
          <cell r="T1358">
            <v>0</v>
          </cell>
          <cell r="U1358">
            <v>5361707</v>
          </cell>
          <cell r="V1358">
            <v>2474634</v>
          </cell>
        </row>
        <row r="1359">
          <cell r="J1359">
            <v>714</v>
          </cell>
          <cell r="K1359">
            <v>43136</v>
          </cell>
          <cell r="L1359" t="str">
            <v>ALBEIRO  OSORIO SARCO</v>
          </cell>
          <cell r="M1359">
            <v>31</v>
          </cell>
          <cell r="N1359" t="str">
            <v>RESOLUCION</v>
          </cell>
          <cell r="O1359">
            <v>289</v>
          </cell>
          <cell r="P1359">
            <v>43136</v>
          </cell>
          <cell r="Q1359" t="str">
            <v>AYUDA TEMPORAL A LAS FAMILIAS DE VARIAS LOCALIDADES, PARA RELOCALIZACIÓN DE HOGARES LOCALIZADOS EN ZONAS DE ALTO RIESGO NO MITIGABLE ID:2014-W166-009, LOCALIDAD:19 CIUDAD BOLÍVAR, UPZ:67 LUCERO, SECTOR:WOUNAAN</v>
          </cell>
          <cell r="R1359">
            <v>6274034</v>
          </cell>
          <cell r="S1359">
            <v>0</v>
          </cell>
          <cell r="T1359">
            <v>0</v>
          </cell>
          <cell r="U1359">
            <v>6274034</v>
          </cell>
          <cell r="V1359">
            <v>3860944</v>
          </cell>
        </row>
        <row r="1360">
          <cell r="J1360">
            <v>715</v>
          </cell>
          <cell r="K1360">
            <v>43136</v>
          </cell>
          <cell r="L1360" t="str">
            <v>JHON JAIRO MOYA PIRAZA</v>
          </cell>
          <cell r="M1360">
            <v>31</v>
          </cell>
          <cell r="N1360" t="str">
            <v>RESOLUCION</v>
          </cell>
          <cell r="O1360">
            <v>290</v>
          </cell>
          <cell r="P1360">
            <v>43136</v>
          </cell>
          <cell r="Q1360" t="str">
            <v>AYUDA TEMPORAL A LAS FAMILIAS DE VARIAS LOCALIDADES, PARA RELOCALIZACIÓN DE HOGARES LOCALIZADOS EN ZONAS DE ALTO RIESGO NO MITIGABLE ID:2014-W166-068, LOCALIDAD:19 CIUDAD BOLÍVAR, UPZ:68 EL TESORO, SECTOR:WOUNAAN</v>
          </cell>
          <cell r="R1360">
            <v>6274034</v>
          </cell>
          <cell r="S1360">
            <v>0</v>
          </cell>
          <cell r="T1360">
            <v>0</v>
          </cell>
          <cell r="U1360">
            <v>6274034</v>
          </cell>
          <cell r="V1360">
            <v>3860944</v>
          </cell>
        </row>
        <row r="1361">
          <cell r="J1361">
            <v>716</v>
          </cell>
          <cell r="K1361">
            <v>43136</v>
          </cell>
          <cell r="L1361" t="str">
            <v>MARIA NILSA GRUESO DURA</v>
          </cell>
          <cell r="M1361">
            <v>31</v>
          </cell>
          <cell r="N1361" t="str">
            <v>RESOLUCION</v>
          </cell>
          <cell r="O1361">
            <v>291</v>
          </cell>
          <cell r="P1361">
            <v>43136</v>
          </cell>
          <cell r="Q1361" t="str">
            <v>AYUDA TEMPORAL A LAS FAMILIAS DE VARIAS LOCALIDADES, PARA RELOCALIZACIÓN DE HOGARES LOCALIZADOS EN ZONAS DE ALTO RIESGO NO MITIGABLE ID:2015-W166-214, LOCALIDAD:04 SAN CRISTÓBAL, UPZ:33 SOSIEGO, SECTOR:EPERARA</v>
          </cell>
          <cell r="R1361">
            <v>5825885</v>
          </cell>
          <cell r="S1361">
            <v>0</v>
          </cell>
          <cell r="T1361">
            <v>0</v>
          </cell>
          <cell r="U1361">
            <v>5825885</v>
          </cell>
          <cell r="V1361">
            <v>3585160</v>
          </cell>
        </row>
        <row r="1362">
          <cell r="J1362">
            <v>717</v>
          </cell>
          <cell r="K1362">
            <v>43136</v>
          </cell>
          <cell r="L1362" t="str">
            <v>LIDIA RUTH DAZA BUSTOS</v>
          </cell>
          <cell r="M1362">
            <v>31</v>
          </cell>
          <cell r="N1362" t="str">
            <v>RESOLUCION</v>
          </cell>
          <cell r="O1362">
            <v>292</v>
          </cell>
          <cell r="P1362">
            <v>43136</v>
          </cell>
          <cell r="Q1362" t="str">
            <v>AYUDA TEMPORAL A LAS FAMILIAS DE VARIAS LOCALIDADES, PARA RELOCALIZACIÓN DE HOGARES LOCALIZADOS EN ZONAS DE ALTO RIESGO NO MITIGABLE ID:2014-Q04-00915, LOCALIDAD:19 CIUDAD BOLÍVAR, UPZ:67 LUCERO, SECTOR:PEÑA COLORADA</v>
          </cell>
          <cell r="R1362">
            <v>3098403</v>
          </cell>
          <cell r="S1362">
            <v>442629</v>
          </cell>
          <cell r="T1362">
            <v>0</v>
          </cell>
          <cell r="U1362">
            <v>2655774</v>
          </cell>
          <cell r="V1362">
            <v>2655774</v>
          </cell>
        </row>
        <row r="1363">
          <cell r="J1363">
            <v>718</v>
          </cell>
          <cell r="K1363">
            <v>43136</v>
          </cell>
          <cell r="L1363" t="str">
            <v>DAVID  MOÑA ISMARE</v>
          </cell>
          <cell r="M1363">
            <v>31</v>
          </cell>
          <cell r="N1363" t="str">
            <v>RESOLUCION</v>
          </cell>
          <cell r="O1363">
            <v>293</v>
          </cell>
          <cell r="P1363">
            <v>43136</v>
          </cell>
          <cell r="Q1363" t="str">
            <v>AYUDA TEMPORAL A LAS FAMILIAS DE VARIAS LOCALIDADES, PARA RELOCALIZACIÓN DE HOGARES LOCALIZADOS EN ZONAS DE ALTO RIESGO NO MITIGABLE ID:2015-W166-512, LOCALIDAD:19 CIUDAD BOLÍVAR, UPZ:67 LUCERO, SECTOR:WOUNAAN</v>
          </cell>
          <cell r="R1363">
            <v>6868797</v>
          </cell>
          <cell r="S1363">
            <v>0</v>
          </cell>
          <cell r="T1363">
            <v>0</v>
          </cell>
          <cell r="U1363">
            <v>6868797</v>
          </cell>
          <cell r="V1363">
            <v>4226952</v>
          </cell>
        </row>
        <row r="1364">
          <cell r="J1364">
            <v>719</v>
          </cell>
          <cell r="K1364">
            <v>43136</v>
          </cell>
          <cell r="L1364" t="str">
            <v>GLADYS  MUÑOZ SANTUARIO</v>
          </cell>
          <cell r="M1364">
            <v>31</v>
          </cell>
          <cell r="N1364" t="str">
            <v>RESOLUCION</v>
          </cell>
          <cell r="O1364">
            <v>275</v>
          </cell>
          <cell r="P1364">
            <v>43136</v>
          </cell>
          <cell r="Q1364" t="str">
            <v>AYUDA TEMPORAL A LAS FAMILIAS DE VARIAS LOCALIDADES, PARA RELOCALIZACIÓN DE HOGARES LOCALIZADOS EN ZONAS DE ALTO RIESGO NO MITIGABLE ID:2012-19-13937, LOCALIDAD:19 CIUDAD BOLÍVAR, UPZ:67 LUCERO</v>
          </cell>
          <cell r="R1364">
            <v>3112599</v>
          </cell>
          <cell r="S1364">
            <v>444657</v>
          </cell>
          <cell r="T1364">
            <v>0</v>
          </cell>
          <cell r="U1364">
            <v>2667942</v>
          </cell>
          <cell r="V1364">
            <v>2667942</v>
          </cell>
        </row>
        <row r="1365">
          <cell r="J1365">
            <v>720</v>
          </cell>
          <cell r="K1365">
            <v>43136</v>
          </cell>
          <cell r="L1365" t="str">
            <v>MILENA ESTELA CETINA CADENA</v>
          </cell>
          <cell r="M1365">
            <v>31</v>
          </cell>
          <cell r="N1365" t="str">
            <v>RESOLUCION</v>
          </cell>
          <cell r="O1365">
            <v>294</v>
          </cell>
          <cell r="P1365">
            <v>43136</v>
          </cell>
          <cell r="Q1365" t="str">
            <v>AYUDA TEMPORAL A LAS FAMILIAS DE VARIAS LOCALIDADES, PARA RELOCALIZACIÓN DE HOGARES LOCALIZADOS EN ZONAS DE ALTO RIESGO NO MITIGABLE ID:2013-Q09-00178, LOCALIDAD:19 CIUDAD BOLÍVAR, UPZ:67 LUCERO, SECTOR:QUEBRADA TROMPETA</v>
          </cell>
          <cell r="R1365">
            <v>5603000</v>
          </cell>
          <cell r="S1365">
            <v>4310000</v>
          </cell>
          <cell r="T1365">
            <v>0</v>
          </cell>
          <cell r="U1365">
            <v>1293000</v>
          </cell>
          <cell r="V1365">
            <v>1293000</v>
          </cell>
        </row>
        <row r="1366">
          <cell r="J1366">
            <v>721</v>
          </cell>
          <cell r="K1366">
            <v>43136</v>
          </cell>
          <cell r="L1366" t="str">
            <v>GONZALO  ROCHA</v>
          </cell>
          <cell r="M1366">
            <v>31</v>
          </cell>
          <cell r="N1366" t="str">
            <v>RESOLUCION</v>
          </cell>
          <cell r="O1366">
            <v>295</v>
          </cell>
          <cell r="P1366">
            <v>43136</v>
          </cell>
          <cell r="Q1366" t="str">
            <v>AYUDA TEMPORAL A LAS FAMILIAS DE VARIAS LOCALIDADES, PARA RELOCALIZACIÓN DE HOGARES LOCALIZADOS EN ZONAS DE ALTO RIESGO NO MITIGABLE ID:2011-18-13554, LOCALIDAD:18 RAFAEL URIBE URIBE, UPZ:54 MARRUECOS</v>
          </cell>
          <cell r="R1366">
            <v>4795154</v>
          </cell>
          <cell r="S1366">
            <v>0</v>
          </cell>
          <cell r="T1366">
            <v>0</v>
          </cell>
          <cell r="U1366">
            <v>4795154</v>
          </cell>
          <cell r="V1366">
            <v>2950864</v>
          </cell>
        </row>
        <row r="1367">
          <cell r="J1367">
            <v>722</v>
          </cell>
          <cell r="K1367">
            <v>43136</v>
          </cell>
          <cell r="L1367" t="str">
            <v>MARIA ADELA LESMES PALACIOS</v>
          </cell>
          <cell r="M1367">
            <v>31</v>
          </cell>
          <cell r="N1367" t="str">
            <v>RESOLUCION</v>
          </cell>
          <cell r="O1367">
            <v>296</v>
          </cell>
          <cell r="P1367">
            <v>43136</v>
          </cell>
          <cell r="Q1367" t="str">
            <v>AYUDA TEMPORAL A LAS FAMILIAS DE VARIAS LOCALIDADES, PARA RELOCALIZACIÓN DE HOGARES LOCALIZADOS EN ZONAS DE ALTO RIESGO NO MITIGABLE ID:2011-18-13660, LOCALIDAD:18 RAFAEL URIBE URIBE, UPZ:54 MARRUECOS</v>
          </cell>
          <cell r="R1367">
            <v>3299296</v>
          </cell>
          <cell r="S1367">
            <v>0</v>
          </cell>
          <cell r="T1367">
            <v>0</v>
          </cell>
          <cell r="U1367">
            <v>3299296</v>
          </cell>
          <cell r="V1367">
            <v>942656</v>
          </cell>
        </row>
        <row r="1368">
          <cell r="J1368">
            <v>724</v>
          </cell>
          <cell r="K1368">
            <v>43136</v>
          </cell>
          <cell r="L1368" t="str">
            <v>YUDY MARCELA CIFUENTES RODRIGUEZ</v>
          </cell>
          <cell r="M1368">
            <v>31</v>
          </cell>
          <cell r="N1368" t="str">
            <v>RESOLUCION</v>
          </cell>
          <cell r="O1368">
            <v>297</v>
          </cell>
          <cell r="P1368">
            <v>43136</v>
          </cell>
          <cell r="Q1368" t="str">
            <v>AYUDA TEMPORAL A LAS FAMILIAS DE VARIAS LOCALIDADES, PARA RELOCALIZACIÓN DE HOGARES LOCALIZADOS EN ZONAS DE ALTO RIESGO NO MITIGABLE ID:2016-08-14879, LOCALIDAD:08 KENNEDY, UPZ:82 PATIO BONITO, SECTOR:PALMITAS</v>
          </cell>
          <cell r="R1368">
            <v>5946005</v>
          </cell>
          <cell r="S1368">
            <v>3201695</v>
          </cell>
          <cell r="T1368">
            <v>0</v>
          </cell>
          <cell r="U1368">
            <v>2744310</v>
          </cell>
          <cell r="V1368">
            <v>2744310</v>
          </cell>
        </row>
        <row r="1369">
          <cell r="J1369">
            <v>725</v>
          </cell>
          <cell r="K1369">
            <v>43136</v>
          </cell>
          <cell r="L1369" t="str">
            <v>LAURY  CAICEDO MEJIA</v>
          </cell>
          <cell r="M1369">
            <v>31</v>
          </cell>
          <cell r="N1369" t="str">
            <v>RESOLUCION</v>
          </cell>
          <cell r="O1369">
            <v>298</v>
          </cell>
          <cell r="P1369">
            <v>43136</v>
          </cell>
          <cell r="Q1369" t="str">
            <v>AYUDA TEMPORAL A LAS FAMILIAS DE VARIAS LOCALIDADES, PARA RELOCALIZACIÓN DE HOGARES LOCALIZADOS EN ZONAS DE ALTO RIESGO NO MITIGABLE ID:2015-W166-523, LOCALIDAD:03 SANTA FE, UPZ:95 LAS CRUCES, SECTOR:UITOTO</v>
          </cell>
          <cell r="R1369">
            <v>7287618</v>
          </cell>
          <cell r="S1369">
            <v>0</v>
          </cell>
          <cell r="T1369">
            <v>0</v>
          </cell>
          <cell r="U1369">
            <v>7287618</v>
          </cell>
          <cell r="V1369">
            <v>4484688</v>
          </cell>
        </row>
        <row r="1370">
          <cell r="J1370">
            <v>726</v>
          </cell>
          <cell r="K1370">
            <v>43136</v>
          </cell>
          <cell r="L1370" t="str">
            <v>JAIME ALBERTO FANDIÑO FORERO</v>
          </cell>
          <cell r="M1370">
            <v>31</v>
          </cell>
          <cell r="N1370" t="str">
            <v>RESOLUCION</v>
          </cell>
          <cell r="O1370">
            <v>299</v>
          </cell>
          <cell r="P1370">
            <v>43136</v>
          </cell>
          <cell r="Q1370" t="str">
            <v>AYUDA TEMPORAL A LAS FAMILIAS DE VARIAS LOCALIDADES, PARA RELOCALIZACIÓN DE HOGARES LOCALIZADOS EN ZONAS DE ALTO RIESGO NO MITIGABLE ID:2007-4-9372, LOCALIDAD:04 SAN CRISTÓBAL, UPZ:32 SAN BLAS</v>
          </cell>
          <cell r="R1370">
            <v>5658289</v>
          </cell>
          <cell r="S1370">
            <v>0</v>
          </cell>
          <cell r="T1370">
            <v>0</v>
          </cell>
          <cell r="U1370">
            <v>5658289</v>
          </cell>
          <cell r="V1370">
            <v>3482024</v>
          </cell>
        </row>
        <row r="1371">
          <cell r="J1371">
            <v>727</v>
          </cell>
          <cell r="K1371">
            <v>43136</v>
          </cell>
          <cell r="L1371" t="str">
            <v>DIANA CAROLINA CACERES PEÑALOZA</v>
          </cell>
          <cell r="M1371">
            <v>31</v>
          </cell>
          <cell r="N1371" t="str">
            <v>RESOLUCION</v>
          </cell>
          <cell r="O1371">
            <v>300</v>
          </cell>
          <cell r="P1371">
            <v>43136</v>
          </cell>
          <cell r="Q1371" t="str">
            <v>AYUDA TEMPORAL A LAS FAMILIAS DE VARIAS LOCALIDADES, PARA RELOCALIZACIÓN DE HOGARES LOCALIZADOS EN ZONAS DE ALTO RIESGO NO MITIGABLE ID:2016-08-14788, LOCALIDAD:08 KENNEDY, UPZ:82 PATIO BONITO, SECTOR:PALMITAS</v>
          </cell>
          <cell r="R1371">
            <v>7672262</v>
          </cell>
          <cell r="S1371">
            <v>0</v>
          </cell>
          <cell r="T1371">
            <v>0</v>
          </cell>
          <cell r="U1371">
            <v>7672262</v>
          </cell>
          <cell r="V1371">
            <v>4721392</v>
          </cell>
        </row>
        <row r="1372">
          <cell r="J1372">
            <v>728</v>
          </cell>
          <cell r="K1372">
            <v>43136</v>
          </cell>
          <cell r="L1372" t="str">
            <v>BLANCA CECILIA BENAVIDES</v>
          </cell>
          <cell r="M1372">
            <v>31</v>
          </cell>
          <cell r="N1372" t="str">
            <v>RESOLUCION</v>
          </cell>
          <cell r="O1372">
            <v>301</v>
          </cell>
          <cell r="P1372">
            <v>43136</v>
          </cell>
          <cell r="Q1372" t="str">
            <v>AYUDA TEMPORAL A LAS FAMILIAS DE VARIAS LOCALIDADES, PARA RELOCALIZACIÓN DE HOGARES LOCALIZADOS EN ZONAS DE ALTO RIESGO NO MITIGABLE ID:2011-4-12708, LOCALIDAD:04 SAN CRISTÓBAL, UPZ:32 SAN BLAS</v>
          </cell>
          <cell r="R1372">
            <v>2213148</v>
          </cell>
          <cell r="S1372">
            <v>368858</v>
          </cell>
          <cell r="T1372">
            <v>0</v>
          </cell>
          <cell r="U1372">
            <v>1844290</v>
          </cell>
          <cell r="V1372">
            <v>1844290</v>
          </cell>
        </row>
        <row r="1373">
          <cell r="J1373">
            <v>729</v>
          </cell>
          <cell r="K1373">
            <v>43136</v>
          </cell>
          <cell r="L1373" t="str">
            <v>LUIS  CRUZ DELGADO</v>
          </cell>
          <cell r="M1373">
            <v>31</v>
          </cell>
          <cell r="N1373" t="str">
            <v>RESOLUCION</v>
          </cell>
          <cell r="O1373">
            <v>302</v>
          </cell>
          <cell r="P1373">
            <v>43136</v>
          </cell>
          <cell r="Q1373" t="str">
            <v>AYUDA TEMPORAL A LAS FAMILIAS DE VARIAS LOCALIDADES, PARA RELOCALIZACIÓN DE HOGARES LOCALIZADOS EN ZONAS DE ALTO RIESGO NO MITIGABLE ID:2003-19-5136, LOCALIDAD:19 CIUDAD BOLÍVAR, UPZ:69 ISMAEL PERDOMO, SECTOR:ALTOS DE LA ESTANCIA</v>
          </cell>
          <cell r="R1373">
            <v>3098412</v>
          </cell>
          <cell r="S1373">
            <v>516402</v>
          </cell>
          <cell r="T1373">
            <v>0</v>
          </cell>
          <cell r="U1373">
            <v>2582010</v>
          </cell>
          <cell r="V1373">
            <v>2582010</v>
          </cell>
        </row>
        <row r="1374">
          <cell r="J1374">
            <v>730</v>
          </cell>
          <cell r="K1374">
            <v>43136</v>
          </cell>
          <cell r="L1374" t="str">
            <v>GLORIA  SANCHEZ DE SANCHEZ</v>
          </cell>
          <cell r="M1374">
            <v>31</v>
          </cell>
          <cell r="N1374" t="str">
            <v>RESOLUCION</v>
          </cell>
          <cell r="O1374">
            <v>303</v>
          </cell>
          <cell r="P1374">
            <v>43136</v>
          </cell>
          <cell r="Q1374" t="str">
            <v>AYUDA TEMPORAL A LAS FAMILIAS DE VARIAS LOCALIDADES, PARA RELOCALIZACIÓN DE HOGARES LOCALIZADOS EN ZONAS DE ALTO RIESGO NO MITIGABLE ID:2011-4-12684, LOCALIDAD:04 SAN CRISTÓBAL, UPZ:32 SAN BLAS</v>
          </cell>
          <cell r="R1374">
            <v>2706492</v>
          </cell>
          <cell r="S1374">
            <v>451082</v>
          </cell>
          <cell r="T1374">
            <v>0</v>
          </cell>
          <cell r="U1374">
            <v>2255410</v>
          </cell>
          <cell r="V1374">
            <v>2255410</v>
          </cell>
        </row>
        <row r="1375">
          <cell r="J1375">
            <v>731</v>
          </cell>
          <cell r="K1375">
            <v>43136</v>
          </cell>
          <cell r="L1375" t="str">
            <v>ANA MILENA JIMENEZ VARGAS</v>
          </cell>
          <cell r="M1375">
            <v>31</v>
          </cell>
          <cell r="N1375" t="str">
            <v>RESOLUCION</v>
          </cell>
          <cell r="O1375">
            <v>304</v>
          </cell>
          <cell r="P1375">
            <v>43136</v>
          </cell>
          <cell r="Q1375" t="str">
            <v>AYUDA TEMPORAL A LAS FAMILIAS DE VARIAS LOCALIDADES, PARA RELOCALIZACIÓN DE HOGARES LOCALIZADOS EN ZONAS DE ALTO RIESGO NO MITIGABLE ID:2014-OTR-00867, LOCALIDAD:03 SANTA FE, UPZ:96 LOURDES, SECTOR:CASA 1</v>
          </cell>
          <cell r="R1375">
            <v>2550450</v>
          </cell>
          <cell r="S1375">
            <v>425075</v>
          </cell>
          <cell r="T1375">
            <v>0</v>
          </cell>
          <cell r="U1375">
            <v>2125375</v>
          </cell>
          <cell r="V1375">
            <v>2125375</v>
          </cell>
        </row>
        <row r="1376">
          <cell r="J1376">
            <v>732</v>
          </cell>
          <cell r="K1376">
            <v>43136</v>
          </cell>
          <cell r="L1376" t="str">
            <v>MARTHA LILIANA SANCHEZ SANCHEZ</v>
          </cell>
          <cell r="M1376">
            <v>31</v>
          </cell>
          <cell r="N1376" t="str">
            <v>RESOLUCION</v>
          </cell>
          <cell r="O1376">
            <v>305</v>
          </cell>
          <cell r="P1376">
            <v>43136</v>
          </cell>
          <cell r="Q1376" t="str">
            <v>AYUDA TEMPORAL A LAS FAMILIAS DE VARIAS LOCALIDADES, PARA RELOCALIZACIÓN DE HOGARES LOCALIZADOS EN ZONAS DE ALTO RIESGO NO MITIGABLE ID:2011-4-12673, LOCALIDAD:04 SAN CRISTÓBAL, UPZ:32 SAN BLAS</v>
          </cell>
          <cell r="R1376">
            <v>2397348</v>
          </cell>
          <cell r="S1376">
            <v>399558</v>
          </cell>
          <cell r="T1376">
            <v>0</v>
          </cell>
          <cell r="U1376">
            <v>1997790</v>
          </cell>
          <cell r="V1376">
            <v>1997790</v>
          </cell>
        </row>
        <row r="1377">
          <cell r="J1377">
            <v>733</v>
          </cell>
          <cell r="K1377">
            <v>43136</v>
          </cell>
          <cell r="L1377" t="str">
            <v>KAREN NATHALIA RODRIGUEZ MORALES</v>
          </cell>
          <cell r="M1377">
            <v>31</v>
          </cell>
          <cell r="N1377" t="str">
            <v>RESOLUCION</v>
          </cell>
          <cell r="O1377">
            <v>514</v>
          </cell>
          <cell r="P1377">
            <v>43136</v>
          </cell>
          <cell r="Q1377" t="str">
            <v>Asignacion del instrumento financiero a las familias ocupantes del predio que hayan superado la fase de verificacion dentro  del marco del Decreto 457 de 2017. LOCALIDAD: KENNEDY; BARRIO: VEREDITAS; ID: 2017-8-383893</v>
          </cell>
          <cell r="R1377">
            <v>54686940</v>
          </cell>
          <cell r="S1377">
            <v>0</v>
          </cell>
          <cell r="T1377">
            <v>0</v>
          </cell>
          <cell r="U1377">
            <v>54686940</v>
          </cell>
          <cell r="V1377">
            <v>0</v>
          </cell>
        </row>
        <row r="1378">
          <cell r="J1378">
            <v>734</v>
          </cell>
          <cell r="K1378">
            <v>43137</v>
          </cell>
          <cell r="L1378" t="str">
            <v>ORLANDO  COTRINA COTRINA</v>
          </cell>
          <cell r="M1378">
            <v>31</v>
          </cell>
          <cell r="N1378" t="str">
            <v>RESOLUCION</v>
          </cell>
          <cell r="O1378">
            <v>306</v>
          </cell>
          <cell r="P1378">
            <v>43137</v>
          </cell>
          <cell r="Q1378" t="str">
            <v>AYUDA TEMPORAL A LAS FAMILIAS DE VARIAS LOCALIDADES, PARA RELOCALIZACIÓN DE HOGARES LOCALIZADOS EN ZONAS DE ALTO RIESGO NO MITIGABLE ID:2015-Q03-03408, LOCALIDAD:19 CIUDAD BOLÍVAR, UPZ:66 SAN FRANCISCO, SECTOR:LIMAS</v>
          </cell>
          <cell r="R1378">
            <v>2301678</v>
          </cell>
          <cell r="S1378">
            <v>383613</v>
          </cell>
          <cell r="T1378">
            <v>0</v>
          </cell>
          <cell r="U1378">
            <v>1918065</v>
          </cell>
          <cell r="V1378">
            <v>1918065</v>
          </cell>
        </row>
        <row r="1379">
          <cell r="J1379">
            <v>735</v>
          </cell>
          <cell r="K1379">
            <v>43137</v>
          </cell>
          <cell r="L1379" t="str">
            <v>SANDRA PATRICIA ADAN</v>
          </cell>
          <cell r="M1379">
            <v>31</v>
          </cell>
          <cell r="N1379" t="str">
            <v>RESOLUCION</v>
          </cell>
          <cell r="O1379">
            <v>307</v>
          </cell>
          <cell r="P1379">
            <v>43137</v>
          </cell>
          <cell r="Q1379" t="str">
            <v>AYUDA TEMPORAL A LAS FAMILIAS DE VARIAS LOCALIDADES, PARA RELOCALIZACIÓN DE HOGARES LOCALIZADOS EN ZONAS DE ALTO RIESGO NO MITIGABLE ID:2014-OTR-00870, LOCALIDAD:03 SANTA FE, UPZ:96 LOURDES, SECTOR:CASA 1</v>
          </cell>
          <cell r="R1379">
            <v>3091308</v>
          </cell>
          <cell r="S1379">
            <v>515218</v>
          </cell>
          <cell r="T1379">
            <v>0</v>
          </cell>
          <cell r="U1379">
            <v>2576090</v>
          </cell>
          <cell r="V1379">
            <v>2576090</v>
          </cell>
        </row>
        <row r="1380">
          <cell r="J1380">
            <v>736</v>
          </cell>
          <cell r="K1380">
            <v>43137</v>
          </cell>
          <cell r="L1380" t="str">
            <v>DAINA JASMIN NAVARRETE</v>
          </cell>
          <cell r="M1380">
            <v>31</v>
          </cell>
          <cell r="N1380" t="str">
            <v>RESOLUCION</v>
          </cell>
          <cell r="O1380">
            <v>308</v>
          </cell>
          <cell r="P1380">
            <v>43137</v>
          </cell>
          <cell r="Q1380" t="str">
            <v>AYUDA TEMPORAL A LAS FAMILIAS DE VARIAS LOCALIDADES, PARA RELOCALIZACIÓN DE HOGARES LOCALIZADOS EN ZONAS DE ALTO RIESGO NO MITIGABLE ID:2014-OTR-00892, LOCALIDAD:03 SANTA FE, UPZ:96 LOURDES, SECTOR:CASA 3</v>
          </cell>
          <cell r="R1380">
            <v>2550450</v>
          </cell>
          <cell r="S1380">
            <v>425075</v>
          </cell>
          <cell r="T1380">
            <v>0</v>
          </cell>
          <cell r="U1380">
            <v>2125375</v>
          </cell>
          <cell r="V1380">
            <v>2125375</v>
          </cell>
        </row>
        <row r="1381">
          <cell r="J1381">
            <v>737</v>
          </cell>
          <cell r="K1381">
            <v>43137</v>
          </cell>
          <cell r="L1381" t="str">
            <v>DORYS MIREYA CAMARGO BUITRAGO</v>
          </cell>
          <cell r="M1381">
            <v>31</v>
          </cell>
          <cell r="N1381" t="str">
            <v>RESOLUCION</v>
          </cell>
          <cell r="O1381">
            <v>309</v>
          </cell>
          <cell r="P1381">
            <v>43137</v>
          </cell>
          <cell r="Q1381" t="str">
            <v>AYUDA TEMPORAL A LAS FAMILIAS DE VARIAS LOCALIDADES, PARA RELOCALIZACIÓN DE HOGARES LOCALIZADOS EN ZONAS DE ALTO RIESGO NO MITIGABLE ID:2011-4-12630, LOCALIDAD:04 SAN CRISTÓBAL, UPZ:32 SAN BLAS</v>
          </cell>
          <cell r="R1381">
            <v>2213148</v>
          </cell>
          <cell r="S1381">
            <v>368858</v>
          </cell>
          <cell r="T1381">
            <v>0</v>
          </cell>
          <cell r="U1381">
            <v>1844290</v>
          </cell>
          <cell r="V1381">
            <v>1844290</v>
          </cell>
        </row>
        <row r="1382">
          <cell r="J1382">
            <v>738</v>
          </cell>
          <cell r="K1382">
            <v>43137</v>
          </cell>
          <cell r="L1382" t="str">
            <v>ANGEL IGNACIO GARZON HERNANDEZ</v>
          </cell>
          <cell r="M1382">
            <v>31</v>
          </cell>
          <cell r="N1382" t="str">
            <v>RESOLUCION</v>
          </cell>
          <cell r="O1382">
            <v>310</v>
          </cell>
          <cell r="P1382">
            <v>43137</v>
          </cell>
          <cell r="Q1382" t="str">
            <v>AYUDA TEMPORAL A LAS FAMILIAS DE VARIAS LOCALIDADES, PARA RELOCALIZACIÓN DE HOGARES LOCALIZADOS EN ZONAS DE ALTO RIESGO NO MITIGABLE ID:2011-4-12704, LOCALIDAD:04 SAN CRISTÓBAL, UPZ:32 SAN BLAS</v>
          </cell>
          <cell r="R1382">
            <v>2213148</v>
          </cell>
          <cell r="S1382">
            <v>368858</v>
          </cell>
          <cell r="T1382">
            <v>0</v>
          </cell>
          <cell r="U1382">
            <v>1844290</v>
          </cell>
          <cell r="V1382">
            <v>1844290</v>
          </cell>
        </row>
        <row r="1383">
          <cell r="J1383">
            <v>739</v>
          </cell>
          <cell r="K1383">
            <v>43137</v>
          </cell>
          <cell r="L1383" t="str">
            <v>MABEL YADIRA ABRIL</v>
          </cell>
          <cell r="M1383">
            <v>31</v>
          </cell>
          <cell r="N1383" t="str">
            <v>RESOLUCION</v>
          </cell>
          <cell r="O1383">
            <v>311</v>
          </cell>
          <cell r="P1383">
            <v>43137</v>
          </cell>
          <cell r="Q1383" t="str">
            <v>AYUDA TEMPORAL A LAS FAMILIAS DE VARIAS LOCALIDADES, PARA RELOCALIZACIÓN DE HOGARES LOCALIZADOS EN ZONAS DE ALTO RIESGO NO MITIGABLE ID:2015-OTR-01307, LOCALIDAD:19 CIUDAD BOLÍVAR, UPZ:68 EL TESORO, SECTOR:QUEBRADA TROMPETA</v>
          </cell>
          <cell r="R1383">
            <v>2975382</v>
          </cell>
          <cell r="S1383">
            <v>495897</v>
          </cell>
          <cell r="T1383">
            <v>0</v>
          </cell>
          <cell r="U1383">
            <v>2479485</v>
          </cell>
          <cell r="V1383">
            <v>2479485</v>
          </cell>
        </row>
        <row r="1384">
          <cell r="J1384">
            <v>740</v>
          </cell>
          <cell r="K1384">
            <v>43137</v>
          </cell>
          <cell r="L1384" t="str">
            <v>YURI ALEJANDRA VISCAYA COPAJITA</v>
          </cell>
          <cell r="M1384">
            <v>31</v>
          </cell>
          <cell r="N1384" t="str">
            <v>RESOLUCION</v>
          </cell>
          <cell r="O1384">
            <v>312</v>
          </cell>
          <cell r="P1384">
            <v>43137</v>
          </cell>
          <cell r="Q1384" t="str">
            <v>AYUDA TEMPORAL A LAS FAMILIAS DE VARIAS LOCALIDADES, PARA RELOCALIZACIÓN DE HOGARES LOCALIZADOS EN ZONAS DE ALTO RIESGO NO MITIGABLE ID:2014-OTR-01214, LOCALIDAD:11 SUBA, UPZ:71 TIBABUYES, SECTOR:GAVILANES</v>
          </cell>
          <cell r="R1384">
            <v>2550450</v>
          </cell>
          <cell r="S1384">
            <v>425075</v>
          </cell>
          <cell r="T1384">
            <v>0</v>
          </cell>
          <cell r="U1384">
            <v>2125375</v>
          </cell>
          <cell r="V1384">
            <v>2125375</v>
          </cell>
        </row>
        <row r="1385">
          <cell r="J1385">
            <v>741</v>
          </cell>
          <cell r="K1385">
            <v>43137</v>
          </cell>
          <cell r="L1385" t="str">
            <v>DIEGO FERNANDO TOCANCIPA CORREA</v>
          </cell>
          <cell r="M1385">
            <v>31</v>
          </cell>
          <cell r="N1385" t="str">
            <v>RESOLUCION</v>
          </cell>
          <cell r="O1385">
            <v>313</v>
          </cell>
          <cell r="P1385">
            <v>43137</v>
          </cell>
          <cell r="Q1385" t="str">
            <v>AYUDA TEMPORAL A LAS FAMILIAS DE VARIAS LOCALIDADES, PARA RELOCALIZACIÓN DE HOGARES LOCALIZADOS EN ZONAS DE ALTO RIESGO NO MITIGABLE ID:2016-4-00007, LOCALIDAD:04 SAN CRISTÓBAL, UPZ:32 SAN BLAS, SECTOR:TRIANGULO ALTO</v>
          </cell>
          <cell r="R1385">
            <v>2788572</v>
          </cell>
          <cell r="S1385">
            <v>464762</v>
          </cell>
          <cell r="T1385">
            <v>0</v>
          </cell>
          <cell r="U1385">
            <v>2323810</v>
          </cell>
          <cell r="V1385">
            <v>2323810</v>
          </cell>
        </row>
        <row r="1386">
          <cell r="J1386">
            <v>742</v>
          </cell>
          <cell r="K1386">
            <v>43137</v>
          </cell>
          <cell r="L1386" t="str">
            <v>LEONARDO FABIO ROJAS PEREZ</v>
          </cell>
          <cell r="M1386">
            <v>31</v>
          </cell>
          <cell r="N1386" t="str">
            <v>RESOLUCION</v>
          </cell>
          <cell r="O1386">
            <v>314</v>
          </cell>
          <cell r="P1386">
            <v>43137</v>
          </cell>
          <cell r="Q1386" t="str">
            <v>AYUDA TEMPORAL A LAS FAMILIAS DE VARIAS LOCALIDADES, PARA RELOCALIZACIÓN DE HOGARES LOCALIZADOS EN ZONAS DE ALTO RIESGO NO MITIGABLE ID:2014-OTR-00894, LOCALIDAD:03 SANTA FE, UPZ:96 LOURDES, SECTOR:CASA 3</v>
          </cell>
          <cell r="R1386">
            <v>3183744</v>
          </cell>
          <cell r="S1386">
            <v>530624</v>
          </cell>
          <cell r="T1386">
            <v>0</v>
          </cell>
          <cell r="U1386">
            <v>2653120</v>
          </cell>
          <cell r="V1386">
            <v>2653120</v>
          </cell>
        </row>
        <row r="1387">
          <cell r="J1387">
            <v>743</v>
          </cell>
          <cell r="K1387">
            <v>43137</v>
          </cell>
          <cell r="L1387" t="str">
            <v>CAMPO ELIAS VELASCO DUARTE</v>
          </cell>
          <cell r="M1387">
            <v>31</v>
          </cell>
          <cell r="N1387" t="str">
            <v>RESOLUCION</v>
          </cell>
          <cell r="O1387">
            <v>315</v>
          </cell>
          <cell r="P1387">
            <v>43137</v>
          </cell>
          <cell r="Q1387" t="str">
            <v>AYUDA TEMPORAL A LAS FAMILIAS DE VARIAS LOCALIDADES, PARA RELOCALIZACIÓN DE HOGARES LOCALIZADOS EN ZONAS DE ALTO RIESGO NO MITIGABLE ID:2014-OTR-01213, LOCALIDAD:11 SUBA, UPZ:71 TIBABUYES, SECTOR:GAVILANES</v>
          </cell>
          <cell r="R1387">
            <v>2586000</v>
          </cell>
          <cell r="S1387">
            <v>431000</v>
          </cell>
          <cell r="T1387">
            <v>0</v>
          </cell>
          <cell r="U1387">
            <v>2155000</v>
          </cell>
          <cell r="V1387">
            <v>2155000</v>
          </cell>
        </row>
        <row r="1388">
          <cell r="J1388">
            <v>744</v>
          </cell>
          <cell r="K1388">
            <v>43137</v>
          </cell>
          <cell r="L1388" t="str">
            <v>ROSA CECILIA LOPEZ PATARROYO</v>
          </cell>
          <cell r="M1388">
            <v>31</v>
          </cell>
          <cell r="N1388" t="str">
            <v>RESOLUCION</v>
          </cell>
          <cell r="O1388">
            <v>316</v>
          </cell>
          <cell r="P1388">
            <v>43137</v>
          </cell>
          <cell r="Q1388" t="str">
            <v>AYUDA TEMPORAL A LAS FAMILIAS DE VARIAS LOCALIDADES, PARA RELOCALIZACIÓN DE HOGARES LOCALIZADOS EN ZONAS DE ALTO RIESGO NO MITIGABLE ID:2014-OTR-00885, LOCALIDAD:03 SANTA FE, UPZ:96 LOURDES, SECTOR:CASA 2</v>
          </cell>
          <cell r="R1388">
            <v>2551518</v>
          </cell>
          <cell r="S1388">
            <v>425253</v>
          </cell>
          <cell r="T1388">
            <v>0</v>
          </cell>
          <cell r="U1388">
            <v>2126265</v>
          </cell>
          <cell r="V1388">
            <v>2126265</v>
          </cell>
        </row>
        <row r="1389">
          <cell r="J1389">
            <v>745</v>
          </cell>
          <cell r="K1389">
            <v>43137</v>
          </cell>
          <cell r="L1389" t="str">
            <v>MARTHA PATRICIA JIMENEZ</v>
          </cell>
          <cell r="M1389">
            <v>31</v>
          </cell>
          <cell r="N1389" t="str">
            <v>RESOLUCION</v>
          </cell>
          <cell r="O1389">
            <v>317</v>
          </cell>
          <cell r="P1389">
            <v>43137</v>
          </cell>
          <cell r="Q1389" t="str">
            <v>AYUDA TEMPORAL A LAS FAMILIAS DE VARIAS LOCALIDADES, PARA RELOCALIZACIÓN DE HOGARES LOCALIZADOS EN ZONAS DE ALTO RIESGO NO MITIGABLE ID:2007-2-10155, LOCALIDAD:02 CHAPINERO, UPZ:89 SAN ISIDRO PATIOS</v>
          </cell>
          <cell r="R1389">
            <v>2586000</v>
          </cell>
          <cell r="S1389">
            <v>431000</v>
          </cell>
          <cell r="T1389">
            <v>0</v>
          </cell>
          <cell r="U1389">
            <v>2155000</v>
          </cell>
          <cell r="V1389">
            <v>2155000</v>
          </cell>
        </row>
        <row r="1390">
          <cell r="J1390">
            <v>746</v>
          </cell>
          <cell r="K1390">
            <v>43137</v>
          </cell>
          <cell r="L1390" t="str">
            <v>MORELIA  CANO</v>
          </cell>
          <cell r="M1390">
            <v>31</v>
          </cell>
          <cell r="N1390" t="str">
            <v>RESOLUCION</v>
          </cell>
          <cell r="O1390">
            <v>318</v>
          </cell>
          <cell r="P1390">
            <v>43137</v>
          </cell>
          <cell r="Q1390" t="str">
            <v>AYUDA TEMPORAL A LAS FAMILIAS DE VARIAS LOCALIDADES, PARA RELOCALIZACIÓN DE HOGARES LOCALIZADOS EN ZONAS DE ALTO RIESGO NO MITIGABLE ID:2011-4-12639, LOCALIDAD:04 SAN CRISTÓBAL, UPZ:32 SAN BLAS</v>
          </cell>
          <cell r="R1390">
            <v>2213148</v>
          </cell>
          <cell r="S1390">
            <v>368858</v>
          </cell>
          <cell r="T1390">
            <v>0</v>
          </cell>
          <cell r="U1390">
            <v>1844290</v>
          </cell>
          <cell r="V1390">
            <v>1844290</v>
          </cell>
        </row>
        <row r="1391">
          <cell r="J1391">
            <v>747</v>
          </cell>
          <cell r="K1391">
            <v>43137</v>
          </cell>
          <cell r="L1391" t="str">
            <v>DORIS ALICIA MARIÑO URIBE</v>
          </cell>
          <cell r="M1391">
            <v>31</v>
          </cell>
          <cell r="N1391" t="str">
            <v>RESOLUCION</v>
          </cell>
          <cell r="O1391">
            <v>319</v>
          </cell>
          <cell r="P1391">
            <v>43137</v>
          </cell>
          <cell r="Q1391" t="str">
            <v>AYUDA TEMPORAL A LAS FAMILIAS DE VARIAS LOCALIDADES, PARA RELOCALIZACIÓN DE HOGARES LOCALIZADOS EN ZONAS DE ALTO RIESGO NO MITIGABLE ID:2005-4-6467, LOCALIDAD:04 SAN CRISTÓBAL, UPZ:51 LOS LIBERTADORES</v>
          </cell>
          <cell r="R1391">
            <v>2301678</v>
          </cell>
          <cell r="S1391">
            <v>383613</v>
          </cell>
          <cell r="T1391">
            <v>0</v>
          </cell>
          <cell r="U1391">
            <v>1918065</v>
          </cell>
          <cell r="V1391">
            <v>1918065</v>
          </cell>
        </row>
        <row r="1392">
          <cell r="J1392">
            <v>748</v>
          </cell>
          <cell r="K1392">
            <v>43137</v>
          </cell>
          <cell r="L1392" t="str">
            <v>ANGELINA  CARRILLO LASSO</v>
          </cell>
          <cell r="M1392">
            <v>31</v>
          </cell>
          <cell r="N1392" t="str">
            <v>RESOLUCION</v>
          </cell>
          <cell r="O1392">
            <v>320</v>
          </cell>
          <cell r="P1392">
            <v>43137</v>
          </cell>
          <cell r="Q1392" t="str">
            <v>AYUDA TEMPORAL A LAS FAMILIAS DE VARIAS LOCALIDADES, PARA RELOCALIZACIÓN DE HOGARES LOCALIZADOS EN ZONAS DE ALTO RIESGO NO MITIGABLE ID:2014-Q03-01007, LOCALIDAD:19 CIUDAD BOLÍVAR, UPZ:66 SAN FRANCISCO, SECTOR:LIMAS</v>
          </cell>
          <cell r="R1392">
            <v>2706270</v>
          </cell>
          <cell r="S1392">
            <v>451045</v>
          </cell>
          <cell r="T1392">
            <v>0</v>
          </cell>
          <cell r="U1392">
            <v>2255225</v>
          </cell>
          <cell r="V1392">
            <v>2255225</v>
          </cell>
        </row>
        <row r="1393">
          <cell r="J1393">
            <v>749</v>
          </cell>
          <cell r="K1393">
            <v>43137</v>
          </cell>
          <cell r="L1393" t="str">
            <v>LUIS ALFREDO RODRIGUEZ GAVILAN</v>
          </cell>
          <cell r="M1393">
            <v>31</v>
          </cell>
          <cell r="N1393" t="str">
            <v>RESOLUCION</v>
          </cell>
          <cell r="O1393">
            <v>321</v>
          </cell>
          <cell r="P1393">
            <v>43137</v>
          </cell>
          <cell r="Q1393" t="str">
            <v>AYUDA TEMPORAL A LAS FAMILIAS DE VARIAS LOCALIDADES, PARA RELOCALIZACIÓN DE HOGARES LOCALIZADOS EN ZONAS DE ALTO RIESGO NO MITIGABLE ID:2015-OTR-01446, LOCALIDAD:02 CHAPINERO, UPZ:90 PARDO RUBIO</v>
          </cell>
          <cell r="R1393">
            <v>2586000</v>
          </cell>
          <cell r="S1393">
            <v>0</v>
          </cell>
          <cell r="T1393">
            <v>0</v>
          </cell>
          <cell r="U1393">
            <v>2586000</v>
          </cell>
          <cell r="V1393">
            <v>1724000</v>
          </cell>
        </row>
        <row r="1394">
          <cell r="J1394">
            <v>750</v>
          </cell>
          <cell r="K1394">
            <v>43137</v>
          </cell>
          <cell r="L1394" t="str">
            <v>HUMBERTO  VELANDIA</v>
          </cell>
          <cell r="M1394">
            <v>31</v>
          </cell>
          <cell r="N1394" t="str">
            <v>RESOLUCION</v>
          </cell>
          <cell r="O1394">
            <v>331</v>
          </cell>
          <cell r="P1394">
            <v>43137</v>
          </cell>
          <cell r="Q1394" t="str">
            <v>AYUDA TEMPORAL A LAS FAMILIAS DE VARIAS LOCALIDADES, PARA RELOCALIZACIÓN DE HOGARES LOCALIZADOS EN ZONAS DE ALTO RIESGO NO MITIGABLE ID:2013000176, LOCALIDAD:04 SAN CRISTÓBAL, UPZ:51 LOS LIBERTADORES, SECTOR:QUEBRADA VEREJONES</v>
          </cell>
          <cell r="R1394">
            <v>3563175</v>
          </cell>
          <cell r="S1394">
            <v>0</v>
          </cell>
          <cell r="T1394">
            <v>0</v>
          </cell>
          <cell r="U1394">
            <v>3563175</v>
          </cell>
          <cell r="V1394">
            <v>2036100</v>
          </cell>
        </row>
        <row r="1395">
          <cell r="J1395">
            <v>751</v>
          </cell>
          <cell r="K1395">
            <v>43137</v>
          </cell>
          <cell r="L1395" t="str">
            <v>GLADYS  JOAQUI DIAZ</v>
          </cell>
          <cell r="M1395">
            <v>31</v>
          </cell>
          <cell r="N1395" t="str">
            <v>RESOLUCION</v>
          </cell>
          <cell r="O1395">
            <v>322</v>
          </cell>
          <cell r="P1395">
            <v>43137</v>
          </cell>
          <cell r="Q1395" t="str">
            <v>AYUDA TEMPORAL A LAS FAMILIAS DE VARIAS LOCALIDADES, PARA RELOCALIZACIÓN DE HOGARES LOCALIZADOS EN ZONAS DE ALTO RIESGO NO MITIGABLE ID:2002-4-2711, LOCALIDAD:04 SAN CRISTÓBAL, UPZ:32 SAN BLAS</v>
          </cell>
          <cell r="R1395">
            <v>2899932</v>
          </cell>
          <cell r="S1395">
            <v>483322</v>
          </cell>
          <cell r="T1395">
            <v>0</v>
          </cell>
          <cell r="U1395">
            <v>2416610</v>
          </cell>
          <cell r="V1395">
            <v>2416610</v>
          </cell>
        </row>
        <row r="1396">
          <cell r="J1396">
            <v>752</v>
          </cell>
          <cell r="K1396">
            <v>43137</v>
          </cell>
          <cell r="L1396" t="str">
            <v>JOSE IGNACIO TORRES HORTA</v>
          </cell>
          <cell r="M1396">
            <v>31</v>
          </cell>
          <cell r="N1396" t="str">
            <v>RESOLUCION</v>
          </cell>
          <cell r="O1396">
            <v>520</v>
          </cell>
          <cell r="P1396">
            <v>43137</v>
          </cell>
          <cell r="Q1396" t="str">
            <v>VUR de la actual vigencia de acuerdo con el Decreto 255 de 2013. LOCALIDAD: CIUDAD BOLIVAR; BARRIO:EL MIRADOR 3; ID: 2017-19-14976</v>
          </cell>
          <cell r="R1396">
            <v>39062100</v>
          </cell>
          <cell r="S1396">
            <v>0</v>
          </cell>
          <cell r="T1396">
            <v>0</v>
          </cell>
          <cell r="U1396">
            <v>39062100</v>
          </cell>
          <cell r="V1396">
            <v>39062100</v>
          </cell>
        </row>
        <row r="1397">
          <cell r="J1397">
            <v>759</v>
          </cell>
          <cell r="K1397">
            <v>43137</v>
          </cell>
          <cell r="L1397" t="str">
            <v>FRANKLIN HUMBERTO LEON CASTAÑEDA</v>
          </cell>
          <cell r="M1397">
            <v>31</v>
          </cell>
          <cell r="N1397" t="str">
            <v>RESOLUCION</v>
          </cell>
          <cell r="O1397">
            <v>425</v>
          </cell>
          <cell r="P1397">
            <v>43137</v>
          </cell>
          <cell r="Q1397" t="str">
            <v>AYUDA TEMPORAL A LAS FAMILIAS DE VARIAS LOCALIDADES, PARA RELOCALIZACIÓN DE HOGARES LOCALIZADOS EN ZONAS DE ALTO RIESGO NO MITIGABLE ID:2015-D227-00034, LOCALIDAD:04 SAN CRISTÓBAL, UPZ:51 LOS LIBERTADORES, SECTOR:SANTA TERESITA</v>
          </cell>
          <cell r="R1397">
            <v>4687452</v>
          </cell>
          <cell r="S1397">
            <v>0</v>
          </cell>
          <cell r="T1397">
            <v>0</v>
          </cell>
          <cell r="U1397">
            <v>4687452</v>
          </cell>
          <cell r="V1397">
            <v>2734347</v>
          </cell>
        </row>
        <row r="1398">
          <cell r="J1398">
            <v>760</v>
          </cell>
          <cell r="K1398">
            <v>43137</v>
          </cell>
          <cell r="L1398" t="str">
            <v>MARIA EUGENIA BELTRAN HERNANDEZ</v>
          </cell>
          <cell r="M1398">
            <v>31</v>
          </cell>
          <cell r="N1398" t="str">
            <v>RESOLUCION</v>
          </cell>
          <cell r="O1398">
            <v>426</v>
          </cell>
          <cell r="P1398">
            <v>43137</v>
          </cell>
          <cell r="Q1398" t="str">
            <v>AYUDA TEMPORAL A LAS FAMILIAS DE VARIAS LOCALIDADES, PARA RELOCALIZACIÓN DE HOGARES LOCALIZADOS EN ZONAS DE ALTO RIESGO NO MITIGABLE ID:2011-4-12654, LOCALIDAD:04 SAN CRISTÓBAL, UPZ:32 SAN BLAS</v>
          </cell>
          <cell r="R1398">
            <v>3233538</v>
          </cell>
          <cell r="S1398">
            <v>461934</v>
          </cell>
          <cell r="T1398">
            <v>0</v>
          </cell>
          <cell r="U1398">
            <v>2771604</v>
          </cell>
          <cell r="V1398">
            <v>2771604</v>
          </cell>
        </row>
        <row r="1399">
          <cell r="J1399">
            <v>761</v>
          </cell>
          <cell r="K1399">
            <v>43137</v>
          </cell>
          <cell r="L1399" t="str">
            <v>JEISSON EDUARDO ESPITIA SAGANOME</v>
          </cell>
          <cell r="M1399">
            <v>31</v>
          </cell>
          <cell r="N1399" t="str">
            <v>RESOLUCION</v>
          </cell>
          <cell r="O1399">
            <v>427</v>
          </cell>
          <cell r="P1399">
            <v>43137</v>
          </cell>
          <cell r="Q1399" t="str">
            <v>AYUDA TEMPORAL A LAS FAMILIAS DE VARIAS LOCALIDADES, PARA RELOCALIZACIÓN DE HOGARES LOCALIZADOS EN ZONAS DE ALTO RIESGO NO MITIGABLE ID:2014-OTR-01132, LOCALIDAD:11 SUBA, UPZ:71 TIBABUYES, SECTOR:GAVILANES</v>
          </cell>
          <cell r="R1399">
            <v>2582006</v>
          </cell>
          <cell r="S1399">
            <v>0</v>
          </cell>
          <cell r="T1399">
            <v>0</v>
          </cell>
          <cell r="U1399">
            <v>2582006</v>
          </cell>
          <cell r="V1399">
            <v>1106574</v>
          </cell>
        </row>
        <row r="1400">
          <cell r="J1400">
            <v>762</v>
          </cell>
          <cell r="K1400">
            <v>43137</v>
          </cell>
          <cell r="L1400" t="str">
            <v>RUBELIA  JARAMILLO ATEHORTUA</v>
          </cell>
          <cell r="M1400">
            <v>31</v>
          </cell>
          <cell r="N1400" t="str">
            <v>RESOLUCION</v>
          </cell>
          <cell r="O1400">
            <v>428</v>
          </cell>
          <cell r="P1400">
            <v>43137</v>
          </cell>
          <cell r="Q1400" t="str">
            <v>AYUDA TEMPORAL A LAS FAMILIAS DE VARIAS LOCALIDADES, PARA RELOCALIZACIÓN DE HOGARES LOCALIZADOS EN ZONAS DE ALTO RIESGO NO MITIGABLE ID:2014-C01-00687, LOCALIDAD:19 CIUDAD BOLÍVAR, UPZ:68 EL TESORO</v>
          </cell>
          <cell r="R1400">
            <v>2846046</v>
          </cell>
          <cell r="S1400">
            <v>406578</v>
          </cell>
          <cell r="T1400">
            <v>0</v>
          </cell>
          <cell r="U1400">
            <v>2439468</v>
          </cell>
          <cell r="V1400">
            <v>2439468</v>
          </cell>
        </row>
        <row r="1401">
          <cell r="J1401">
            <v>763</v>
          </cell>
          <cell r="K1401">
            <v>43137</v>
          </cell>
          <cell r="L1401" t="str">
            <v>EDWAR DAVID CANDUCHO TAPIERO</v>
          </cell>
          <cell r="M1401">
            <v>31</v>
          </cell>
          <cell r="N1401" t="str">
            <v>RESOLUCION</v>
          </cell>
          <cell r="O1401">
            <v>429</v>
          </cell>
          <cell r="P1401">
            <v>43137</v>
          </cell>
          <cell r="Q1401" t="str">
            <v>AYUDA TEMPORAL A LAS FAMILIAS DE VARIAS LOCALIDADES, PARA RELOCALIZACIÓN DE HOGARES LOCALIZADOS EN ZONAS DE ALTO RIESGO NO MITIGABLE ID:2006-19-8409, LOCALIDAD:19 CIUDAD BOLÍVAR, UPZ:67 LUCERO</v>
          </cell>
          <cell r="R1401">
            <v>6032013</v>
          </cell>
          <cell r="S1401">
            <v>0</v>
          </cell>
          <cell r="T1401">
            <v>0</v>
          </cell>
          <cell r="U1401">
            <v>6032013</v>
          </cell>
          <cell r="V1401">
            <v>3712008</v>
          </cell>
        </row>
        <row r="1402">
          <cell r="J1402">
            <v>764</v>
          </cell>
          <cell r="K1402">
            <v>43137</v>
          </cell>
          <cell r="L1402" t="str">
            <v>SANDRA JAKELINE FORERO</v>
          </cell>
          <cell r="M1402">
            <v>31</v>
          </cell>
          <cell r="N1402" t="str">
            <v>RESOLUCION</v>
          </cell>
          <cell r="O1402">
            <v>372</v>
          </cell>
          <cell r="P1402">
            <v>43137</v>
          </cell>
          <cell r="Q1402" t="str">
            <v>AYUDA TEMPORAL A LAS FAMILIAS DE VARIAS LOCALIDADES, PARA RELOCALIZACIÓN DE HOGARES LOCALIZADOS EN ZONAS DE ALTO RIESGO NO MITIGABLE ID:2016-08-14822, LOCALIDAD:08 KENNEDY, UPZ:82 PATIO BONITO, SECTOR:PALMITAS</v>
          </cell>
          <cell r="R1402">
            <v>6086168</v>
          </cell>
          <cell r="S1402">
            <v>0</v>
          </cell>
          <cell r="T1402">
            <v>0</v>
          </cell>
          <cell r="U1402">
            <v>6086168</v>
          </cell>
          <cell r="V1402">
            <v>3873016</v>
          </cell>
        </row>
        <row r="1403">
          <cell r="J1403">
            <v>765</v>
          </cell>
          <cell r="K1403">
            <v>43137</v>
          </cell>
          <cell r="L1403" t="str">
            <v>PASTOR  ALBARRACIN ALBARRACIN</v>
          </cell>
          <cell r="M1403">
            <v>31</v>
          </cell>
          <cell r="N1403" t="str">
            <v>RESOLUCION</v>
          </cell>
          <cell r="O1403">
            <v>373</v>
          </cell>
          <cell r="P1403">
            <v>43137</v>
          </cell>
          <cell r="Q1403" t="str">
            <v>AYUDA TEMPORAL A LAS FAMILIAS DE VARIAS LOCALIDADES, PARA RELOCALIZACIÓN DE HOGARES LOCALIZADOS EN ZONAS DE ALTO RIESGO NO MITIGABLE ID:2011-19-13698, LOCALIDAD:19 CIUDAD BOLÍVAR, UPZ:67 LUCERO</v>
          </cell>
          <cell r="R1403">
            <v>5108857</v>
          </cell>
          <cell r="S1403">
            <v>0</v>
          </cell>
          <cell r="T1403">
            <v>0</v>
          </cell>
          <cell r="U1403">
            <v>5108857</v>
          </cell>
          <cell r="V1403">
            <v>3143912</v>
          </cell>
        </row>
        <row r="1404">
          <cell r="J1404">
            <v>766</v>
          </cell>
          <cell r="K1404">
            <v>43137</v>
          </cell>
          <cell r="L1404" t="str">
            <v>FLOR MYRIAM CORREA CORREA</v>
          </cell>
          <cell r="M1404">
            <v>31</v>
          </cell>
          <cell r="N1404" t="str">
            <v>RESOLUCION</v>
          </cell>
          <cell r="O1404">
            <v>374</v>
          </cell>
          <cell r="P1404">
            <v>43137</v>
          </cell>
          <cell r="Q1404" t="str">
            <v>AYUDA TEMPORAL A LAS FAMILIAS DE VARIAS LOCALIDADES, PARA RELOCALIZACIÓN DE HOGARES LOCALIZADOS EN ZONAS DE ALTO RIESGO NO MITIGABLE ID:2013-Q04-00757, LOCALIDAD:19 CIUDAD BOLÍVAR, UPZ:67 LUCERO, SECTOR:PEÑA COLORADA</v>
          </cell>
          <cell r="R1404">
            <v>3619000</v>
          </cell>
          <cell r="S1404">
            <v>517000</v>
          </cell>
          <cell r="T1404">
            <v>0</v>
          </cell>
          <cell r="U1404">
            <v>3102000</v>
          </cell>
          <cell r="V1404">
            <v>3102000</v>
          </cell>
        </row>
        <row r="1405">
          <cell r="J1405">
            <v>767</v>
          </cell>
          <cell r="K1405">
            <v>43137</v>
          </cell>
          <cell r="L1405" t="str">
            <v>JUAN DAVID LOPEZ</v>
          </cell>
          <cell r="M1405">
            <v>31</v>
          </cell>
          <cell r="N1405" t="str">
            <v>RESOLUCION</v>
          </cell>
          <cell r="O1405">
            <v>375</v>
          </cell>
          <cell r="P1405">
            <v>43137</v>
          </cell>
          <cell r="Q1405" t="str">
            <v>AYUDA TEMPORAL A LAS FAMILIAS DE VARIAS LOCALIDADES, PARA RELOCALIZACIÓN DE HOGARES LOCALIZADOS EN ZONAS DE ALTO RIESGO NO MITIGABLE ID:2012-19-13786, LOCALIDAD:19 CIUDAD BOLÍVAR, UPZ:67 LUCERO</v>
          </cell>
          <cell r="R1405">
            <v>2924376</v>
          </cell>
          <cell r="S1405">
            <v>417768</v>
          </cell>
          <cell r="T1405">
            <v>0</v>
          </cell>
          <cell r="U1405">
            <v>2506608</v>
          </cell>
          <cell r="V1405">
            <v>2506608</v>
          </cell>
        </row>
        <row r="1406">
          <cell r="J1406">
            <v>768</v>
          </cell>
          <cell r="K1406">
            <v>43137</v>
          </cell>
          <cell r="L1406" t="str">
            <v>ORFILIA  LEON BAQUERO</v>
          </cell>
          <cell r="M1406">
            <v>31</v>
          </cell>
          <cell r="N1406" t="str">
            <v>RESOLUCION</v>
          </cell>
          <cell r="O1406">
            <v>376</v>
          </cell>
          <cell r="P1406">
            <v>43137</v>
          </cell>
          <cell r="Q1406" t="str">
            <v>AYUDA TEMPORAL A LAS FAMILIAS DE VARIAS LOCALIDADES, PARA RELOCALIZACIÓN DE HOGARES LOCALIZADOS EN ZONAS DE ALTO RIESGO NO MITIGABLE ID:2016-08-14816, LOCALIDAD:08 KENNEDY, UPZ:82 PATIO BONITO, SECTOR:PALMITAS</v>
          </cell>
          <cell r="R1406">
            <v>2840208</v>
          </cell>
          <cell r="S1406">
            <v>405744</v>
          </cell>
          <cell r="T1406">
            <v>0</v>
          </cell>
          <cell r="U1406">
            <v>2434464</v>
          </cell>
          <cell r="V1406">
            <v>2434464</v>
          </cell>
        </row>
        <row r="1407">
          <cell r="J1407">
            <v>769</v>
          </cell>
          <cell r="K1407">
            <v>43137</v>
          </cell>
          <cell r="L1407" t="str">
            <v>ADRIANA  BARRANTES GONZALEZ</v>
          </cell>
          <cell r="M1407">
            <v>31</v>
          </cell>
          <cell r="N1407" t="str">
            <v>RESOLUCION</v>
          </cell>
          <cell r="O1407">
            <v>377</v>
          </cell>
          <cell r="P1407">
            <v>43137</v>
          </cell>
          <cell r="Q1407" t="str">
            <v>AYUDA TEMPORAL A LAS FAMILIAS DE VARIAS LOCALIDADES, PARA RELOCALIZACIÓN DE HOGARES LOCALIZADOS EN ZONAS DE ALTO RIESGO NO MITIGABLE ID:2008-4-10899, LOCALIDAD:04 SAN CRISTÓBAL, UPZ:32 SAN BLAS</v>
          </cell>
          <cell r="R1407">
            <v>6713226</v>
          </cell>
          <cell r="S1407">
            <v>0</v>
          </cell>
          <cell r="T1407">
            <v>0</v>
          </cell>
          <cell r="U1407">
            <v>6713226</v>
          </cell>
          <cell r="V1407">
            <v>4131216</v>
          </cell>
        </row>
        <row r="1408">
          <cell r="J1408">
            <v>770</v>
          </cell>
          <cell r="K1408">
            <v>43137</v>
          </cell>
          <cell r="L1408" t="str">
            <v>CLARA INES ARGUELLO CAMARGO</v>
          </cell>
          <cell r="M1408">
            <v>31</v>
          </cell>
          <cell r="N1408" t="str">
            <v>RESOLUCION</v>
          </cell>
          <cell r="O1408">
            <v>378</v>
          </cell>
          <cell r="P1408">
            <v>43137</v>
          </cell>
          <cell r="Q1408" t="str">
            <v>AYUDA TEMPORAL A LAS FAMILIAS DE VARIAS LOCALIDADES, PARA RELOCALIZACIÓN DE HOGARES LOCALIZADOS EN ZONAS DE ALTO RIESGO NO MITIGABLE ID:2015-Q09-03240, LOCALIDAD:19 CIUDAD BOLÍVAR, UPZ:68 EL TESORO, SECTOR:LA TROMPETA</v>
          </cell>
          <cell r="R1408">
            <v>4382037</v>
          </cell>
          <cell r="S1408">
            <v>0</v>
          </cell>
          <cell r="T1408">
            <v>0</v>
          </cell>
          <cell r="U1408">
            <v>4382037</v>
          </cell>
          <cell r="V1408">
            <v>3186936</v>
          </cell>
        </row>
        <row r="1409">
          <cell r="J1409">
            <v>771</v>
          </cell>
          <cell r="K1409">
            <v>43137</v>
          </cell>
          <cell r="L1409" t="str">
            <v>KATERINE  ROMERO GALLEGO</v>
          </cell>
          <cell r="M1409">
            <v>31</v>
          </cell>
          <cell r="N1409" t="str">
            <v>RESOLUCION</v>
          </cell>
          <cell r="O1409">
            <v>379</v>
          </cell>
          <cell r="P1409">
            <v>43137</v>
          </cell>
          <cell r="Q1409" t="str">
            <v>AYUDA TEMPORAL A LAS FAMILIAS DE VARIAS LOCALIDADES, PARA RELOCALIZACIÓN DE HOGARES LOCALIZADOS EN ZONAS DE ALTO RIESGO NO MITIGABLE ID:2016-08-14826, LOCALIDAD:08 KENNEDY, UPZ:82 PATIO BONITO, SECTOR:PALMITAS</v>
          </cell>
          <cell r="R1409">
            <v>3614814</v>
          </cell>
          <cell r="S1409">
            <v>516402</v>
          </cell>
          <cell r="T1409">
            <v>0</v>
          </cell>
          <cell r="U1409">
            <v>3098412</v>
          </cell>
          <cell r="V1409">
            <v>3098412</v>
          </cell>
        </row>
        <row r="1410">
          <cell r="J1410">
            <v>772</v>
          </cell>
          <cell r="K1410">
            <v>43137</v>
          </cell>
          <cell r="L1410" t="str">
            <v>MARTHA LUCIA MARTIN RESTREPO</v>
          </cell>
          <cell r="M1410">
            <v>31</v>
          </cell>
          <cell r="N1410" t="str">
            <v>RESOLUCION</v>
          </cell>
          <cell r="O1410">
            <v>380</v>
          </cell>
          <cell r="P1410">
            <v>43137</v>
          </cell>
          <cell r="Q1410" t="str">
            <v>AYUDA TEMPORAL A LAS FAMILIAS DE VARIAS LOCALIDADES, PARA RELOCALIZACIÓN DE HOGARES LOCALIZADOS EN ZONAS DE ALTO RIESGO NO MITIGABLE ID:2013000534, LOCALIDAD:19 CIUDAD BOLÍVAR, UPZ:67 LUCERO, SECTOR:QUEBRADA TROMPETA</v>
          </cell>
          <cell r="R1410">
            <v>5285280</v>
          </cell>
          <cell r="S1410">
            <v>0</v>
          </cell>
          <cell r="T1410">
            <v>0</v>
          </cell>
          <cell r="U1410">
            <v>5285280</v>
          </cell>
          <cell r="V1410">
            <v>3252480</v>
          </cell>
        </row>
        <row r="1411">
          <cell r="J1411">
            <v>773</v>
          </cell>
          <cell r="K1411">
            <v>43137</v>
          </cell>
          <cell r="L1411" t="str">
            <v>JOSE MILCIADES SALCEDO</v>
          </cell>
          <cell r="M1411">
            <v>31</v>
          </cell>
          <cell r="N1411" t="str">
            <v>RESOLUCION</v>
          </cell>
          <cell r="O1411">
            <v>381</v>
          </cell>
          <cell r="P1411">
            <v>43137</v>
          </cell>
          <cell r="Q1411" t="str">
            <v>AYUDA TEMPORAL A LAS FAMILIAS DE VARIAS LOCALIDADES, PARA RELOCALIZACIÓN DE HOGARES LOCALIZADOS EN ZONAS DE ALTO RIESGO NO MITIGABLE ID:2013000301, LOCALIDAD:19 CIUDAD BOLÍVAR, UPZ:67 LUCERO, SECTOR:QUEBRADA TROMPETA</v>
          </cell>
          <cell r="R1411">
            <v>5603000</v>
          </cell>
          <cell r="S1411">
            <v>0</v>
          </cell>
          <cell r="T1411">
            <v>0</v>
          </cell>
          <cell r="U1411">
            <v>5603000</v>
          </cell>
          <cell r="V1411">
            <v>3448000</v>
          </cell>
        </row>
        <row r="1412">
          <cell r="J1412">
            <v>774</v>
          </cell>
          <cell r="K1412">
            <v>43137</v>
          </cell>
          <cell r="L1412" t="str">
            <v>CARMENZA  GIL OLAYA</v>
          </cell>
          <cell r="M1412">
            <v>31</v>
          </cell>
          <cell r="N1412" t="str">
            <v>RESOLUCION</v>
          </cell>
          <cell r="O1412">
            <v>382</v>
          </cell>
          <cell r="P1412">
            <v>43137</v>
          </cell>
          <cell r="Q1412" t="str">
            <v>AYUDA TEMPORAL A LAS FAMILIAS DE VARIAS LOCALIDADES, PARA RELOCALIZACIÓN DE HOGARES LOCALIZADOS EN ZONAS DE ALTO RIESGO NO MITIGABLE ID:2016-08-14848, LOCALIDAD:08 KENNEDY, UPZ:82 PATIO BONITO, SECTOR:PALMITAS</v>
          </cell>
          <cell r="R1412">
            <v>7672262</v>
          </cell>
          <cell r="S1412">
            <v>0</v>
          </cell>
          <cell r="T1412">
            <v>0</v>
          </cell>
          <cell r="U1412">
            <v>7672262</v>
          </cell>
          <cell r="V1412">
            <v>4721392</v>
          </cell>
        </row>
        <row r="1413">
          <cell r="J1413">
            <v>775</v>
          </cell>
          <cell r="K1413">
            <v>43137</v>
          </cell>
          <cell r="L1413" t="str">
            <v>MARIELA  BARRAGAN</v>
          </cell>
          <cell r="M1413">
            <v>31</v>
          </cell>
          <cell r="N1413" t="str">
            <v>RESOLUCION</v>
          </cell>
          <cell r="O1413">
            <v>383</v>
          </cell>
          <cell r="P1413">
            <v>43137</v>
          </cell>
          <cell r="Q1413" t="str">
            <v>AYUDA TEMPORAL A LAS FAMILIAS DE VARIAS LOCALIDADES, PARA RELOCALIZACIÓN DE HOGARES LOCALIZADOS EN ZONAS DE ALTO RIESGO NO MITIGABLE ID:1999-2-3027, LOCALIDAD:02 CHAPINERO, UPZ:89 SAN ISIDRO PATIOS</v>
          </cell>
          <cell r="R1413">
            <v>5285280</v>
          </cell>
          <cell r="S1413">
            <v>0</v>
          </cell>
          <cell r="T1413">
            <v>0</v>
          </cell>
          <cell r="U1413">
            <v>5285280</v>
          </cell>
          <cell r="V1413">
            <v>3252480</v>
          </cell>
        </row>
        <row r="1414">
          <cell r="J1414">
            <v>776</v>
          </cell>
          <cell r="K1414">
            <v>43137</v>
          </cell>
          <cell r="L1414" t="str">
            <v>LUZ ANGELA SUAREZ MUNZA</v>
          </cell>
          <cell r="M1414">
            <v>31</v>
          </cell>
          <cell r="N1414" t="str">
            <v>RESOLUCION</v>
          </cell>
          <cell r="O1414">
            <v>384</v>
          </cell>
          <cell r="P1414">
            <v>43137</v>
          </cell>
          <cell r="Q1414" t="str">
            <v>AYUDA TEMPORAL A LAS FAMILIAS DE VARIAS LOCALIDADES, PARA RELOCALIZACIÓN DE HOGARES LOCALIZADOS EN ZONAS DE ALTO RIESGO NO MITIGABLE ID:2016-08-14895, LOCALIDAD:08 KENNEDY, UPZ:82 PATIO BONITO, SECTOR:PALMITAS</v>
          </cell>
          <cell r="R1414">
            <v>9110803</v>
          </cell>
          <cell r="S1414">
            <v>0</v>
          </cell>
          <cell r="T1414">
            <v>0</v>
          </cell>
          <cell r="U1414">
            <v>9110803</v>
          </cell>
          <cell r="V1414">
            <v>5606648</v>
          </cell>
        </row>
        <row r="1415">
          <cell r="J1415">
            <v>777</v>
          </cell>
          <cell r="K1415">
            <v>43137</v>
          </cell>
          <cell r="L1415" t="str">
            <v>LUZ ALBA PLATA MARTINEZ</v>
          </cell>
          <cell r="M1415">
            <v>31</v>
          </cell>
          <cell r="N1415" t="str">
            <v>RESOLUCION</v>
          </cell>
          <cell r="O1415">
            <v>385</v>
          </cell>
          <cell r="P1415">
            <v>43137</v>
          </cell>
          <cell r="Q1415" t="str">
            <v>AYUDA TEMPORAL A LAS FAMILIAS DE VARIAS LOCALIDADES, PARA RELOCALIZACIÓN DE HOGARES LOCALIZADOS EN ZONAS DE ALTO RIESGO NO MITIGABLE ID:2003-19-5342, LOCALIDAD:19 CIUDAD BOLÍVAR, UPZ:69 ISMAEL PERDOMO, SECTOR:ALTOS DE LA ESTANCIA</v>
          </cell>
          <cell r="R1415">
            <v>6701825</v>
          </cell>
          <cell r="S1415">
            <v>0</v>
          </cell>
          <cell r="T1415">
            <v>0</v>
          </cell>
          <cell r="U1415">
            <v>6701825</v>
          </cell>
          <cell r="V1415">
            <v>4124200</v>
          </cell>
        </row>
        <row r="1416">
          <cell r="J1416">
            <v>778</v>
          </cell>
          <cell r="K1416">
            <v>43138</v>
          </cell>
          <cell r="L1416" t="str">
            <v>ORLANDO  ESTRADA VALENCIA</v>
          </cell>
          <cell r="M1416">
            <v>31</v>
          </cell>
          <cell r="N1416" t="str">
            <v>RESOLUCION</v>
          </cell>
          <cell r="O1416">
            <v>386</v>
          </cell>
          <cell r="P1416">
            <v>43138</v>
          </cell>
          <cell r="Q1416" t="str">
            <v>AYUDA TEMPORAL A LAS FAMILIAS DE VARIAS LOCALIDADES, PARA RELOCALIZACIÓN DE HOGARES LOCALIZADOS EN ZONAS DE ALTO RIESGO NO MITIGABLE ID:2012-ALES-445, LOCALIDAD:19 CIUDAD BOLÍVAR, UPZ:69 ISMAEL PERDOMO, SECTOR:ALTOS DE LA ESTANCIA</v>
          </cell>
          <cell r="R1416">
            <v>6721000</v>
          </cell>
          <cell r="S1416">
            <v>0</v>
          </cell>
          <cell r="T1416">
            <v>0</v>
          </cell>
          <cell r="U1416">
            <v>6721000</v>
          </cell>
          <cell r="V1416">
            <v>4136000</v>
          </cell>
        </row>
        <row r="1417">
          <cell r="J1417">
            <v>779</v>
          </cell>
          <cell r="K1417">
            <v>43138</v>
          </cell>
          <cell r="L1417" t="str">
            <v>ALEXANDER  MERCASA BARCORIZO</v>
          </cell>
          <cell r="M1417">
            <v>31</v>
          </cell>
          <cell r="N1417" t="str">
            <v>RESOLUCION</v>
          </cell>
          <cell r="O1417">
            <v>387</v>
          </cell>
          <cell r="P1417">
            <v>43138</v>
          </cell>
          <cell r="Q1417" t="str">
            <v>AYUDA TEMPORAL A LAS FAMILIAS DE VARIAS LOCALIDADES, PARA RELOCALIZACIÓN DE HOGARES LOCALIZADOS EN ZONAS DE ALTO RIESGO NO MITIGABLE ID:2014-W166-019, LOCALIDAD:19 CIUDAD BOLÍVAR, UPZ:68 EL TESORO, SECTOR:WOUNAAN</v>
          </cell>
          <cell r="R1417">
            <v>7207200</v>
          </cell>
          <cell r="S1417">
            <v>0</v>
          </cell>
          <cell r="T1417">
            <v>0</v>
          </cell>
          <cell r="U1417">
            <v>7207200</v>
          </cell>
          <cell r="V1417">
            <v>4435200</v>
          </cell>
        </row>
        <row r="1418">
          <cell r="J1418">
            <v>780</v>
          </cell>
          <cell r="K1418">
            <v>43138</v>
          </cell>
          <cell r="L1418" t="str">
            <v>ENCARNACION  PEREZ SEGRERA</v>
          </cell>
          <cell r="M1418">
            <v>31</v>
          </cell>
          <cell r="N1418" t="str">
            <v>RESOLUCION</v>
          </cell>
          <cell r="O1418">
            <v>388</v>
          </cell>
          <cell r="P1418">
            <v>43138</v>
          </cell>
          <cell r="Q1418" t="str">
            <v>AYUDA TEMPORAL A LAS FAMILIAS DE VARIAS LOCALIDADES, PARA RELOCALIZACIÓN DE HOGARES LOCALIZADOS EN ZONAS DE ALTO RIESGO NO MITIGABLE ID:2012-19-13839, LOCALIDAD:19 CIUDAD BOLÍVAR, UPZ:67 LUCERO</v>
          </cell>
          <cell r="R1418">
            <v>4942301</v>
          </cell>
          <cell r="S1418">
            <v>0</v>
          </cell>
          <cell r="T1418">
            <v>0</v>
          </cell>
          <cell r="U1418">
            <v>4942301</v>
          </cell>
          <cell r="V1418">
            <v>3041416</v>
          </cell>
        </row>
        <row r="1419">
          <cell r="J1419">
            <v>781</v>
          </cell>
          <cell r="K1419">
            <v>43138</v>
          </cell>
          <cell r="L1419" t="str">
            <v>CLAUDIA MILENA RINCON RICO</v>
          </cell>
          <cell r="M1419">
            <v>31</v>
          </cell>
          <cell r="N1419" t="str">
            <v>RESOLUCION</v>
          </cell>
          <cell r="O1419">
            <v>389</v>
          </cell>
          <cell r="P1419">
            <v>43138</v>
          </cell>
          <cell r="Q1419" t="str">
            <v>AYUDA TEMPORAL A LAS FAMILIAS DE VARIAS LOCALIDADES, PARA RELOCALIZACIÓN DE HOGARES LOCALIZADOS EN ZONAS DE ALTO RIESGO NO MITIGABLE ID:2012-4-14206, LOCALIDAD:04 SAN CRISTÓBAL, UPZ:32 SAN BLAS</v>
          </cell>
          <cell r="R1419">
            <v>4523467</v>
          </cell>
          <cell r="S1419">
            <v>0</v>
          </cell>
          <cell r="T1419">
            <v>0</v>
          </cell>
          <cell r="U1419">
            <v>4523467</v>
          </cell>
          <cell r="V1419">
            <v>2783672</v>
          </cell>
        </row>
        <row r="1420">
          <cell r="J1420">
            <v>782</v>
          </cell>
          <cell r="K1420">
            <v>43138</v>
          </cell>
          <cell r="L1420" t="str">
            <v>LUIS ELIZARDO QUIROGA PEÑA</v>
          </cell>
          <cell r="M1420">
            <v>31</v>
          </cell>
          <cell r="N1420" t="str">
            <v>RESOLUCION</v>
          </cell>
          <cell r="O1420">
            <v>390</v>
          </cell>
          <cell r="P1420">
            <v>43138</v>
          </cell>
          <cell r="Q1420" t="str">
            <v>AYUDA TEMPORAL A LAS FAMILIAS DE VARIAS LOCALIDADES, PARA RELOCALIZACIÓN DE HOGARES LOCALIZADOS EN ZONAS DE ALTO RIESGO NO MITIGABLE ID:2012-18-14355, LOCALIDAD:18 RAFAEL URIBE URIBE, UPZ:55 DIANA TURBAY</v>
          </cell>
          <cell r="R1420">
            <v>2618154</v>
          </cell>
          <cell r="S1420">
            <v>374022</v>
          </cell>
          <cell r="T1420">
            <v>0</v>
          </cell>
          <cell r="U1420">
            <v>2244132</v>
          </cell>
          <cell r="V1420">
            <v>2244132</v>
          </cell>
        </row>
        <row r="1421">
          <cell r="J1421">
            <v>783</v>
          </cell>
          <cell r="K1421">
            <v>43138</v>
          </cell>
          <cell r="L1421" t="str">
            <v>ESTHER JULIA SALAZAR RAMOS</v>
          </cell>
          <cell r="M1421">
            <v>31</v>
          </cell>
          <cell r="N1421" t="str">
            <v>RESOLUCION</v>
          </cell>
          <cell r="O1421">
            <v>391</v>
          </cell>
          <cell r="P1421">
            <v>43138</v>
          </cell>
          <cell r="Q1421" t="str">
            <v>AYUDA TEMPORAL A LAS FAMILIAS DE VARIAS LOCALIDADES, PARA RELOCALIZACIÓN DE HOGARES LOCALIZADOS EN ZONAS DE ALTO RIESGO NO MITIGABLE ID:2011-19-12418, LOCALIDAD:19 CIUDAD BOLÍVAR, UPZ:68 EL TESORO</v>
          </cell>
          <cell r="R1421">
            <v>2919000</v>
          </cell>
          <cell r="S1421">
            <v>417000</v>
          </cell>
          <cell r="T1421">
            <v>0</v>
          </cell>
          <cell r="U1421">
            <v>2502000</v>
          </cell>
          <cell r="V1421">
            <v>2502000</v>
          </cell>
        </row>
        <row r="1422">
          <cell r="J1422">
            <v>784</v>
          </cell>
          <cell r="K1422">
            <v>43138</v>
          </cell>
          <cell r="L1422" t="str">
            <v>NELSON JAVIER REINA DURAN</v>
          </cell>
          <cell r="M1422">
            <v>31</v>
          </cell>
          <cell r="N1422" t="str">
            <v>RESOLUCION</v>
          </cell>
          <cell r="O1422">
            <v>392</v>
          </cell>
          <cell r="P1422">
            <v>43138</v>
          </cell>
          <cell r="Q1422" t="str">
            <v>AYUDA TEMPORAL A LAS FAMILIAS DE VARIAS LOCALIDADES, PARA RELOCALIZACIÓN DE HOGARES LOCALIZADOS EN ZONAS DE ALTO RIESGO NO MITIGABLE ID:2013000325, LOCALIDAD:19 CIUDAD BOLÍVAR, UPZ:67 LUCERO, SECTOR:PEÑA COLORADA</v>
          </cell>
          <cell r="R1422">
            <v>2846046</v>
          </cell>
          <cell r="S1422">
            <v>406578</v>
          </cell>
          <cell r="T1422">
            <v>0</v>
          </cell>
          <cell r="U1422">
            <v>2439468</v>
          </cell>
          <cell r="V1422">
            <v>2439468</v>
          </cell>
        </row>
        <row r="1423">
          <cell r="J1423">
            <v>785</v>
          </cell>
          <cell r="K1423">
            <v>43138</v>
          </cell>
          <cell r="L1423" t="str">
            <v>DILCIA  VALDERRAMA BALLEN</v>
          </cell>
          <cell r="M1423">
            <v>31</v>
          </cell>
          <cell r="N1423" t="str">
            <v>RESOLUCION</v>
          </cell>
          <cell r="O1423">
            <v>393</v>
          </cell>
          <cell r="P1423">
            <v>43138</v>
          </cell>
          <cell r="Q1423" t="str">
            <v>AYUDA TEMPORAL A LAS FAMILIAS DE VARIAS LOCALIDADES, PARA RELOCALIZACIÓN DE HOGARES LOCALIZADOS EN ZONAS DE ALTO RIESGO NO MITIGABLE ID:2007-19-9544, LOCALIDAD:19 CIUDAD BOLÍVAR, UPZ:69 ISMAEL PERDOMO</v>
          </cell>
          <cell r="R1423">
            <v>2845920</v>
          </cell>
          <cell r="S1423">
            <v>406560</v>
          </cell>
          <cell r="T1423">
            <v>0</v>
          </cell>
          <cell r="U1423">
            <v>2439360</v>
          </cell>
          <cell r="V1423">
            <v>2439360</v>
          </cell>
        </row>
        <row r="1424">
          <cell r="J1424">
            <v>786</v>
          </cell>
          <cell r="K1424">
            <v>43138</v>
          </cell>
          <cell r="L1424" t="str">
            <v>SILVIA  GUZMAN PINEDA</v>
          </cell>
          <cell r="M1424">
            <v>31</v>
          </cell>
          <cell r="N1424" t="str">
            <v>RESOLUCION</v>
          </cell>
          <cell r="O1424">
            <v>394</v>
          </cell>
          <cell r="P1424">
            <v>43138</v>
          </cell>
          <cell r="Q1424" t="str">
            <v>AYUDA TEMPORAL A LAS FAMILIAS DE VARIAS LOCALIDADES, PARA RELOCALIZACIÓN DE HOGARES LOCALIZADOS EN ZONAS DE ALTO RIESGO NO MITIGABLE ID:2012-18-14354, LOCALIDAD:18 RAFAEL URIBE URIBE, UPZ:55 DIANA TURBAY</v>
          </cell>
          <cell r="R1424">
            <v>3094182</v>
          </cell>
          <cell r="S1424">
            <v>0</v>
          </cell>
          <cell r="T1424">
            <v>0</v>
          </cell>
          <cell r="U1424">
            <v>3094182</v>
          </cell>
          <cell r="V1424">
            <v>1768104</v>
          </cell>
        </row>
        <row r="1425">
          <cell r="J1425">
            <v>787</v>
          </cell>
          <cell r="K1425">
            <v>43138</v>
          </cell>
          <cell r="L1425" t="str">
            <v>OMAR EDUARDO AREVALO SALINAS</v>
          </cell>
          <cell r="M1425">
            <v>31</v>
          </cell>
          <cell r="N1425" t="str">
            <v>RESOLUCION</v>
          </cell>
          <cell r="O1425">
            <v>395</v>
          </cell>
          <cell r="P1425">
            <v>43138</v>
          </cell>
          <cell r="Q1425" t="str">
            <v>AYUDA TEMPORAL A LAS FAMILIAS DE VARIAS LOCALIDADES, PARA RELOCALIZACIÓN DE HOGARES LOCALIZADOS EN ZONAS DE ALTO RIESGO NO MITIGABLE ID:2012-4-14200, LOCALIDAD:04 SAN CRISTÓBAL, UPZ:32 SAN BLAS</v>
          </cell>
          <cell r="R1425">
            <v>3452517</v>
          </cell>
          <cell r="S1425">
            <v>0</v>
          </cell>
          <cell r="T1425">
            <v>0</v>
          </cell>
          <cell r="U1425">
            <v>3452517</v>
          </cell>
          <cell r="V1425">
            <v>3068904</v>
          </cell>
        </row>
        <row r="1426">
          <cell r="J1426">
            <v>788</v>
          </cell>
          <cell r="K1426">
            <v>43138</v>
          </cell>
          <cell r="L1426" t="str">
            <v>RAFAEL  AREVALO NIÑO</v>
          </cell>
          <cell r="M1426">
            <v>31</v>
          </cell>
          <cell r="N1426" t="str">
            <v>RESOLUCION</v>
          </cell>
          <cell r="O1426">
            <v>396</v>
          </cell>
          <cell r="P1426">
            <v>43138</v>
          </cell>
          <cell r="Q1426" t="str">
            <v>AYUDA TEMPORAL A LAS FAMILIAS DE VARIAS LOCALIDADES, PARA RELOCALIZACIÓN DE HOGARES LOCALIZADOS EN ZONAS DE ALTO RIESGO NO MITIGABLE ID:2011-4-13289, LOCALIDAD:04 SAN CRISTÓBAL, UPZ:32 SAN BLAS</v>
          </cell>
          <cell r="R1426">
            <v>4182858</v>
          </cell>
          <cell r="S1426">
            <v>0</v>
          </cell>
          <cell r="T1426">
            <v>0</v>
          </cell>
          <cell r="U1426">
            <v>4182858</v>
          </cell>
          <cell r="V1426">
            <v>3718096</v>
          </cell>
        </row>
        <row r="1427">
          <cell r="J1427">
            <v>789</v>
          </cell>
          <cell r="K1427">
            <v>43138</v>
          </cell>
          <cell r="L1427" t="str">
            <v>SANDRA PAOLA AREVALO SALINAS</v>
          </cell>
          <cell r="M1427">
            <v>31</v>
          </cell>
          <cell r="N1427" t="str">
            <v>RESOLUCION</v>
          </cell>
          <cell r="O1427">
            <v>397</v>
          </cell>
          <cell r="P1427">
            <v>43138</v>
          </cell>
          <cell r="Q1427" t="str">
            <v>AYUDA TEMPORAL A LAS FAMILIAS DE VARIAS LOCALIDADES, PARA RELOCALIZACIÓN DE HOGARES LOCALIZADOS EN ZONAS DE ALTO RIESGO NO MITIGABLE ID:2012-4-14207, LOCALIDAD:04 SAN CRISTÓBAL, UPZ:32 SAN BLAS</v>
          </cell>
          <cell r="R1427">
            <v>4488264</v>
          </cell>
          <cell r="S1427">
            <v>0</v>
          </cell>
          <cell r="T1427">
            <v>0</v>
          </cell>
          <cell r="U1427">
            <v>4488264</v>
          </cell>
          <cell r="V1427">
            <v>3989568</v>
          </cell>
        </row>
        <row r="1428">
          <cell r="J1428">
            <v>790</v>
          </cell>
          <cell r="K1428">
            <v>43138</v>
          </cell>
          <cell r="L1428" t="str">
            <v>BLANCA LIBIA VANEGAS MARTINEZ</v>
          </cell>
          <cell r="M1428">
            <v>31</v>
          </cell>
          <cell r="N1428" t="str">
            <v>RESOLUCION</v>
          </cell>
          <cell r="O1428">
            <v>398</v>
          </cell>
          <cell r="P1428">
            <v>43138</v>
          </cell>
          <cell r="Q1428" t="str">
            <v>AYUDA TEMPORAL A LAS FAMILIAS DE VARIAS LOCALIDADES, PARA RELOCALIZACIÓN DE HOGARES LOCALIZADOS EN ZONAS DE ALTO RIESGO NO MITIGABLE ID:2013000185, LOCALIDAD:04 SAN CRISTÓBAL, UPZ:51 LOS LIBERTADORES, SECTOR:QUEBRADA VEREJONES</v>
          </cell>
          <cell r="R1428">
            <v>4324320</v>
          </cell>
          <cell r="S1428">
            <v>0</v>
          </cell>
          <cell r="T1428">
            <v>0</v>
          </cell>
          <cell r="U1428">
            <v>4324320</v>
          </cell>
          <cell r="V1428">
            <v>3843840</v>
          </cell>
        </row>
        <row r="1429">
          <cell r="J1429">
            <v>791</v>
          </cell>
          <cell r="K1429">
            <v>43138</v>
          </cell>
          <cell r="L1429" t="str">
            <v>MARIA DEISSY CRUZ VARON</v>
          </cell>
          <cell r="M1429">
            <v>31</v>
          </cell>
          <cell r="N1429" t="str">
            <v>RESOLUCION</v>
          </cell>
          <cell r="O1429">
            <v>399</v>
          </cell>
          <cell r="P1429">
            <v>43138</v>
          </cell>
          <cell r="Q1429" t="str">
            <v>AYUDA TEMPORAL A LAS FAMILIAS DE VARIAS LOCALIDADES, PARA RELOCALIZACIÓN DE HOGARES LOCALIZADOS EN ZONAS DE ALTO RIESGO NO MITIGABLE ID:2014-OTR-00957, LOCALIDAD:19 CIUDAD BOLÍVAR, UPZ:67 LUCERO, SECTOR:TABOR ALTALOMA</v>
          </cell>
          <cell r="R1429">
            <v>3382995</v>
          </cell>
          <cell r="S1429">
            <v>483285</v>
          </cell>
          <cell r="T1429">
            <v>0</v>
          </cell>
          <cell r="U1429">
            <v>2899710</v>
          </cell>
          <cell r="V1429">
            <v>2899710</v>
          </cell>
        </row>
        <row r="1430">
          <cell r="J1430">
            <v>792</v>
          </cell>
          <cell r="K1430">
            <v>43138</v>
          </cell>
          <cell r="L1430" t="str">
            <v>JOSE JOAQUIN MONROY RODRIGUEZ</v>
          </cell>
          <cell r="M1430">
            <v>31</v>
          </cell>
          <cell r="N1430" t="str">
            <v>RESOLUCION</v>
          </cell>
          <cell r="O1430">
            <v>400</v>
          </cell>
          <cell r="P1430">
            <v>43138</v>
          </cell>
          <cell r="Q1430" t="str">
            <v>AYUDA TEMPORAL A LAS FAMILIAS DE VARIAS LOCALIDADES, PARA RELOCALIZACIÓN DE HOGARES LOCALIZADOS EN ZONAS DE ALTO RIESGO NO MITIGABLE ID:2013-4-14662, LOCALIDAD:04 SAN CRISTÓBAL, UPZ:32 SAN BLAS</v>
          </cell>
          <cell r="R1430">
            <v>3363507</v>
          </cell>
          <cell r="S1430">
            <v>480501</v>
          </cell>
          <cell r="T1430">
            <v>0</v>
          </cell>
          <cell r="U1430">
            <v>2883006</v>
          </cell>
          <cell r="V1430">
            <v>2883006</v>
          </cell>
        </row>
        <row r="1431">
          <cell r="J1431">
            <v>793</v>
          </cell>
          <cell r="K1431">
            <v>43138</v>
          </cell>
          <cell r="L1431" t="str">
            <v>DIOMEDES  PINEDA CERVANTES</v>
          </cell>
          <cell r="M1431">
            <v>31</v>
          </cell>
          <cell r="N1431" t="str">
            <v>RESOLUCION</v>
          </cell>
          <cell r="O1431">
            <v>343</v>
          </cell>
          <cell r="P1431">
            <v>42773</v>
          </cell>
          <cell r="Q1431" t="str">
            <v>AYUDA TEMPORAL A LAS FAMILIAS DE VARIAS LOCALIDADES, PARA RELOCALIZACIÓN DE HOGARES LOCALIZADOS EN ZONAS DE ALTO RIESGO NO MITIGABLE ID:2011-3-12896, LOCALIDAD:03 SANTA FE, UPZ:96 LOURDES</v>
          </cell>
          <cell r="R1431">
            <v>7065760</v>
          </cell>
          <cell r="S1431">
            <v>0</v>
          </cell>
          <cell r="T1431">
            <v>0</v>
          </cell>
          <cell r="U1431">
            <v>7065760</v>
          </cell>
          <cell r="V1431">
            <v>4348160</v>
          </cell>
        </row>
        <row r="1432">
          <cell r="J1432">
            <v>794</v>
          </cell>
          <cell r="K1432">
            <v>43138</v>
          </cell>
          <cell r="L1432" t="str">
            <v>DAIRO NILSON CAÑAS RINCON</v>
          </cell>
          <cell r="M1432">
            <v>31</v>
          </cell>
          <cell r="N1432" t="str">
            <v>RESOLUCION</v>
          </cell>
          <cell r="O1432">
            <v>344</v>
          </cell>
          <cell r="P1432">
            <v>43138</v>
          </cell>
          <cell r="Q1432" t="str">
            <v>AYUDA TEMPORAL A LAS FAMILIAS DE VARIAS LOCALIDADES, PARA RELOCALIZACIÓN DE HOGARES LOCALIZADOS EN ZONAS DE ALTO RIESGO NO MITIGABLE ID:2003-19-4535, LOCALIDAD:19 CIUDAD BOLÍVAR, UPZ:69 ISMAEL PERDOMO, SECTOR:ALTOS DE LA ESTANCIA</v>
          </cell>
          <cell r="R1432">
            <v>2706270</v>
          </cell>
          <cell r="S1432">
            <v>451045</v>
          </cell>
          <cell r="T1432">
            <v>0</v>
          </cell>
          <cell r="U1432">
            <v>2255225</v>
          </cell>
          <cell r="V1432">
            <v>2255225</v>
          </cell>
        </row>
        <row r="1433">
          <cell r="J1433">
            <v>795</v>
          </cell>
          <cell r="K1433">
            <v>43138</v>
          </cell>
          <cell r="L1433" t="str">
            <v>MARIA JASIBE ANGEL BERMUDEZ</v>
          </cell>
          <cell r="M1433">
            <v>31</v>
          </cell>
          <cell r="N1433" t="str">
            <v>RESOLUCION</v>
          </cell>
          <cell r="O1433">
            <v>345</v>
          </cell>
          <cell r="P1433">
            <v>43138</v>
          </cell>
          <cell r="Q1433" t="str">
            <v>AYUDA TEMPORAL A LAS FAMILIAS DE VARIAS LOCALIDADES, PARA RELOCALIZACIÓN DE HOGARES LOCALIZADOS EN ZONAS DE ALTO RIESGO NO MITIGABLE ID:2015-Q20-04127, LOCALIDAD:04 SAN CRISTÓBAL, UPZ:50 LA GLORIA, SECTOR:LA CHIGUAZA</v>
          </cell>
          <cell r="R1433">
            <v>4986969</v>
          </cell>
          <cell r="S1433">
            <v>0</v>
          </cell>
          <cell r="T1433">
            <v>0</v>
          </cell>
          <cell r="U1433">
            <v>4986969</v>
          </cell>
          <cell r="V1433">
            <v>3068904</v>
          </cell>
        </row>
        <row r="1434">
          <cell r="J1434">
            <v>796</v>
          </cell>
          <cell r="K1434">
            <v>43138</v>
          </cell>
          <cell r="L1434" t="str">
            <v>ANGEL ALBERTO JIMENEZ</v>
          </cell>
          <cell r="M1434">
            <v>31</v>
          </cell>
          <cell r="N1434" t="str">
            <v>RESOLUCION</v>
          </cell>
          <cell r="O1434">
            <v>346</v>
          </cell>
          <cell r="P1434">
            <v>43138</v>
          </cell>
          <cell r="Q1434" t="str">
            <v>AYUDA TEMPORAL A LAS FAMILIAS DE VARIAS LOCALIDADES, PARA RELOCALIZACIÓN DE HOGARES LOCALIZADOS EN ZONAS DE ALTO RIESGO NO MITIGABLE ID:2013-4-14631, LOCALIDAD:04 SAN CRISTÓBAL, UPZ:32 SAN BLAS</v>
          </cell>
          <cell r="R1434">
            <v>3363360</v>
          </cell>
          <cell r="S1434">
            <v>0</v>
          </cell>
          <cell r="T1434">
            <v>0</v>
          </cell>
          <cell r="U1434">
            <v>3363360</v>
          </cell>
          <cell r="V1434">
            <v>1441440</v>
          </cell>
        </row>
        <row r="1435">
          <cell r="J1435">
            <v>797</v>
          </cell>
          <cell r="K1435">
            <v>43138</v>
          </cell>
          <cell r="L1435" t="str">
            <v>ANGELA MILENA GOMEZ BRAVO</v>
          </cell>
          <cell r="M1435">
            <v>31</v>
          </cell>
          <cell r="N1435" t="str">
            <v>RESOLUCION</v>
          </cell>
          <cell r="O1435">
            <v>347</v>
          </cell>
          <cell r="P1435">
            <v>43138</v>
          </cell>
          <cell r="Q1435" t="str">
            <v>AYUDA TEMPORAL A LAS FAMILIAS DE VARIAS LOCALIDADES, PARA RELOCALIZACIÓN DE HOGARES LOCALIZADOS EN ZONAS DE ALTO RIESGO NO MITIGABLE ID:2016-08-14841, LOCALIDAD:08 KENNEDY, UPZ:82 PATIO BONITO, SECTOR:PALMITAS</v>
          </cell>
          <cell r="R1435">
            <v>6542913</v>
          </cell>
          <cell r="S1435">
            <v>0</v>
          </cell>
          <cell r="T1435">
            <v>0</v>
          </cell>
          <cell r="U1435">
            <v>6542913</v>
          </cell>
          <cell r="V1435">
            <v>2516505</v>
          </cell>
        </row>
        <row r="1436">
          <cell r="J1436">
            <v>798</v>
          </cell>
          <cell r="K1436">
            <v>43138</v>
          </cell>
          <cell r="L1436" t="str">
            <v>JOSE NIVER MERCAZA PIRAZA</v>
          </cell>
          <cell r="M1436">
            <v>31</v>
          </cell>
          <cell r="N1436" t="str">
            <v>RESOLUCION</v>
          </cell>
          <cell r="O1436">
            <v>348</v>
          </cell>
          <cell r="P1436">
            <v>43138</v>
          </cell>
          <cell r="Q1436" t="str">
            <v>AYUDA TEMPORAL A LAS FAMILIAS DE VARIAS LOCALIDADES, PARA RELOCALIZACIÓN DE HOGARES LOCALIZADOS EN ZONAS DE ALTO RIESGO NO MITIGABLE ID:2015-W166-429, LOCALIDAD:19 CIUDAD BOLÍVAR, UPZ:68 EL TESORO, SECTOR:WOUNAAN</v>
          </cell>
          <cell r="R1436">
            <v>7672262</v>
          </cell>
          <cell r="S1436">
            <v>0</v>
          </cell>
          <cell r="T1436">
            <v>0</v>
          </cell>
          <cell r="U1436">
            <v>7672262</v>
          </cell>
          <cell r="V1436">
            <v>4721392</v>
          </cell>
        </row>
        <row r="1437">
          <cell r="J1437">
            <v>799</v>
          </cell>
          <cell r="K1437">
            <v>43138</v>
          </cell>
          <cell r="L1437" t="str">
            <v>MISAEL  CASTRILLON JIMENEZ</v>
          </cell>
          <cell r="M1437">
            <v>31</v>
          </cell>
          <cell r="N1437" t="str">
            <v>RESOLUCION</v>
          </cell>
          <cell r="O1437">
            <v>349</v>
          </cell>
          <cell r="P1437">
            <v>43138</v>
          </cell>
          <cell r="Q1437" t="str">
            <v>AYUDA TEMPORAL A LAS FAMILIAS DE VARIAS LOCALIDADES, PARA RELOCALIZACIÓN DE HOGARES LOCALIZADOS EN ZONAS DE ALTO RIESGO NO MITIGABLE ID:2013-Q21-00600, LOCALIDAD:19 CIUDAD BOLÍVAR, UPZ:67 LUCERO, SECTOR:BRAZO DERECHO DE LIMAS</v>
          </cell>
          <cell r="R1437">
            <v>5274672</v>
          </cell>
          <cell r="S1437">
            <v>0</v>
          </cell>
          <cell r="T1437">
            <v>0</v>
          </cell>
          <cell r="U1437">
            <v>5274672</v>
          </cell>
          <cell r="V1437">
            <v>3245952</v>
          </cell>
        </row>
        <row r="1438">
          <cell r="J1438">
            <v>800</v>
          </cell>
          <cell r="K1438">
            <v>43138</v>
          </cell>
          <cell r="L1438" t="str">
            <v>AGUSTIN ENRIQUE GONZALEZ RAMOS</v>
          </cell>
          <cell r="M1438">
            <v>31</v>
          </cell>
          <cell r="N1438" t="str">
            <v>RESOLUCION</v>
          </cell>
          <cell r="O1438">
            <v>350</v>
          </cell>
          <cell r="P1438">
            <v>43138</v>
          </cell>
          <cell r="Q1438" t="str">
            <v>AYUDA TEMPORAL A LAS FAMILIAS DE VARIAS LOCALIDADES, PARA RELOCALIZACIÓN DE HOGARES LOCALIZADOS EN ZONAS DE ALTO RIESGO NO MITIGABLE ID:2010-19-11689, LOCALIDAD:19 CIUDAD BOLÍVAR, UPZ:69 ISMAEL PERDOMO, SECTOR:OLA INVERNAL 2010 FOPAE</v>
          </cell>
          <cell r="R1438">
            <v>2582006</v>
          </cell>
          <cell r="S1438">
            <v>368858</v>
          </cell>
          <cell r="T1438">
            <v>0</v>
          </cell>
          <cell r="U1438">
            <v>2213148</v>
          </cell>
          <cell r="V1438">
            <v>2213148</v>
          </cell>
        </row>
        <row r="1439">
          <cell r="J1439">
            <v>801</v>
          </cell>
          <cell r="K1439">
            <v>43138</v>
          </cell>
          <cell r="L1439" t="str">
            <v>ESPERANZA  AGUILLON NIÑO</v>
          </cell>
          <cell r="M1439">
            <v>31</v>
          </cell>
          <cell r="N1439" t="str">
            <v>RESOLUCION</v>
          </cell>
          <cell r="O1439">
            <v>351</v>
          </cell>
          <cell r="P1439">
            <v>43138</v>
          </cell>
          <cell r="Q1439" t="str">
            <v>AYUDA TEMPORAL A LAS FAMILIAS DE VARIAS LOCALIDADES, PARA RELOCALIZACIÓN DE HOGARES LOCALIZADOS EN ZONAS DE ALTO RIESGO NO MITIGABLE ID:2004-18-5460, LOCALIDAD:18 RAFAEL URIBE URIBE, UPZ:54 MARRUECOS</v>
          </cell>
          <cell r="R1439">
            <v>4862286</v>
          </cell>
          <cell r="S1439">
            <v>0</v>
          </cell>
          <cell r="T1439">
            <v>0</v>
          </cell>
          <cell r="U1439">
            <v>4862286</v>
          </cell>
          <cell r="V1439">
            <v>3536208</v>
          </cell>
        </row>
        <row r="1440">
          <cell r="J1440">
            <v>802</v>
          </cell>
          <cell r="K1440">
            <v>43138</v>
          </cell>
          <cell r="L1440" t="str">
            <v>JUAN CARLOS RODRIGUEZ RIOS</v>
          </cell>
          <cell r="M1440">
            <v>31</v>
          </cell>
          <cell r="N1440" t="str">
            <v>RESOLUCION</v>
          </cell>
          <cell r="O1440">
            <v>352</v>
          </cell>
          <cell r="P1440">
            <v>43138</v>
          </cell>
          <cell r="Q1440" t="str">
            <v>AYUDA TEMPORAL A LAS FAMILIAS DE VARIAS LOCALIDADES, PARA RELOCALIZACIÓN DE HOGARES LOCALIZADOS EN ZONAS DE ALTO RIESGO NO MITIGABLE ID:2014-OTR-00858, LOCALIDAD:04 SAN CRISTÓBAL, UPZ:32 SAN BLAS</v>
          </cell>
          <cell r="R1440">
            <v>2723490</v>
          </cell>
          <cell r="S1440">
            <v>389070</v>
          </cell>
          <cell r="T1440">
            <v>0</v>
          </cell>
          <cell r="U1440">
            <v>2334420</v>
          </cell>
          <cell r="V1440">
            <v>2334420</v>
          </cell>
        </row>
        <row r="1441">
          <cell r="J1441">
            <v>803</v>
          </cell>
          <cell r="K1441">
            <v>43138</v>
          </cell>
          <cell r="L1441" t="str">
            <v>ABELARDO  RODRIGUEZ RODRIGUEZ</v>
          </cell>
          <cell r="M1441">
            <v>31</v>
          </cell>
          <cell r="N1441" t="str">
            <v>RESOLUCION</v>
          </cell>
          <cell r="O1441">
            <v>353</v>
          </cell>
          <cell r="P1441">
            <v>43138</v>
          </cell>
          <cell r="Q1441" t="str">
            <v>AYUDA TEMPORAL A LAS FAMILIAS DE VARIAS LOCALIDADES, PARA RELOCALIZACIÓN DE HOGARES LOCALIZADOS EN ZONAS DE ALTO RIESGO NO MITIGABLE ID:2015-D227-00039, LOCALIDAD:04 SAN CRISTÓBAL, UPZ:51 LOS LIBERTADORES, SECTOR:SANTA TERESITA</v>
          </cell>
          <cell r="R1441">
            <v>4986969</v>
          </cell>
          <cell r="S1441">
            <v>0</v>
          </cell>
          <cell r="T1441">
            <v>0</v>
          </cell>
          <cell r="U1441">
            <v>4986969</v>
          </cell>
          <cell r="V1441">
            <v>1918065</v>
          </cell>
        </row>
        <row r="1442">
          <cell r="J1442">
            <v>804</v>
          </cell>
          <cell r="K1442">
            <v>43138</v>
          </cell>
          <cell r="L1442" t="str">
            <v>WILLIAM JAVIER POSADA VIVAS</v>
          </cell>
          <cell r="M1442">
            <v>31</v>
          </cell>
          <cell r="N1442" t="str">
            <v>RESOLUCION</v>
          </cell>
          <cell r="O1442">
            <v>354</v>
          </cell>
          <cell r="P1442">
            <v>43138</v>
          </cell>
          <cell r="Q1442" t="str">
            <v>AYUDA TEMPORAL A LAS FAMILIAS DE VARIAS LOCALIDADES, PARA RELOCALIZACIÓN DE HOGARES LOCALIZADOS EN ZONAS DE ALTO RIESGO NO MITIGABLE ID:1999-4-2782, LOCALIDAD:04 SAN CRISTÓBAL, UPZ:32 SAN BLAS</v>
          </cell>
          <cell r="R1442">
            <v>4590270</v>
          </cell>
          <cell r="S1442">
            <v>0</v>
          </cell>
          <cell r="T1442">
            <v>0</v>
          </cell>
          <cell r="U1442">
            <v>4590270</v>
          </cell>
          <cell r="V1442">
            <v>4080240</v>
          </cell>
        </row>
        <row r="1443">
          <cell r="J1443">
            <v>805</v>
          </cell>
          <cell r="K1443">
            <v>43138</v>
          </cell>
          <cell r="L1443" t="str">
            <v>VICTOR HUGO MALPICA FUENTES</v>
          </cell>
          <cell r="M1443">
            <v>31</v>
          </cell>
          <cell r="N1443" t="str">
            <v>RESOLUCION</v>
          </cell>
          <cell r="O1443">
            <v>355</v>
          </cell>
          <cell r="P1443">
            <v>43138</v>
          </cell>
          <cell r="Q1443" t="str">
            <v>AYUDA TEMPORAL A LAS FAMILIAS DE VARIAS LOCALIDADES, PARA RELOCALIZACIÓN DE HOGARES LOCALIZADOS EN ZONAS DE ALTO RIESGO NO MITIGABLE ID:2013-Q10-00649, LOCALIDAD:04 SAN CRISTÓBAL, UPZ:51 LOS LIBERTADORES, SECTOR:QUEBRADA VEREJONES</v>
          </cell>
          <cell r="R1443">
            <v>5466487</v>
          </cell>
          <cell r="S1443">
            <v>0</v>
          </cell>
          <cell r="T1443">
            <v>0</v>
          </cell>
          <cell r="U1443">
            <v>5466487</v>
          </cell>
          <cell r="V1443">
            <v>3363992</v>
          </cell>
        </row>
        <row r="1444">
          <cell r="J1444">
            <v>806</v>
          </cell>
          <cell r="K1444">
            <v>43138</v>
          </cell>
          <cell r="L1444" t="str">
            <v>MARIA ANDREA GARCIA RUIZ</v>
          </cell>
          <cell r="M1444">
            <v>31</v>
          </cell>
          <cell r="N1444" t="str">
            <v>RESOLUCION</v>
          </cell>
          <cell r="O1444">
            <v>356</v>
          </cell>
          <cell r="P1444">
            <v>43138</v>
          </cell>
          <cell r="Q1444" t="str">
            <v>AYUDA TEMPORAL A LAS FAMILIAS DE VARIAS LOCALIDADES, PARA RELOCALIZACIÓN DE HOGARES LOCALIZADOS EN ZONAS DE ALTO RIESGO NO MITIGABLE ID:2016-08-14778, LOCALIDAD:08 KENNEDY, UPZ:82 PATIO BONITO, SECTOR:PALMITAS</v>
          </cell>
          <cell r="R1444">
            <v>4136720</v>
          </cell>
          <cell r="S1444">
            <v>0</v>
          </cell>
          <cell r="T1444">
            <v>0</v>
          </cell>
          <cell r="U1444">
            <v>4136720</v>
          </cell>
          <cell r="V1444">
            <v>3309376</v>
          </cell>
        </row>
        <row r="1445">
          <cell r="J1445">
            <v>807</v>
          </cell>
          <cell r="K1445">
            <v>43138</v>
          </cell>
          <cell r="L1445" t="str">
            <v>WILSON  MEDINA SANCHEZ</v>
          </cell>
          <cell r="M1445">
            <v>31</v>
          </cell>
          <cell r="N1445" t="str">
            <v>RESOLUCION</v>
          </cell>
          <cell r="O1445">
            <v>357</v>
          </cell>
          <cell r="P1445">
            <v>43138</v>
          </cell>
          <cell r="Q1445" t="str">
            <v>AYUDA TEMPORAL A LAS FAMILIAS DE VARIAS LOCALIDADES, PARA RELOCALIZACIÓN DE HOGARES LOCALIZADOS EN ZONAS DE ALTO RIESGO NO MITIGABLE ID:2015-4-14739, LOCALIDAD:04 SAN CRISTÓBAL, UPZ:32 SAN BLAS</v>
          </cell>
          <cell r="R1445">
            <v>6533774</v>
          </cell>
          <cell r="S1445">
            <v>0</v>
          </cell>
          <cell r="T1445">
            <v>0</v>
          </cell>
          <cell r="U1445">
            <v>6533774</v>
          </cell>
          <cell r="V1445">
            <v>4020784</v>
          </cell>
        </row>
        <row r="1446">
          <cell r="J1446">
            <v>808</v>
          </cell>
          <cell r="K1446">
            <v>43138</v>
          </cell>
          <cell r="L1446" t="str">
            <v>JESICA ALEJANDRA CERON ESPINOSA</v>
          </cell>
          <cell r="M1446">
            <v>31</v>
          </cell>
          <cell r="N1446" t="str">
            <v>RESOLUCION</v>
          </cell>
          <cell r="O1446">
            <v>598</v>
          </cell>
          <cell r="P1446">
            <v>43138</v>
          </cell>
          <cell r="Q1446" t="str">
            <v>Asignacion del instrumento financiero a las familias ocupantes del predio que hayan superado la fase de verificacion dentro  del marco del Decreto 457 de 2017. LOCALIDAD: KENNEDY; BARRIO: VEREDITAS; ID: 2017-8-383696</v>
          </cell>
          <cell r="R1446">
            <v>54686940</v>
          </cell>
          <cell r="S1446">
            <v>0</v>
          </cell>
          <cell r="T1446">
            <v>0</v>
          </cell>
          <cell r="U1446">
            <v>54686940</v>
          </cell>
          <cell r="V1446">
            <v>54686940</v>
          </cell>
        </row>
        <row r="1447">
          <cell r="J1447">
            <v>809</v>
          </cell>
          <cell r="K1447">
            <v>43138</v>
          </cell>
          <cell r="L1447" t="str">
            <v>BERTHA LILIANA VASQUEZ CASTRILLON</v>
          </cell>
          <cell r="M1447">
            <v>31</v>
          </cell>
          <cell r="N1447" t="str">
            <v>RESOLUCION</v>
          </cell>
          <cell r="O1447">
            <v>597</v>
          </cell>
          <cell r="P1447">
            <v>43138</v>
          </cell>
          <cell r="Q1447" t="str">
            <v>Asignacion del instrumento financiero a las familias ocupantes del predio que hayan superado la fase de verificacion dentro  del marco del Decreto 457 de 2017. LOCALIDAD: KENNEDY; BARRIO: VEREDITAS; ID: 2017-8-383665</v>
          </cell>
          <cell r="R1447">
            <v>54686940</v>
          </cell>
          <cell r="S1447">
            <v>0</v>
          </cell>
          <cell r="T1447">
            <v>0</v>
          </cell>
          <cell r="U1447">
            <v>54686940</v>
          </cell>
          <cell r="V1447">
            <v>54686940</v>
          </cell>
        </row>
        <row r="1448">
          <cell r="J1448">
            <v>810</v>
          </cell>
          <cell r="K1448">
            <v>43138</v>
          </cell>
          <cell r="L1448" t="str">
            <v>VICTOR MANUEL TORRES AMAYA</v>
          </cell>
          <cell r="M1448">
            <v>31</v>
          </cell>
          <cell r="N1448" t="str">
            <v>RESOLUCION</v>
          </cell>
          <cell r="O1448">
            <v>480</v>
          </cell>
          <cell r="P1448">
            <v>43138</v>
          </cell>
          <cell r="Q1448" t="str">
            <v>AYUDA TEMPORAL A LAS FAMILIAS DE VARIAS LOCALIDADES, PARA RELOCALIZACIÓN DE HOGARES LOCALIZADOS EN ZONAS DE ALTO RIESGO NO MITIGABLE ID:2011-19-12561, LOCALIDAD:19 CIUDAD BOLÍVAR, UPZ:69 ISMAEL PERDOMO, SECTOR:OLA INVERNAL 2010 FOPAE</v>
          </cell>
          <cell r="R1448">
            <v>3490872</v>
          </cell>
          <cell r="S1448">
            <v>498696</v>
          </cell>
          <cell r="T1448">
            <v>0</v>
          </cell>
          <cell r="U1448">
            <v>2992176</v>
          </cell>
          <cell r="V1448">
            <v>2992176</v>
          </cell>
        </row>
        <row r="1449">
          <cell r="J1449">
            <v>811</v>
          </cell>
          <cell r="K1449">
            <v>43138</v>
          </cell>
          <cell r="L1449" t="str">
            <v>MONICA LILIANA RODRIGUEZ VELASQUEZ</v>
          </cell>
          <cell r="M1449">
            <v>31</v>
          </cell>
          <cell r="N1449" t="str">
            <v>RESOLUCION</v>
          </cell>
          <cell r="O1449">
            <v>481</v>
          </cell>
          <cell r="P1449">
            <v>43138</v>
          </cell>
          <cell r="Q1449" t="str">
            <v>AYUDA TEMPORAL A LAS FAMILIAS DE VARIAS LOCALIDADES, PARA RELOCALIZACIÓN DE HOGARES LOCALIZADOS EN ZONAS DE ALTO RIESGO NO MITIGABLE ID:2015-OTR-01372, LOCALIDAD:11 SUBA, UPZ:71 TIBABUYES, SECTOR:GAVILANES</v>
          </cell>
          <cell r="R1449">
            <v>3516527</v>
          </cell>
          <cell r="S1449">
            <v>0</v>
          </cell>
          <cell r="T1449">
            <v>0</v>
          </cell>
          <cell r="U1449">
            <v>3516527</v>
          </cell>
          <cell r="V1449">
            <v>2511805</v>
          </cell>
        </row>
        <row r="1450">
          <cell r="J1450">
            <v>812</v>
          </cell>
          <cell r="K1450">
            <v>43138</v>
          </cell>
          <cell r="L1450" t="str">
            <v>FLOR MARINA SOSA</v>
          </cell>
          <cell r="M1450">
            <v>31</v>
          </cell>
          <cell r="N1450" t="str">
            <v>RESOLUCION</v>
          </cell>
          <cell r="O1450">
            <v>482</v>
          </cell>
          <cell r="P1450">
            <v>43138</v>
          </cell>
          <cell r="Q1450" t="str">
            <v>AYUDA TEMPORAL A LAS FAMILIAS DE VARIAS LOCALIDADES, PARA RELOCALIZACIÓN DE HOGARES LOCALIZADOS EN ZONAS DE ALTO RIESGO NO MITIGABLE ID:2015-D227-00026, LOCALIDAD:04 SAN CRISTÓBAL, UPZ:51 LOS LIBERTADORES, SECTOR:SANTA TERESITA</v>
          </cell>
          <cell r="R1450">
            <v>5780541</v>
          </cell>
          <cell r="S1450">
            <v>0</v>
          </cell>
          <cell r="T1450">
            <v>0</v>
          </cell>
          <cell r="U1450">
            <v>5780541</v>
          </cell>
          <cell r="V1450">
            <v>3557256</v>
          </cell>
        </row>
        <row r="1451">
          <cell r="J1451">
            <v>813</v>
          </cell>
          <cell r="K1451">
            <v>43138</v>
          </cell>
          <cell r="L1451" t="str">
            <v>RUBIELA  SANCHEZ</v>
          </cell>
          <cell r="M1451">
            <v>31</v>
          </cell>
          <cell r="N1451" t="str">
            <v>RESOLUCION</v>
          </cell>
          <cell r="O1451">
            <v>483</v>
          </cell>
          <cell r="P1451">
            <v>43138</v>
          </cell>
          <cell r="Q1451" t="str">
            <v>AYUDA TEMPORAL A LAS FAMILIAS DE VARIAS LOCALIDADES, PARA RELOCALIZACIÓN DE HOGARES LOCALIZADOS EN ZONAS DE ALTO RIESGO NO MITIGABLE ID:2011-4-12706, LOCALIDAD:04 SAN CRISTÓBAL, UPZ:32 SAN BLAS</v>
          </cell>
          <cell r="R1451">
            <v>3022327</v>
          </cell>
          <cell r="S1451">
            <v>431761</v>
          </cell>
          <cell r="T1451">
            <v>0</v>
          </cell>
          <cell r="U1451">
            <v>2590566</v>
          </cell>
          <cell r="V1451">
            <v>2590566</v>
          </cell>
        </row>
        <row r="1452">
          <cell r="J1452">
            <v>814</v>
          </cell>
          <cell r="K1452">
            <v>43138</v>
          </cell>
          <cell r="L1452" t="str">
            <v>ANGIE LORENA CAGUA YATE</v>
          </cell>
          <cell r="M1452">
            <v>31</v>
          </cell>
          <cell r="N1452" t="str">
            <v>RESOLUCION</v>
          </cell>
          <cell r="O1452">
            <v>484</v>
          </cell>
          <cell r="P1452">
            <v>43138</v>
          </cell>
          <cell r="Q1452" t="str">
            <v>AYUDA TEMPORAL A LAS FAMILIAS DE VARIAS LOCALIDADES, PARA RELOCALIZACIÓN DE HOGARES LOCALIZADOS EN ZONAS DE ALTO RIESGO NO MITIGABLE ID:2016-08-14774, LOCALIDAD:08 KENNEDY, UPZ:82 PATIO BONITO, SECTOR:PALMITAS</v>
          </cell>
          <cell r="R1452">
            <v>5825885</v>
          </cell>
          <cell r="S1452">
            <v>0</v>
          </cell>
          <cell r="T1452">
            <v>0</v>
          </cell>
          <cell r="U1452">
            <v>5825885</v>
          </cell>
          <cell r="V1452">
            <v>3585160</v>
          </cell>
        </row>
        <row r="1453">
          <cell r="J1453">
            <v>815</v>
          </cell>
          <cell r="K1453">
            <v>43138</v>
          </cell>
          <cell r="L1453" t="str">
            <v>CELMIRA  GUARIN</v>
          </cell>
          <cell r="M1453">
            <v>31</v>
          </cell>
          <cell r="N1453" t="str">
            <v>RESOLUCION</v>
          </cell>
          <cell r="O1453">
            <v>485</v>
          </cell>
          <cell r="P1453">
            <v>43138</v>
          </cell>
          <cell r="Q1453" t="str">
            <v>AYUDA TEMPORAL A LAS FAMILIAS DE VARIAS LOCALIDADES, PARA RELOCALIZACIÓN DE HOGARES LOCALIZADOS EN ZONAS DE ALTO RIESGO NO MITIGABLE ID:2013000335, LOCALIDAD:19 CIUDAD BOLÍVAR, UPZ:67 LUCERO, SECTOR:PEÑA COLORADA</v>
          </cell>
          <cell r="R1453">
            <v>3038112</v>
          </cell>
          <cell r="S1453">
            <v>0</v>
          </cell>
          <cell r="T1453">
            <v>0</v>
          </cell>
          <cell r="U1453">
            <v>3038112</v>
          </cell>
          <cell r="V1453">
            <v>1736064</v>
          </cell>
        </row>
        <row r="1454">
          <cell r="J1454">
            <v>816</v>
          </cell>
          <cell r="K1454">
            <v>43138</v>
          </cell>
          <cell r="L1454" t="str">
            <v>DOLORES  MUNAR DE LOMBANA</v>
          </cell>
          <cell r="M1454">
            <v>31</v>
          </cell>
          <cell r="N1454" t="str">
            <v>RESOLUCION</v>
          </cell>
          <cell r="O1454">
            <v>358</v>
          </cell>
          <cell r="P1454">
            <v>43138</v>
          </cell>
          <cell r="Q1454" t="str">
            <v>AYUDA TEMPORAL A LAS FAMILIAS DE VARIAS LOCALIDADES, PARA RELOCALIZACIÓN DE HOGARES LOCALIZADOS EN ZONAS DE ALTO RIESGO NO MITIGABLE ID:2006-1-9146, LOCALIDAD:01 USAQUÉN, UPZ:11 SAN CRISTÓBAL NORTE</v>
          </cell>
          <cell r="R1454">
            <v>2606135</v>
          </cell>
          <cell r="S1454">
            <v>372305</v>
          </cell>
          <cell r="T1454">
            <v>0</v>
          </cell>
          <cell r="U1454">
            <v>2233830</v>
          </cell>
          <cell r="V1454">
            <v>2233830</v>
          </cell>
        </row>
        <row r="1455">
          <cell r="J1455">
            <v>817</v>
          </cell>
          <cell r="K1455">
            <v>43138</v>
          </cell>
          <cell r="L1455" t="str">
            <v>RAFAEL MAXIMILIANO GUEVARA SUAREZ</v>
          </cell>
          <cell r="M1455">
            <v>31</v>
          </cell>
          <cell r="N1455" t="str">
            <v>RESOLUCION</v>
          </cell>
          <cell r="O1455">
            <v>359</v>
          </cell>
          <cell r="P1455">
            <v>43138</v>
          </cell>
          <cell r="Q1455" t="str">
            <v>AYUDA TEMPORAL A LAS FAMILIAS DE VARIAS LOCALIDADES, PARA RELOCALIZACIÓN DE HOGARES LOCALIZADOS EN ZONAS DE ALTO RIESGO NO MITIGABLE ID:2013000576, LOCALIDAD:04 SAN CRISTÓBAL, UPZ:51 LOS LIBERTADORES, SECTOR:QUEBRADA VEREJONES</v>
          </cell>
          <cell r="R1455">
            <v>3983670</v>
          </cell>
          <cell r="S1455">
            <v>0</v>
          </cell>
          <cell r="T1455">
            <v>0</v>
          </cell>
          <cell r="U1455">
            <v>3983670</v>
          </cell>
          <cell r="V1455">
            <v>3186936</v>
          </cell>
        </row>
        <row r="1456">
          <cell r="J1456">
            <v>818</v>
          </cell>
          <cell r="K1456">
            <v>43138</v>
          </cell>
          <cell r="L1456" t="str">
            <v>THUYLON  CHIRINOS PRIETO</v>
          </cell>
          <cell r="M1456">
            <v>31</v>
          </cell>
          <cell r="N1456" t="str">
            <v>RESOLUCION</v>
          </cell>
          <cell r="O1456">
            <v>360</v>
          </cell>
          <cell r="P1456">
            <v>43138</v>
          </cell>
          <cell r="Q1456" t="str">
            <v>AYUDA TEMPORAL A LAS FAMILIAS DE VARIAS LOCALIDADES, PARA RELOCALIZACIÓN DE HOGARES LOCALIZADOS EN ZONAS DE ALTO RIESGO NO MITIGABLE ID:2010-4-11795, LOCALIDAD:04 SAN CRISTÓBAL, UPZ:34 20 DE JULIO, SECTOR:OLA INVERNAL 2010 FOPAE</v>
          </cell>
          <cell r="R1456">
            <v>5612893</v>
          </cell>
          <cell r="S1456">
            <v>0</v>
          </cell>
          <cell r="T1456">
            <v>0</v>
          </cell>
          <cell r="U1456">
            <v>5612893</v>
          </cell>
          <cell r="V1456">
            <v>3022327</v>
          </cell>
        </row>
        <row r="1457">
          <cell r="J1457">
            <v>819</v>
          </cell>
          <cell r="K1457">
            <v>43138</v>
          </cell>
          <cell r="L1457" t="str">
            <v>MABEL ALICIA ARANDIA PULIDO</v>
          </cell>
          <cell r="M1457">
            <v>31</v>
          </cell>
          <cell r="N1457" t="str">
            <v>RESOLUCION</v>
          </cell>
          <cell r="O1457">
            <v>361</v>
          </cell>
          <cell r="P1457">
            <v>43138</v>
          </cell>
          <cell r="Q1457" t="str">
            <v>AYUDA TEMPORAL A LAS FAMILIAS DE VARIAS LOCALIDADES, PARA RELOCALIZACIÓN DE HOGARES LOCALIZADOS EN ZONAS DE ALTO RIESGO NO MITIGABLE ID:2014-OTR-01134, LOCALIDAD:11 SUBA, UPZ:71 TIBABUYES, SECTOR:GAVILANES</v>
          </cell>
          <cell r="R1457">
            <v>6530693</v>
          </cell>
          <cell r="S1457">
            <v>0</v>
          </cell>
          <cell r="T1457">
            <v>0</v>
          </cell>
          <cell r="U1457">
            <v>6530693</v>
          </cell>
          <cell r="V1457">
            <v>4018888</v>
          </cell>
        </row>
        <row r="1458">
          <cell r="J1458">
            <v>820</v>
          </cell>
          <cell r="K1458">
            <v>43138</v>
          </cell>
          <cell r="L1458" t="str">
            <v>FANNY MARCELA MORENO ACHURI</v>
          </cell>
          <cell r="M1458">
            <v>31</v>
          </cell>
          <cell r="N1458" t="str">
            <v>RESOLUCION</v>
          </cell>
          <cell r="O1458">
            <v>362</v>
          </cell>
          <cell r="P1458">
            <v>43138</v>
          </cell>
          <cell r="Q1458" t="str">
            <v>AYUDA TEMPORAL A LAS FAMILIAS DE VARIAS LOCALIDADES, PARA RELOCALIZACIÓN DE HOGARES LOCALIZADOS EN ZONAS DE ALTO RIESGO NO MITIGABLE ID:2012-18-14326, LOCALIDAD:18 RAFAEL URIBE URIBE, UPZ:55 DIANA TURBAY</v>
          </cell>
          <cell r="R1458">
            <v>2992176</v>
          </cell>
          <cell r="S1458">
            <v>0</v>
          </cell>
          <cell r="T1458">
            <v>0</v>
          </cell>
          <cell r="U1458">
            <v>2992176</v>
          </cell>
          <cell r="V1458">
            <v>2618154</v>
          </cell>
        </row>
        <row r="1459">
          <cell r="J1459">
            <v>821</v>
          </cell>
          <cell r="K1459">
            <v>43138</v>
          </cell>
          <cell r="L1459" t="str">
            <v>NORALBA  OYOLA BOTACHE</v>
          </cell>
          <cell r="M1459">
            <v>31</v>
          </cell>
          <cell r="N1459" t="str">
            <v>RESOLUCION</v>
          </cell>
          <cell r="O1459">
            <v>486</v>
          </cell>
          <cell r="P1459">
            <v>43138</v>
          </cell>
          <cell r="Q1459" t="str">
            <v>AYUDA TEMPORAL A LAS FAMILIAS DE VARIAS LOCALIDADES, PARA RELOCALIZACIÓN DE HOGARES LOCALIZADOS EN ZONAS DE ALTO RIESGO NO MITIGABLE ID:2013000169, LOCALIDAD:19 CIUDAD BOLÍVAR, UPZ:67 LUCERO, SECTOR:QUEBRADA TROMPETA</v>
          </cell>
          <cell r="R1459">
            <v>3022327</v>
          </cell>
          <cell r="S1459">
            <v>431761</v>
          </cell>
          <cell r="T1459">
            <v>0</v>
          </cell>
          <cell r="U1459">
            <v>2590566</v>
          </cell>
          <cell r="V1459">
            <v>2590566</v>
          </cell>
        </row>
        <row r="1460">
          <cell r="J1460">
            <v>822</v>
          </cell>
          <cell r="K1460">
            <v>43138</v>
          </cell>
          <cell r="L1460" t="str">
            <v>MARIBEL  ACOSTA TRIGOS</v>
          </cell>
          <cell r="M1460">
            <v>31</v>
          </cell>
          <cell r="N1460" t="str">
            <v>RESOLUCION</v>
          </cell>
          <cell r="O1460">
            <v>363</v>
          </cell>
          <cell r="P1460">
            <v>43138</v>
          </cell>
          <cell r="Q1460" t="str">
            <v>AYUDA TEMPORAL A LAS FAMILIAS DE VARIAS LOCALIDADES, PARA RELOCALIZACIÓN DE HOGARES LOCALIZADOS EN ZONAS DE ALTO RIESGO NO MITIGABLE ID:2012-19-14129, LOCALIDAD:19 CIUDAD BOLÍVAR, UPZ:68 EL TESORO, SECTOR:QUEBRADA TROMPETA</v>
          </cell>
          <cell r="R1460">
            <v>6630390</v>
          </cell>
          <cell r="S1460">
            <v>4080240</v>
          </cell>
          <cell r="T1460">
            <v>0</v>
          </cell>
          <cell r="U1460">
            <v>2550150</v>
          </cell>
          <cell r="V1460">
            <v>2550150</v>
          </cell>
        </row>
        <row r="1461">
          <cell r="J1461">
            <v>823</v>
          </cell>
          <cell r="K1461">
            <v>43138</v>
          </cell>
          <cell r="L1461" t="str">
            <v>RUBIELA  RUIZ DE MARQUEZ</v>
          </cell>
          <cell r="M1461">
            <v>31</v>
          </cell>
          <cell r="N1461" t="str">
            <v>RESOLUCION</v>
          </cell>
          <cell r="O1461">
            <v>487</v>
          </cell>
          <cell r="P1461">
            <v>43138</v>
          </cell>
          <cell r="Q1461" t="str">
            <v>AYUDA TEMPORAL A LAS FAMILIAS DE VARIAS LOCALIDADES, PARA RELOCALIZACIÓN DE HOGARES LOCALIZADOS EN ZONAS DE ALTO RIESGO NO MITIGABLE ID:2007-19-9701, LOCALIDAD:19 CIUDAD BOLÍVAR, UPZ:69 ISMAEL PERDOMO, SECTOR:ZANJÓN MURALLA</v>
          </cell>
          <cell r="R1461">
            <v>2886653</v>
          </cell>
          <cell r="S1461">
            <v>824758</v>
          </cell>
          <cell r="T1461">
            <v>0</v>
          </cell>
          <cell r="U1461">
            <v>2061895</v>
          </cell>
          <cell r="V1461">
            <v>2061895</v>
          </cell>
        </row>
        <row r="1462">
          <cell r="J1462">
            <v>824</v>
          </cell>
          <cell r="K1462">
            <v>43138</v>
          </cell>
          <cell r="L1462" t="str">
            <v>ALBA LILIA GARCIA CORTES</v>
          </cell>
          <cell r="M1462">
            <v>31</v>
          </cell>
          <cell r="N1462" t="str">
            <v>RESOLUCION</v>
          </cell>
          <cell r="O1462">
            <v>364</v>
          </cell>
          <cell r="P1462">
            <v>43138</v>
          </cell>
          <cell r="Q1462" t="str">
            <v>AYUDA TEMPORAL A LAS FAMILIAS DE VARIAS LOCALIDADES, PARA RELOCALIZACIÓN DE HOGARES LOCALIZADOS EN ZONAS DE ALTO RIESGO NO MITIGABLE ID:2014-Q18-00938, LOCALIDAD:19 CIUDAD BOLÍVAR, UPZ:69 ISMAEL PERDOMO, SECTOR:ZANJÓN MURALLA</v>
          </cell>
          <cell r="R1462">
            <v>4804800</v>
          </cell>
          <cell r="S1462">
            <v>0</v>
          </cell>
          <cell r="T1462">
            <v>0</v>
          </cell>
          <cell r="U1462">
            <v>4804800</v>
          </cell>
          <cell r="V1462">
            <v>3843840</v>
          </cell>
        </row>
        <row r="1463">
          <cell r="J1463">
            <v>825</v>
          </cell>
          <cell r="K1463">
            <v>43138</v>
          </cell>
          <cell r="L1463" t="str">
            <v>YANELY  ISMARE PIRAZA</v>
          </cell>
          <cell r="M1463">
            <v>31</v>
          </cell>
          <cell r="N1463" t="str">
            <v>RESOLUCION</v>
          </cell>
          <cell r="O1463">
            <v>430</v>
          </cell>
          <cell r="P1463">
            <v>43138</v>
          </cell>
          <cell r="Q1463" t="str">
            <v>AYUDA TEMPORAL A LAS FAMILIAS DE VARIAS LOCALIDADES, PARA RELOCALIZACIÓN DE HOGARES LOCALIZADOS EN ZONAS DE ALTO RIESGO NO MITIGABLE ID:2014-W166-012, LOCALIDAD:19 CIUDAD BOLÍVAR, UPZ:68 EL TESORO, SECTOR:WOUNAAN</v>
          </cell>
          <cell r="R1463">
            <v>6236100</v>
          </cell>
          <cell r="S1463">
            <v>0</v>
          </cell>
          <cell r="T1463">
            <v>0</v>
          </cell>
          <cell r="U1463">
            <v>6236100</v>
          </cell>
          <cell r="V1463">
            <v>3837600</v>
          </cell>
        </row>
        <row r="1464">
          <cell r="J1464">
            <v>826</v>
          </cell>
          <cell r="K1464">
            <v>43138</v>
          </cell>
          <cell r="L1464" t="str">
            <v>MAR NIDIA NARVAEZ MENESES</v>
          </cell>
          <cell r="M1464">
            <v>31</v>
          </cell>
          <cell r="N1464" t="str">
            <v>RESOLUCION</v>
          </cell>
          <cell r="O1464">
            <v>365</v>
          </cell>
          <cell r="P1464">
            <v>43138</v>
          </cell>
          <cell r="Q1464" t="str">
            <v>AYUDA TEMPORAL A LAS FAMILIAS DE VARIAS LOCALIDADES, PARA RELOCALIZACIÓN DE HOGARES LOCALIZADOS EN ZONAS DE ALTO RIESGO NO MITIGABLE ID:2012-ALES-346, LOCALIDAD:19 CIUDAD BOLÍVAR, UPZ:69 ISMAEL PERDOMO, SECTOR:ALTOS DE LA ESTANCIA</v>
          </cell>
          <cell r="R1464">
            <v>3094182</v>
          </cell>
          <cell r="S1464">
            <v>0</v>
          </cell>
          <cell r="T1464">
            <v>0</v>
          </cell>
          <cell r="U1464">
            <v>3094182</v>
          </cell>
          <cell r="V1464">
            <v>1326078</v>
          </cell>
        </row>
        <row r="1465">
          <cell r="J1465">
            <v>827</v>
          </cell>
          <cell r="K1465">
            <v>43138</v>
          </cell>
          <cell r="L1465" t="str">
            <v>IRENE  YATE PAVA</v>
          </cell>
          <cell r="M1465">
            <v>31</v>
          </cell>
          <cell r="N1465" t="str">
            <v>RESOLUCION</v>
          </cell>
          <cell r="O1465">
            <v>366</v>
          </cell>
          <cell r="P1465">
            <v>43138</v>
          </cell>
          <cell r="Q1465" t="str">
            <v>AYUDA TEMPORAL A LAS FAMILIAS DE VARIAS LOCALIDADES, PARA RELOCALIZACIÓN DE HOGARES LOCALIZADOS EN ZONAS DE ALTO RIESGO NO MITIGABLE ID:2016-08-14819, LOCALIDAD:08 KENNEDY, UPZ:82 PATIO BONITO, SECTOR:PALMITAS</v>
          </cell>
          <cell r="R1465">
            <v>3847149</v>
          </cell>
          <cell r="S1465">
            <v>0</v>
          </cell>
          <cell r="T1465">
            <v>0</v>
          </cell>
          <cell r="U1465">
            <v>3847149</v>
          </cell>
          <cell r="V1465">
            <v>3419688</v>
          </cell>
        </row>
        <row r="1466">
          <cell r="J1466">
            <v>828</v>
          </cell>
          <cell r="K1466">
            <v>43138</v>
          </cell>
          <cell r="L1466" t="str">
            <v>BLANCA ARAMINTA MARTINEZ LAGUNA</v>
          </cell>
          <cell r="M1466">
            <v>31</v>
          </cell>
          <cell r="N1466" t="str">
            <v>RESOLUCION</v>
          </cell>
          <cell r="O1466">
            <v>367</v>
          </cell>
          <cell r="P1466">
            <v>43138</v>
          </cell>
          <cell r="Q1466" t="str">
            <v>AYUDA TEMPORAL A LAS FAMILIAS DE VARIAS LOCALIDADES, PARA RELOCALIZACIÓN DE HOGARES LOCALIZADOS EN ZONAS DE ALTO RIESGO NO MITIGABLE ID:2014-OTR-01141, LOCALIDAD:11 SUBA, UPZ:71 TIBABUYES, SECTOR:GAVILANES</v>
          </cell>
          <cell r="R1466">
            <v>6530693</v>
          </cell>
          <cell r="S1466">
            <v>0</v>
          </cell>
          <cell r="T1466">
            <v>0</v>
          </cell>
          <cell r="U1466">
            <v>6530693</v>
          </cell>
          <cell r="V1466">
            <v>4018888</v>
          </cell>
        </row>
        <row r="1467">
          <cell r="J1467">
            <v>829</v>
          </cell>
          <cell r="K1467">
            <v>43138</v>
          </cell>
          <cell r="L1467" t="str">
            <v>JULIO ERNESTO LAGOS MOJICA</v>
          </cell>
          <cell r="M1467">
            <v>31</v>
          </cell>
          <cell r="N1467" t="str">
            <v>RESOLUCION</v>
          </cell>
          <cell r="O1467">
            <v>368</v>
          </cell>
          <cell r="P1467">
            <v>43138</v>
          </cell>
          <cell r="Q1467" t="str">
            <v>AYUDA TEMPORAL A LAS FAMILIAS DE VARIAS LOCALIDADES, PARA RELOCALIZACIÓN DE HOGARES LOCALIZADOS EN ZONAS DE ALTO RIESGO NO MITIGABLE ID:2012-ALES-15, LOCALIDAD:19 CIUDAD BOLÍVAR, UPZ:69 ISMAEL PERDOMO</v>
          </cell>
          <cell r="R1467">
            <v>3157315</v>
          </cell>
          <cell r="S1467">
            <v>451045</v>
          </cell>
          <cell r="T1467">
            <v>0</v>
          </cell>
          <cell r="U1467">
            <v>2706270</v>
          </cell>
          <cell r="V1467">
            <v>2706270</v>
          </cell>
        </row>
        <row r="1468">
          <cell r="J1468">
            <v>830</v>
          </cell>
          <cell r="K1468">
            <v>43138</v>
          </cell>
          <cell r="L1468" t="str">
            <v>ALEYDA  POSADA BEDOYA</v>
          </cell>
          <cell r="M1468">
            <v>31</v>
          </cell>
          <cell r="N1468" t="str">
            <v>RESOLUCION</v>
          </cell>
          <cell r="O1468">
            <v>369</v>
          </cell>
          <cell r="P1468">
            <v>43138</v>
          </cell>
          <cell r="Q1468" t="str">
            <v>AYUDA TEMPORAL A LAS FAMILIAS DE VARIAS LOCALIDADES, PARA RELOCALIZACIÓN DE HOGARES LOCALIZADOS EN ZONAS DE ALTO RIESGO NO MITIGABLE ID:2016-08-14893, LOCALIDAD:08 KENNEDY, UPZ:82 PATIO BONITO, SECTOR:PALMITAS</v>
          </cell>
          <cell r="R1468">
            <v>4322879</v>
          </cell>
          <cell r="S1468">
            <v>0</v>
          </cell>
          <cell r="T1468">
            <v>0</v>
          </cell>
          <cell r="U1468">
            <v>4322879</v>
          </cell>
          <cell r="V1468">
            <v>2357934</v>
          </cell>
        </row>
        <row r="1469">
          <cell r="J1469">
            <v>831</v>
          </cell>
          <cell r="K1469">
            <v>43138</v>
          </cell>
          <cell r="L1469" t="str">
            <v>ADRIANA PATRICIA QUIÑONES BUSTOS</v>
          </cell>
          <cell r="M1469">
            <v>31</v>
          </cell>
          <cell r="N1469" t="str">
            <v>RESOLUCION</v>
          </cell>
          <cell r="O1469">
            <v>370</v>
          </cell>
          <cell r="P1469">
            <v>43138</v>
          </cell>
          <cell r="Q1469" t="str">
            <v>AYUDA TEMPORAL A LAS FAMILIAS DE VARIAS LOCALIDADES, PARA RELOCALIZACIÓN DE HOGARES LOCALIZADOS EN ZONAS DE ALTO RIESGO NO MITIGABLE ID:2013-Q04-00528, LOCALIDAD:19 CIUDAD BOLÍVAR, UPZ:67 LUCERO, SECTOR:PEÑA COLORADA</v>
          </cell>
          <cell r="R1469">
            <v>3788778</v>
          </cell>
          <cell r="S1469">
            <v>541254</v>
          </cell>
          <cell r="T1469">
            <v>0</v>
          </cell>
          <cell r="U1469">
            <v>3247524</v>
          </cell>
          <cell r="V1469">
            <v>3247524</v>
          </cell>
        </row>
        <row r="1470">
          <cell r="J1470">
            <v>832</v>
          </cell>
          <cell r="K1470">
            <v>43138</v>
          </cell>
          <cell r="L1470" t="str">
            <v>LUZ MARINA CRUZ</v>
          </cell>
          <cell r="M1470">
            <v>31</v>
          </cell>
          <cell r="N1470" t="str">
            <v>RESOLUCION</v>
          </cell>
          <cell r="O1470">
            <v>371</v>
          </cell>
          <cell r="P1470">
            <v>43138</v>
          </cell>
          <cell r="Q1470" t="str">
            <v>AYUDA TEMPORAL A LAS FAMILIAS DE VARIAS LOCALIDADES, PARA RELOCALIZACIÓN DE HOGARES LOCALIZADOS EN ZONAS DE ALTO RIESGO NO MITIGABLE ID:2012-19-14414, LOCALIDAD:19 CIUDAD BOLÍVAR, UPZ:68 EL TESORO, SECTOR:QUEBRADA TROMPETA</v>
          </cell>
          <cell r="R1470">
            <v>5977530</v>
          </cell>
          <cell r="S1470">
            <v>0</v>
          </cell>
          <cell r="T1470">
            <v>0</v>
          </cell>
          <cell r="U1470">
            <v>5977530</v>
          </cell>
          <cell r="V1470">
            <v>3678480</v>
          </cell>
        </row>
        <row r="1471">
          <cell r="J1471">
            <v>833</v>
          </cell>
          <cell r="K1471">
            <v>43138</v>
          </cell>
          <cell r="L1471" t="str">
            <v>YOLIBIA ANGELICA YAGUARA</v>
          </cell>
          <cell r="M1471">
            <v>31</v>
          </cell>
          <cell r="N1471" t="str">
            <v>RESOLUCION</v>
          </cell>
          <cell r="O1471">
            <v>600</v>
          </cell>
          <cell r="P1471">
            <v>43138</v>
          </cell>
          <cell r="Q1471" t="str">
            <v>Asignacion del instrumento financiero a las familias ocupantes del predio que hayan superado la fase de verificacion dentro  del marco del Decreto 457 de 2017. LOCALIDAD: KENNEDY; BARRIO: VEREDITAS; ID: 2017-8-383840</v>
          </cell>
          <cell r="R1471">
            <v>54686940</v>
          </cell>
          <cell r="S1471">
            <v>0</v>
          </cell>
          <cell r="T1471">
            <v>0</v>
          </cell>
          <cell r="U1471">
            <v>54686940</v>
          </cell>
          <cell r="V1471">
            <v>54686940</v>
          </cell>
        </row>
        <row r="1472">
          <cell r="J1472">
            <v>834</v>
          </cell>
          <cell r="K1472">
            <v>43138</v>
          </cell>
          <cell r="L1472" t="str">
            <v>GUILLERMO  LOPEZ SORA</v>
          </cell>
          <cell r="M1472">
            <v>31</v>
          </cell>
          <cell r="N1472" t="str">
            <v>RESOLUCION</v>
          </cell>
          <cell r="O1472">
            <v>601</v>
          </cell>
          <cell r="P1472">
            <v>43138</v>
          </cell>
          <cell r="Q1472" t="str">
            <v>Asignacion del instrumento financiero a las familias ocupantes del predio que hayan superado la fase de verificacion dentro  del marco del Decreto 457 de 2017. LOCALIDAD: KENNEDY; BARRIO: VEREDITAS; ID: 2017-8-383837</v>
          </cell>
          <cell r="R1472">
            <v>54686940</v>
          </cell>
          <cell r="S1472">
            <v>0</v>
          </cell>
          <cell r="T1472">
            <v>0</v>
          </cell>
          <cell r="U1472">
            <v>54686940</v>
          </cell>
          <cell r="V1472">
            <v>54686940</v>
          </cell>
        </row>
        <row r="1473">
          <cell r="J1473">
            <v>835</v>
          </cell>
          <cell r="K1473">
            <v>43138</v>
          </cell>
          <cell r="L1473" t="str">
            <v>GLORIA SOFIA ROSAS TORRES</v>
          </cell>
          <cell r="M1473">
            <v>31</v>
          </cell>
          <cell r="N1473" t="str">
            <v>RESOLUCION</v>
          </cell>
          <cell r="O1473">
            <v>459</v>
          </cell>
          <cell r="P1473">
            <v>43138</v>
          </cell>
          <cell r="Q1473" t="str">
            <v>AYUDA TEMPORAL A LAS FAMILIAS DE VARIAS LOCALIDADES, PARA RELOCALIZACIÓN DE HOGARES LOCALIZADOS EN ZONAS DE ALTO RIESGO NO MITIGABLE ID:2011-19-13328, LOCALIDAD:19 CIUDAD BOLÍVAR, UPZ:68 EL TESORO</v>
          </cell>
          <cell r="R1473">
            <v>5612893</v>
          </cell>
          <cell r="S1473">
            <v>0</v>
          </cell>
          <cell r="T1473">
            <v>0</v>
          </cell>
          <cell r="U1473">
            <v>5612893</v>
          </cell>
          <cell r="V1473">
            <v>3454088</v>
          </cell>
        </row>
        <row r="1474">
          <cell r="J1474">
            <v>836</v>
          </cell>
          <cell r="K1474">
            <v>43138</v>
          </cell>
          <cell r="L1474" t="str">
            <v>CARLOS EVELIO TANGARIFE VILLA</v>
          </cell>
          <cell r="M1474">
            <v>31</v>
          </cell>
          <cell r="N1474" t="str">
            <v>RESOLUCION</v>
          </cell>
          <cell r="O1474">
            <v>460</v>
          </cell>
          <cell r="P1474">
            <v>43138</v>
          </cell>
          <cell r="Q1474" t="str">
            <v>AYUDA TEMPORAL A LAS FAMILIAS DE VARIAS LOCALIDADES, PARA RELOCALIZACIÓN DE HOGARES LOCALIZADOS EN ZONAS DE ALTO RIESGO NO MITIGABLE ID:2011-4-12682, LOCALIDAD:04 SAN CRISTÓBAL, UPZ:32 SAN BLAS</v>
          </cell>
          <cell r="R1474">
            <v>2838689</v>
          </cell>
          <cell r="S1474">
            <v>405527</v>
          </cell>
          <cell r="T1474">
            <v>0</v>
          </cell>
          <cell r="U1474">
            <v>2433162</v>
          </cell>
          <cell r="V1474">
            <v>2433162</v>
          </cell>
        </row>
        <row r="1475">
          <cell r="J1475">
            <v>837</v>
          </cell>
          <cell r="K1475">
            <v>43138</v>
          </cell>
          <cell r="L1475" t="str">
            <v>MARIA CRISTINA PRECIADO FUQUENE</v>
          </cell>
          <cell r="M1475">
            <v>31</v>
          </cell>
          <cell r="N1475" t="str">
            <v>RESOLUCION</v>
          </cell>
          <cell r="O1475">
            <v>461</v>
          </cell>
          <cell r="P1475">
            <v>43138</v>
          </cell>
          <cell r="Q1475" t="str">
            <v>AYUDA TEMPORAL A LAS FAMILIAS DE VARIAS LOCALIDADES, PARA RELOCALIZACIÓN DE HOGARES LOCALIZADOS EN ZONAS DE ALTO RIESGO NO MITIGABLE ID:2014-P474-00744, LOCALIDAD:04 SAN CRISTÓBAL, UPZ:33 SOSIEGO, SECTOR:PROCESO LA MARIA</v>
          </cell>
          <cell r="R1475">
            <v>6006000</v>
          </cell>
          <cell r="S1475">
            <v>0</v>
          </cell>
          <cell r="T1475">
            <v>0</v>
          </cell>
          <cell r="U1475">
            <v>6006000</v>
          </cell>
          <cell r="V1475">
            <v>3696000</v>
          </cell>
        </row>
        <row r="1476">
          <cell r="J1476">
            <v>838</v>
          </cell>
          <cell r="K1476">
            <v>43138</v>
          </cell>
          <cell r="L1476" t="str">
            <v>AMADEO  ESPINOSA MONDRAGON</v>
          </cell>
          <cell r="M1476">
            <v>31</v>
          </cell>
          <cell r="N1476" t="str">
            <v>RESOLUCION</v>
          </cell>
          <cell r="O1476">
            <v>462</v>
          </cell>
          <cell r="P1476">
            <v>43138</v>
          </cell>
          <cell r="Q1476" t="str">
            <v>AYUDA TEMPORAL A LAS FAMILIAS DE VARIAS LOCALIDADES, PARA RELOCALIZACIÓN DE HOGARES LOCALIZADOS EN ZONAS DE ALTO RIESGO NO MITIGABLE ID:2013000257, LOCALIDAD:19 CIUDAD BOLÍVAR, UPZ:67 LUCERO, SECTOR:PEÑA COLORADA</v>
          </cell>
          <cell r="R1476">
            <v>2606135</v>
          </cell>
          <cell r="S1476">
            <v>372305</v>
          </cell>
          <cell r="T1476">
            <v>0</v>
          </cell>
          <cell r="U1476">
            <v>2233830</v>
          </cell>
          <cell r="V1476">
            <v>2233830</v>
          </cell>
        </row>
        <row r="1477">
          <cell r="J1477">
            <v>839</v>
          </cell>
          <cell r="K1477">
            <v>43138</v>
          </cell>
          <cell r="L1477" t="str">
            <v>JEIMY ANDREA RUBIO BERMUDEZ</v>
          </cell>
          <cell r="M1477">
            <v>31</v>
          </cell>
          <cell r="N1477" t="str">
            <v>RESOLUCION</v>
          </cell>
          <cell r="O1477">
            <v>463</v>
          </cell>
          <cell r="P1477">
            <v>43138</v>
          </cell>
          <cell r="Q1477" t="str">
            <v>AYUDA TEMPORAL A LAS FAMILIAS DE VARIAS LOCALIDADES, PARA RELOCALIZACIÓN DE HOGARES LOCALIZADOS EN ZONAS DE ALTO RIESGO NO MITIGABLE ID:2012-19-14509, LOCALIDAD:19 CIUDAD BOLÍVAR, UPZ:68 EL TESORO, SECTOR:QUEBRADA EL INFIERNO</v>
          </cell>
          <cell r="R1477">
            <v>3022327</v>
          </cell>
          <cell r="S1477">
            <v>863522</v>
          </cell>
          <cell r="T1477">
            <v>0</v>
          </cell>
          <cell r="U1477">
            <v>2158805</v>
          </cell>
          <cell r="V1477">
            <v>2158805</v>
          </cell>
        </row>
        <row r="1478">
          <cell r="J1478">
            <v>840</v>
          </cell>
          <cell r="K1478">
            <v>43138</v>
          </cell>
          <cell r="L1478" t="str">
            <v>MARLON DAMIAN VALENCIA PERTIAGA</v>
          </cell>
          <cell r="M1478">
            <v>31</v>
          </cell>
          <cell r="N1478" t="str">
            <v>RESOLUCION</v>
          </cell>
          <cell r="O1478">
            <v>464</v>
          </cell>
          <cell r="P1478">
            <v>43138</v>
          </cell>
          <cell r="Q1478" t="str">
            <v>AYUDA TEMPORAL A LAS FAMILIAS DE VARIAS LOCALIDADES, PARA RELOCALIZACIÓN DE HOGARES LOCALIZADOS EN ZONAS DE ALTO RIESGO NO MITIGABLE ID:2015-W166-534, LOCALIDAD:04 SAN CRISTÓBAL, UPZ:34 20 DE JULIO, SECTOR:EPERARA</v>
          </cell>
          <cell r="R1478">
            <v>7287618</v>
          </cell>
          <cell r="S1478">
            <v>0</v>
          </cell>
          <cell r="T1478">
            <v>0</v>
          </cell>
          <cell r="U1478">
            <v>7287618</v>
          </cell>
          <cell r="V1478">
            <v>4484688</v>
          </cell>
        </row>
        <row r="1479">
          <cell r="J1479">
            <v>841</v>
          </cell>
          <cell r="K1479">
            <v>43138</v>
          </cell>
          <cell r="L1479" t="str">
            <v>NORBERTO  DURA ISMARE</v>
          </cell>
          <cell r="M1479">
            <v>31</v>
          </cell>
          <cell r="N1479" t="str">
            <v>RESOLUCION</v>
          </cell>
          <cell r="O1479">
            <v>465</v>
          </cell>
          <cell r="P1479">
            <v>43138</v>
          </cell>
          <cell r="Q1479" t="str">
            <v>AYUDA TEMPORAL A LAS FAMILIAS DE VARIAS LOCALIDADES, PARA RELOCALIZACIÓN DE HOGARES LOCALIZADOS EN ZONAS DE ALTO RIESGO NO MITIGABLE ID:2014-W166-043, LOCALIDAD:19 CIUDAD BOLÍVAR, UPZ:67 LUCERO, SECTOR:WOUNAAN</v>
          </cell>
          <cell r="R1479">
            <v>5285280</v>
          </cell>
          <cell r="S1479">
            <v>0</v>
          </cell>
          <cell r="T1479">
            <v>0</v>
          </cell>
          <cell r="U1479">
            <v>5285280</v>
          </cell>
          <cell r="V1479">
            <v>3252480</v>
          </cell>
        </row>
        <row r="1480">
          <cell r="J1480">
            <v>842</v>
          </cell>
          <cell r="K1480">
            <v>43138</v>
          </cell>
          <cell r="L1480" t="str">
            <v>JOSE LERU DURA ISMARE</v>
          </cell>
          <cell r="M1480">
            <v>31</v>
          </cell>
          <cell r="N1480" t="str">
            <v>RESOLUCION</v>
          </cell>
          <cell r="O1480">
            <v>466</v>
          </cell>
          <cell r="P1480">
            <v>43138</v>
          </cell>
          <cell r="Q1480" t="str">
            <v>AYUDA TEMPORAL A LAS FAMILIAS DE VARIAS LOCALIDADES, PARA RELOCALIZACIÓN DE HOGARES LOCALIZADOS EN ZONAS DE ALTO RIESGO NO MITIGABLE ID:2014-W166-073, LOCALIDAD:19 CIUDAD BOLÍVAR, UPZ:68 EL TESORO, SECTOR:WOUNAAN</v>
          </cell>
          <cell r="R1480">
            <v>813120</v>
          </cell>
          <cell r="S1480">
            <v>406560</v>
          </cell>
          <cell r="T1480">
            <v>0</v>
          </cell>
          <cell r="U1480">
            <v>406560</v>
          </cell>
          <cell r="V1480">
            <v>406560</v>
          </cell>
        </row>
        <row r="1481">
          <cell r="J1481">
            <v>843</v>
          </cell>
          <cell r="K1481">
            <v>43138</v>
          </cell>
          <cell r="L1481" t="str">
            <v>BLANCA LILIANA CAMARGO LOZANO</v>
          </cell>
          <cell r="M1481">
            <v>31</v>
          </cell>
          <cell r="N1481" t="str">
            <v>RESOLUCION</v>
          </cell>
          <cell r="O1481">
            <v>467</v>
          </cell>
          <cell r="P1481">
            <v>43138</v>
          </cell>
          <cell r="Q1481" t="str">
            <v>AYUDA TEMPORAL A LAS FAMILIAS DE VARIAS LOCALIDADES, PARA RELOCALIZACIÓN DE HOGARES LOCALIZADOS EN ZONAS DE ALTO RIESGO NO MITIGABLE ID:2015-3-14762, LOCALIDAD:03 SANTA FE, UPZ:96 LOURDES</v>
          </cell>
          <cell r="R1481">
            <v>5276661</v>
          </cell>
          <cell r="S1481">
            <v>0</v>
          </cell>
          <cell r="T1481">
            <v>0</v>
          </cell>
          <cell r="U1481">
            <v>5276661</v>
          </cell>
          <cell r="V1481">
            <v>3247176</v>
          </cell>
        </row>
        <row r="1482">
          <cell r="J1482">
            <v>844</v>
          </cell>
          <cell r="K1482">
            <v>43138</v>
          </cell>
          <cell r="L1482" t="str">
            <v>LUZ ANGELA CASTRO REYES</v>
          </cell>
          <cell r="M1482">
            <v>31</v>
          </cell>
          <cell r="N1482" t="str">
            <v>RESOLUCION</v>
          </cell>
          <cell r="O1482">
            <v>468</v>
          </cell>
          <cell r="P1482">
            <v>43138</v>
          </cell>
          <cell r="Q1482" t="str">
            <v>AYUDA TEMPORAL A LAS FAMILIAS DE VARIAS LOCALIDADES, PARA RELOCALIZACIÓN DE HOGARES LOCALIZADOS EN ZONAS DE ALTO RIESGO NO MITIGABLE ID:2012-19-13954, LOCALIDAD:19 CIUDAD BOLÍVAR, UPZ:68 EL TESORO</v>
          </cell>
          <cell r="R1482">
            <v>4491802</v>
          </cell>
          <cell r="S1482">
            <v>641686</v>
          </cell>
          <cell r="T1482">
            <v>0</v>
          </cell>
          <cell r="U1482">
            <v>3850116</v>
          </cell>
          <cell r="V1482">
            <v>3850116</v>
          </cell>
        </row>
        <row r="1483">
          <cell r="J1483">
            <v>845</v>
          </cell>
          <cell r="K1483">
            <v>43138</v>
          </cell>
          <cell r="L1483" t="str">
            <v>MARIA YOLANDA NAJAR</v>
          </cell>
          <cell r="M1483">
            <v>31</v>
          </cell>
          <cell r="N1483" t="str">
            <v>RESOLUCION</v>
          </cell>
          <cell r="O1483">
            <v>469</v>
          </cell>
          <cell r="P1483">
            <v>43138</v>
          </cell>
          <cell r="Q1483" t="str">
            <v>AYUDA TEMPORAL A LAS FAMILIAS DE VARIAS LOCALIDADES, PARA RELOCALIZACIÓN DE HOGARES LOCALIZADOS EN ZONAS DE ALTO RIESGO NO MITIGABLE ID:2006-3-9158, LOCALIDAD:03 SANTA FE, UPZ:92 LA MACARENA</v>
          </cell>
          <cell r="R1483">
            <v>5430984</v>
          </cell>
          <cell r="S1483">
            <v>0</v>
          </cell>
          <cell r="T1483">
            <v>0</v>
          </cell>
          <cell r="U1483">
            <v>5430984</v>
          </cell>
          <cell r="V1483">
            <v>3342144</v>
          </cell>
        </row>
        <row r="1484">
          <cell r="J1484">
            <v>846</v>
          </cell>
          <cell r="K1484">
            <v>43138</v>
          </cell>
          <cell r="L1484" t="str">
            <v>CARLOS JULIO CUCUNUBA PANQUEBA</v>
          </cell>
          <cell r="M1484">
            <v>31</v>
          </cell>
          <cell r="N1484" t="str">
            <v>RESOLUCION</v>
          </cell>
          <cell r="O1484">
            <v>470</v>
          </cell>
          <cell r="P1484">
            <v>43138</v>
          </cell>
          <cell r="Q1484" t="str">
            <v>AYUDA TEMPORAL A LAS FAMILIAS DE VARIAS LOCALIDADES, PARA RELOCALIZACIÓN DE HOGARES LOCALIZADOS EN ZONAS DE ALTO RIESGO NO MITIGABLE ID:2015-D227-00044, LOCALIDAD:04 SAN CRISTÓBAL, UPZ:51 LOS LIBERTADORES, SECTOR:SANTA TERESITA</v>
          </cell>
          <cell r="R1484">
            <v>5612893</v>
          </cell>
          <cell r="S1484">
            <v>0</v>
          </cell>
          <cell r="T1484">
            <v>0</v>
          </cell>
          <cell r="U1484">
            <v>5612893</v>
          </cell>
          <cell r="V1484">
            <v>3454088</v>
          </cell>
        </row>
        <row r="1485">
          <cell r="J1485">
            <v>847</v>
          </cell>
          <cell r="K1485">
            <v>43138</v>
          </cell>
          <cell r="L1485" t="str">
            <v>LUZ MARINA QUIROGA</v>
          </cell>
          <cell r="M1485">
            <v>31</v>
          </cell>
          <cell r="N1485" t="str">
            <v>RESOLUCION</v>
          </cell>
          <cell r="O1485">
            <v>472</v>
          </cell>
          <cell r="P1485">
            <v>43138</v>
          </cell>
          <cell r="Q1485" t="str">
            <v>AYUDA TEMPORAL A LAS FAMILIAS DE VARIAS LOCALIDADES, PARA RELOCALIZACIÓN DE HOGARES LOCALIZADOS EN ZONAS DE ALTO RIESGO NO MITIGABLE ID:2016-08-14881, LOCALIDAD:08 KENNEDY, UPZ:82 PATIO BONITO, SECTOR:PALMITAS</v>
          </cell>
          <cell r="R1485">
            <v>5274672</v>
          </cell>
          <cell r="S1485">
            <v>0</v>
          </cell>
          <cell r="T1485">
            <v>0</v>
          </cell>
          <cell r="U1485">
            <v>5274672</v>
          </cell>
          <cell r="V1485">
            <v>3245952</v>
          </cell>
        </row>
        <row r="1486">
          <cell r="J1486">
            <v>848</v>
          </cell>
          <cell r="K1486">
            <v>43138</v>
          </cell>
          <cell r="L1486" t="str">
            <v>MARIA ODILIA BARBOSA SABOGAL</v>
          </cell>
          <cell r="M1486">
            <v>31</v>
          </cell>
          <cell r="N1486" t="str">
            <v>RESOLUCION</v>
          </cell>
          <cell r="O1486">
            <v>473</v>
          </cell>
          <cell r="P1486">
            <v>43138</v>
          </cell>
          <cell r="Q1486" t="str">
            <v>AYUDA TEMPORAL A LAS FAMILIAS DE VARIAS LOCALIDADES, PARA RELOCALIZACIÓN DE HOGARES LOCALIZADOS EN ZONAS DE ALTO RIESGO NO MITIGABLE ID:2013000130, LOCALIDAD:04 SAN CRISTÓBAL, UPZ:51 LOS LIBERTADORES, SECTOR:QUEBRADA VEREJONES</v>
          </cell>
          <cell r="R1486">
            <v>5285280</v>
          </cell>
          <cell r="S1486">
            <v>0</v>
          </cell>
          <cell r="T1486">
            <v>0</v>
          </cell>
          <cell r="U1486">
            <v>5285280</v>
          </cell>
          <cell r="V1486">
            <v>3252480</v>
          </cell>
        </row>
        <row r="1487">
          <cell r="J1487">
            <v>849</v>
          </cell>
          <cell r="K1487">
            <v>43138</v>
          </cell>
          <cell r="L1487" t="str">
            <v>MIRYAM  PIAMBA MAJIN</v>
          </cell>
          <cell r="M1487">
            <v>31</v>
          </cell>
          <cell r="N1487" t="str">
            <v>RESOLUCION</v>
          </cell>
          <cell r="O1487">
            <v>474</v>
          </cell>
          <cell r="P1487">
            <v>43138</v>
          </cell>
          <cell r="Q1487" t="str">
            <v>AYUDA TEMPORAL A LAS FAMILIAS DE VARIAS LOCALIDADES, PARA RELOCALIZACIÓN DE HOGARES LOCALIZADOS EN ZONAS DE ALTO RIESGO NO MITIGABLE ID:2011-4-13294, LOCALIDAD:04 SAN CRISTÓBAL, UPZ:51 LOS LIBERTADORES, SECTOR:QUEBRADA VEREJONES</v>
          </cell>
          <cell r="R1487">
            <v>6127264</v>
          </cell>
          <cell r="S1487">
            <v>0</v>
          </cell>
          <cell r="T1487">
            <v>0</v>
          </cell>
          <cell r="U1487">
            <v>6127264</v>
          </cell>
          <cell r="V1487">
            <v>3770624</v>
          </cell>
        </row>
        <row r="1488">
          <cell r="J1488">
            <v>850</v>
          </cell>
          <cell r="K1488">
            <v>43138</v>
          </cell>
          <cell r="L1488" t="str">
            <v>JORGE ANDRES MARTINEZ</v>
          </cell>
          <cell r="M1488">
            <v>31</v>
          </cell>
          <cell r="N1488" t="str">
            <v>RESOLUCION</v>
          </cell>
          <cell r="O1488">
            <v>475</v>
          </cell>
          <cell r="P1488">
            <v>43138</v>
          </cell>
          <cell r="Q1488" t="str">
            <v>AYUDA TEMPORAL A LAS FAMILIAS DE VARIAS LOCALIDADES, PARA RELOCALIZACIÓN DE HOGARES LOCALIZADOS EN ZONAS DE ALTO RIESGO NO MITIGABLE ID:2017-08-14926, LOCALIDAD:08 KENNEDY, UPZ:82 PATIO BONITO, SECTOR:PALMITAS</v>
          </cell>
          <cell r="R1488">
            <v>5825885</v>
          </cell>
          <cell r="S1488">
            <v>0</v>
          </cell>
          <cell r="T1488">
            <v>0</v>
          </cell>
          <cell r="U1488">
            <v>5825885</v>
          </cell>
          <cell r="V1488">
            <v>896290</v>
          </cell>
        </row>
        <row r="1489">
          <cell r="J1489">
            <v>851</v>
          </cell>
          <cell r="K1489">
            <v>43138</v>
          </cell>
          <cell r="L1489" t="str">
            <v>LUZ STELLA MORA CABALLERO</v>
          </cell>
          <cell r="M1489">
            <v>31</v>
          </cell>
          <cell r="N1489" t="str">
            <v>RESOLUCION</v>
          </cell>
          <cell r="O1489">
            <v>476</v>
          </cell>
          <cell r="P1489">
            <v>43138</v>
          </cell>
          <cell r="Q1489" t="str">
            <v>AYUDA TEMPORAL A LAS FAMILIAS DE VARIAS LOCALIDADES, PARA RELOCALIZACIÓN DE HOGARES LOCALIZADOS EN ZONAS DE ALTO RIESGO NO MITIGABLE ID:2013000251, LOCALIDAD:19 CIUDAD BOLÍVAR, UPZ:67 LUCERO, SECTOR:PEÑA COLORADA</v>
          </cell>
          <cell r="R1489">
            <v>3873016</v>
          </cell>
          <cell r="S1489">
            <v>0</v>
          </cell>
          <cell r="T1489">
            <v>0</v>
          </cell>
          <cell r="U1489">
            <v>3873016</v>
          </cell>
          <cell r="V1489">
            <v>2213152</v>
          </cell>
        </row>
        <row r="1490">
          <cell r="J1490">
            <v>852</v>
          </cell>
          <cell r="K1490">
            <v>43138</v>
          </cell>
          <cell r="L1490" t="str">
            <v>LUIS ENRIQUE CARDOZO ACOSTA</v>
          </cell>
          <cell r="M1490">
            <v>31</v>
          </cell>
          <cell r="N1490" t="str">
            <v>RESOLUCION</v>
          </cell>
          <cell r="O1490">
            <v>477</v>
          </cell>
          <cell r="P1490">
            <v>43138</v>
          </cell>
          <cell r="Q1490" t="str">
            <v>AYUDA TEMPORAL A LAS FAMILIAS DE VARIAS LOCALIDADES, PARA RELOCALIZACIÓN DE HOGARES LOCALIZADOS EN ZONAS DE ALTO RIESGO NO MITIGABLE ID:2012-4-14267, LOCALIDAD:04 SAN CRISTÓBAL, UPZ:32 SAN BLAS</v>
          </cell>
          <cell r="R1490">
            <v>4942301</v>
          </cell>
          <cell r="S1490">
            <v>0</v>
          </cell>
          <cell r="T1490">
            <v>0</v>
          </cell>
          <cell r="U1490">
            <v>4942301</v>
          </cell>
          <cell r="V1490">
            <v>3041416</v>
          </cell>
        </row>
        <row r="1491">
          <cell r="J1491">
            <v>853</v>
          </cell>
          <cell r="K1491">
            <v>43139</v>
          </cell>
          <cell r="L1491" t="str">
            <v>ALBENIS  TORRES</v>
          </cell>
          <cell r="M1491">
            <v>31</v>
          </cell>
          <cell r="N1491" t="str">
            <v>RESOLUCION</v>
          </cell>
          <cell r="O1491">
            <v>431</v>
          </cell>
          <cell r="P1491">
            <v>43139</v>
          </cell>
          <cell r="Q1491" t="str">
            <v>AYUDA TEMPORAL A LAS FAMILIAS DE VARIAS LOCALIDADES, PARA RELOCALIZACIÓN DE HOGARES LOCALIZADOS EN ZONAS DE ALTO RIESGO NO MITIGABLE ID:2013-Q10-00213, LOCALIDAD:04 SAN CRISTÓBAL, UPZ:51 LOS LIBERTADORES, SECTOR:QUEBRADA VEREJONES</v>
          </cell>
          <cell r="R1491">
            <v>2887073</v>
          </cell>
          <cell r="S1491">
            <v>412439</v>
          </cell>
          <cell r="T1491">
            <v>0</v>
          </cell>
          <cell r="U1491">
            <v>2474634</v>
          </cell>
          <cell r="V1491">
            <v>2474634</v>
          </cell>
        </row>
        <row r="1492">
          <cell r="J1492">
            <v>854</v>
          </cell>
          <cell r="K1492">
            <v>43139</v>
          </cell>
          <cell r="L1492" t="str">
            <v>ALCIRA  VELASQUEZ CHIQUIZA</v>
          </cell>
          <cell r="M1492">
            <v>31</v>
          </cell>
          <cell r="N1492" t="str">
            <v>RESOLUCION</v>
          </cell>
          <cell r="O1492">
            <v>432</v>
          </cell>
          <cell r="P1492">
            <v>43139</v>
          </cell>
          <cell r="Q1492" t="str">
            <v>AYUDA TEMPORAL A LAS FAMILIAS DE VARIAS LOCALIDADES, PARA RELOCALIZACIÓN DE HOGARES LOCALIZADOS EN ZONAS DE ALTO RIESGO NO MITIGABLE ID:2011-19-12536, LOCALIDAD:19 CIUDAD BOLÍVAR, UPZ:69 ISMAEL PERDOMO, SECTOR:OLA INVERNAL 2010 FOPAE</v>
          </cell>
          <cell r="R1492">
            <v>2845920</v>
          </cell>
          <cell r="S1492">
            <v>406560</v>
          </cell>
          <cell r="T1492">
            <v>0</v>
          </cell>
          <cell r="U1492">
            <v>2439360</v>
          </cell>
          <cell r="V1492">
            <v>2439360</v>
          </cell>
        </row>
        <row r="1493">
          <cell r="J1493">
            <v>855</v>
          </cell>
          <cell r="K1493">
            <v>43139</v>
          </cell>
          <cell r="L1493" t="str">
            <v>LUZ ESPERANZA AGUILAR CUTIVA</v>
          </cell>
          <cell r="M1493">
            <v>31</v>
          </cell>
          <cell r="N1493" t="str">
            <v>RESOLUCION</v>
          </cell>
          <cell r="O1493">
            <v>433</v>
          </cell>
          <cell r="P1493">
            <v>43139</v>
          </cell>
          <cell r="Q1493" t="str">
            <v>AYUDA TEMPORAL A LAS FAMILIAS DE VARIAS LOCALIDADES, PARA RELOCALIZACIÓN DE HOGARES LOCALIZADOS EN ZONAS DE ALTO RIESGO NO MITIGABLE ID:2014-Q03-00992, LOCALIDAD:19 CIUDAD BOLÍVAR, UPZ:66 SAN FRANCISCO, SECTOR:LIMAS</v>
          </cell>
          <cell r="R1493">
            <v>3606526</v>
          </cell>
          <cell r="S1493">
            <v>515218</v>
          </cell>
          <cell r="T1493">
            <v>0</v>
          </cell>
          <cell r="U1493">
            <v>3091308</v>
          </cell>
          <cell r="V1493">
            <v>3091308</v>
          </cell>
        </row>
        <row r="1494">
          <cell r="J1494">
            <v>856</v>
          </cell>
          <cell r="K1494">
            <v>43139</v>
          </cell>
          <cell r="L1494" t="str">
            <v>YOLANDA  RINCON RODRIGUEZ</v>
          </cell>
          <cell r="M1494">
            <v>31</v>
          </cell>
          <cell r="N1494" t="str">
            <v>RESOLUCION</v>
          </cell>
          <cell r="O1494">
            <v>434</v>
          </cell>
          <cell r="P1494">
            <v>43139</v>
          </cell>
          <cell r="Q1494" t="str">
            <v>AYUDA TEMPORAL A LAS FAMILIAS DE VARIAS LOCALIDADES, PARA RELOCALIZACIÓN DE HOGARES LOCALIZADOS EN ZONAS DE ALTO RIESGO NO MITIGABLE ID:2006-19-8121, LOCALIDAD:19 CIUDAD BOLÍVAR, UPZ:66 SAN FRANCISCO</v>
          </cell>
          <cell r="R1494">
            <v>6743880</v>
          </cell>
          <cell r="S1494">
            <v>0</v>
          </cell>
          <cell r="T1494">
            <v>0</v>
          </cell>
          <cell r="U1494">
            <v>6743880</v>
          </cell>
          <cell r="V1494">
            <v>4150080</v>
          </cell>
        </row>
        <row r="1495">
          <cell r="J1495">
            <v>857</v>
          </cell>
          <cell r="K1495">
            <v>43139</v>
          </cell>
          <cell r="L1495" t="str">
            <v>BRUCELEE  MOÑA MEPAQUITO</v>
          </cell>
          <cell r="M1495">
            <v>31</v>
          </cell>
          <cell r="N1495" t="str">
            <v>RESOLUCION</v>
          </cell>
          <cell r="O1495">
            <v>435</v>
          </cell>
          <cell r="P1495">
            <v>43139</v>
          </cell>
          <cell r="Q1495" t="str">
            <v>AYUDA TEMPORAL A LAS FAMILIAS DE VARIAS LOCALIDADES, PARA RELOCALIZACIÓN DE HOGARES LOCALIZADOS EN ZONAS DE ALTO RIESGO NO MITIGABLE ID:2015-W166-522, LOCALIDAD:19 CIUDAD BOLÍVAR, UPZ:67 LUCERO, SECTOR:WOUNAAN</v>
          </cell>
          <cell r="R1495">
            <v>6868797</v>
          </cell>
          <cell r="S1495">
            <v>0</v>
          </cell>
          <cell r="T1495">
            <v>0</v>
          </cell>
          <cell r="U1495">
            <v>6868797</v>
          </cell>
          <cell r="V1495">
            <v>4226952</v>
          </cell>
        </row>
        <row r="1496">
          <cell r="J1496">
            <v>858</v>
          </cell>
          <cell r="K1496">
            <v>43139</v>
          </cell>
          <cell r="L1496" t="str">
            <v>LUIS ORLANDO AGUILLON CASTAÑEDA</v>
          </cell>
          <cell r="M1496">
            <v>31</v>
          </cell>
          <cell r="N1496" t="str">
            <v>RESOLUCION</v>
          </cell>
          <cell r="O1496">
            <v>436</v>
          </cell>
          <cell r="P1496">
            <v>43139</v>
          </cell>
          <cell r="Q1496" t="str">
            <v>AYUDA TEMPORAL A LAS FAMILIAS DE VARIAS LOCALIDADES, PARA RELOCALIZACIÓN DE HOGARES LOCALIZADOS EN ZONAS DE ALTO RIESGO NO MITIGABLE ID:2014-19-14698, LOCALIDAD:19 CIUDAD BOLÍVAR, UPZ:67 LUCERO</v>
          </cell>
          <cell r="R1496">
            <v>2846046</v>
          </cell>
          <cell r="S1496">
            <v>0</v>
          </cell>
          <cell r="T1496">
            <v>0</v>
          </cell>
          <cell r="U1496">
            <v>2846046</v>
          </cell>
          <cell r="V1496">
            <v>1626312</v>
          </cell>
        </row>
        <row r="1497">
          <cell r="J1497">
            <v>859</v>
          </cell>
          <cell r="K1497">
            <v>43139</v>
          </cell>
          <cell r="L1497" t="str">
            <v>MARIA HIDALIA DURANGO</v>
          </cell>
          <cell r="M1497">
            <v>31</v>
          </cell>
          <cell r="N1497" t="str">
            <v>RESOLUCION</v>
          </cell>
          <cell r="O1497">
            <v>437</v>
          </cell>
          <cell r="P1497">
            <v>43139</v>
          </cell>
          <cell r="Q1497" t="str">
            <v>AYUDA TEMPORAL A LAS FAMILIAS DE VARIAS LOCALIDADES, PARA RELOCALIZACIÓN DE HOGARES LOCALIZADOS EN ZONAS DE ALTO RIESGO NO MITIGABLE ID:2011-5-13011, LOCALIDAD:05 USME, UPZ:56 DANUBIO</v>
          </cell>
          <cell r="R1497">
            <v>2582006</v>
          </cell>
          <cell r="S1497">
            <v>368858</v>
          </cell>
          <cell r="T1497">
            <v>0</v>
          </cell>
          <cell r="U1497">
            <v>2213148</v>
          </cell>
          <cell r="V1497">
            <v>2213148</v>
          </cell>
        </row>
        <row r="1498">
          <cell r="J1498">
            <v>860</v>
          </cell>
          <cell r="K1498">
            <v>43139</v>
          </cell>
          <cell r="L1498" t="str">
            <v>NELSON  DELGADO RAMIREZ</v>
          </cell>
          <cell r="M1498">
            <v>31</v>
          </cell>
          <cell r="N1498" t="str">
            <v>RESOLUCION</v>
          </cell>
          <cell r="O1498">
            <v>438</v>
          </cell>
          <cell r="P1498">
            <v>43139</v>
          </cell>
          <cell r="Q1498" t="str">
            <v>AYUDA TEMPORAL A LAS FAMILIAS DE VARIAS LOCALIDADES, PARA RELOCALIZACIÓN DE HOGARES LOCALIZADOS EN ZONAS DE ALTO RIESGO NO MITIGABLE ID:2014-Q09-01185, LOCALIDAD:19 CIUDAD BOLÍVAR, UPZ:67 LUCERO, SECTOR:QUEBRADA TROMPETA</v>
          </cell>
          <cell r="R1498">
            <v>2434516</v>
          </cell>
          <cell r="S1498">
            <v>347788</v>
          </cell>
          <cell r="T1498">
            <v>0</v>
          </cell>
          <cell r="U1498">
            <v>2086728</v>
          </cell>
          <cell r="V1498">
            <v>2086728</v>
          </cell>
        </row>
        <row r="1499">
          <cell r="J1499">
            <v>861</v>
          </cell>
          <cell r="K1499">
            <v>43139</v>
          </cell>
          <cell r="L1499" t="str">
            <v>ALEXANDRA NATALI SANCHEZ RODRIGUEZ</v>
          </cell>
          <cell r="M1499">
            <v>31</v>
          </cell>
          <cell r="N1499" t="str">
            <v>RESOLUCION</v>
          </cell>
          <cell r="O1499">
            <v>439</v>
          </cell>
          <cell r="P1499">
            <v>43139</v>
          </cell>
          <cell r="Q1499" t="str">
            <v>AYUDA TEMPORAL A LAS FAMILIAS DE VARIAS LOCALIDADES, PARA RELOCALIZACIÓN DE HOGARES LOCALIZADOS EN ZONAS DE ALTO RIESGO NO MITIGABLE ID:2015-ALES-534, LOCALIDAD:19 CIUDAD BOLÍVAR, UPZ:69 ISMAEL PERDOMO, SECTOR:ALTOS DE LA ESTANCIA</v>
          </cell>
          <cell r="R1499">
            <v>5863585</v>
          </cell>
          <cell r="S1499">
            <v>0</v>
          </cell>
          <cell r="T1499">
            <v>0</v>
          </cell>
          <cell r="U1499">
            <v>5863585</v>
          </cell>
          <cell r="V1499">
            <v>3608360</v>
          </cell>
        </row>
        <row r="1500">
          <cell r="J1500">
            <v>862</v>
          </cell>
          <cell r="K1500">
            <v>43139</v>
          </cell>
          <cell r="L1500" t="str">
            <v>YENI ESPERANZA ROJAS MARTINEZ</v>
          </cell>
          <cell r="M1500">
            <v>31</v>
          </cell>
          <cell r="N1500" t="str">
            <v>RESOLUCION</v>
          </cell>
          <cell r="O1500">
            <v>440</v>
          </cell>
          <cell r="P1500">
            <v>43139</v>
          </cell>
          <cell r="Q1500" t="str">
            <v>AYUDA TEMPORAL A LAS FAMILIAS DE VARIAS LOCALIDADES, PARA RELOCALIZACIÓN DE HOGARES LOCALIZADOS EN ZONAS DE ALTO RIESGO NO MITIGABLE ID:2015-19-14746, LOCALIDAD:19 CIUDAD BOLÍVAR, UPZ:68 EL TESORO</v>
          </cell>
          <cell r="R1500">
            <v>4986969</v>
          </cell>
          <cell r="S1500">
            <v>0</v>
          </cell>
          <cell r="T1500">
            <v>0</v>
          </cell>
          <cell r="U1500">
            <v>4986969</v>
          </cell>
          <cell r="V1500">
            <v>3068904</v>
          </cell>
        </row>
        <row r="1501">
          <cell r="J1501">
            <v>863</v>
          </cell>
          <cell r="K1501">
            <v>43139</v>
          </cell>
          <cell r="L1501" t="str">
            <v>ROMULO JESUS YATE VEGA</v>
          </cell>
          <cell r="M1501">
            <v>31</v>
          </cell>
          <cell r="N1501" t="str">
            <v>RESOLUCION</v>
          </cell>
          <cell r="O1501">
            <v>441</v>
          </cell>
          <cell r="P1501">
            <v>43139</v>
          </cell>
          <cell r="Q1501" t="str">
            <v>AYUDA TEMPORAL A LAS FAMILIAS DE VARIAS LOCALIDADES, PARA RELOCALIZACIÓN DE HOGARES LOCALIZADOS EN ZONAS DE ALTO RIESGO NO MITIGABLE ID:2012-ALES-377, LOCALIDAD:19 CIUDAD BOLÍVAR, UPZ:69 ISMAEL PERDOMO, SECTOR:ALTOS DE LA ESTANCIA</v>
          </cell>
          <cell r="R1501">
            <v>3017000</v>
          </cell>
          <cell r="S1501">
            <v>431000</v>
          </cell>
          <cell r="T1501">
            <v>0</v>
          </cell>
          <cell r="U1501">
            <v>2586000</v>
          </cell>
          <cell r="V1501">
            <v>2586000</v>
          </cell>
        </row>
        <row r="1502">
          <cell r="J1502">
            <v>864</v>
          </cell>
          <cell r="K1502">
            <v>43139</v>
          </cell>
          <cell r="L1502" t="str">
            <v>ADRIANA  SIERRA</v>
          </cell>
          <cell r="M1502">
            <v>31</v>
          </cell>
          <cell r="N1502" t="str">
            <v>RESOLUCION</v>
          </cell>
          <cell r="O1502">
            <v>442</v>
          </cell>
          <cell r="P1502">
            <v>43139</v>
          </cell>
          <cell r="Q1502" t="str">
            <v>AYUDA TEMPORAL A LAS FAMILIAS DE VARIAS LOCALIDADES, PARA RELOCALIZACIÓN DE HOGARES LOCALIZADOS EN ZONAS DE ALTO RIESGO NO MITIGABLE ID:2014-OTR-00952, LOCALIDAD:19 CIUDAD BOLÍVAR, UPZ:67 LUCERO, SECTOR:TABOR ALTALOMA</v>
          </cell>
          <cell r="R1502">
            <v>3017000</v>
          </cell>
          <cell r="S1502">
            <v>431000</v>
          </cell>
          <cell r="T1502">
            <v>0</v>
          </cell>
          <cell r="U1502">
            <v>2586000</v>
          </cell>
          <cell r="V1502">
            <v>2586000</v>
          </cell>
        </row>
        <row r="1503">
          <cell r="J1503">
            <v>865</v>
          </cell>
          <cell r="K1503">
            <v>43139</v>
          </cell>
          <cell r="L1503" t="str">
            <v>JHON EDUARDO CABALLERO URRIAGO</v>
          </cell>
          <cell r="M1503">
            <v>31</v>
          </cell>
          <cell r="N1503" t="str">
            <v>RESOLUCION</v>
          </cell>
          <cell r="O1503">
            <v>443</v>
          </cell>
          <cell r="P1503">
            <v>43139</v>
          </cell>
          <cell r="Q1503" t="str">
            <v>AYUDA TEMPORAL A LAS FAMILIAS DE VARIAS LOCALIDADES, PARA RELOCALIZACIÓN DE HOGARES LOCALIZADOS EN ZONAS DE ALTO RIESGO NO MITIGABLE ID:2014-Q03-01081, LOCALIDAD:19 CIUDAD BOLÍVAR, UPZ:66 SAN FRANCISCO, SECTOR:LIMAS</v>
          </cell>
          <cell r="R1503">
            <v>2582006</v>
          </cell>
          <cell r="S1503">
            <v>368858</v>
          </cell>
          <cell r="T1503">
            <v>0</v>
          </cell>
          <cell r="U1503">
            <v>2213148</v>
          </cell>
          <cell r="V1503">
            <v>2213148</v>
          </cell>
        </row>
        <row r="1504">
          <cell r="J1504">
            <v>866</v>
          </cell>
          <cell r="K1504">
            <v>43139</v>
          </cell>
          <cell r="L1504" t="str">
            <v>ELIDA  MOÑA ISMARE</v>
          </cell>
          <cell r="M1504">
            <v>31</v>
          </cell>
          <cell r="N1504" t="str">
            <v>RESOLUCION</v>
          </cell>
          <cell r="O1504">
            <v>444</v>
          </cell>
          <cell r="P1504">
            <v>43139</v>
          </cell>
          <cell r="Q1504" t="str">
            <v>AYUDA TEMPORAL A LAS FAMILIAS DE VARIAS LOCALIDADES, PARA RELOCALIZACIÓN DE HOGARES LOCALIZADOS EN ZONAS DE ALTO RIESGO NO MITIGABLE ID:2015-W166-525, LOCALIDAD:05 USME, UPZ:59 ALFONSO LÓPEZ, SECTOR:WOUNAAN</v>
          </cell>
          <cell r="R1504">
            <v>6868797</v>
          </cell>
          <cell r="S1504">
            <v>0</v>
          </cell>
          <cell r="T1504">
            <v>0</v>
          </cell>
          <cell r="U1504">
            <v>6868797</v>
          </cell>
          <cell r="V1504">
            <v>4226952</v>
          </cell>
        </row>
        <row r="1505">
          <cell r="J1505">
            <v>867</v>
          </cell>
          <cell r="K1505">
            <v>43139</v>
          </cell>
          <cell r="L1505" t="str">
            <v>JOEL ANTONIO VARELA LUGO</v>
          </cell>
          <cell r="M1505">
            <v>31</v>
          </cell>
          <cell r="N1505" t="str">
            <v>RESOLUCION</v>
          </cell>
          <cell r="O1505">
            <v>445</v>
          </cell>
          <cell r="P1505">
            <v>43139</v>
          </cell>
          <cell r="Q1505" t="str">
            <v>AYUDA TEMPORAL A LAS FAMILIAS DE VARIAS LOCALIDADES, PARA RELOCALIZACIÓN DE HOGARES LOCALIZADOS EN ZONAS DE ALTO RIESGO NO MITIGABLE ID:2012-T314-16, LOCALIDAD:04 SAN CRISTÓBAL, UPZ:50 LA GLORIA</v>
          </cell>
          <cell r="R1505">
            <v>2334420</v>
          </cell>
          <cell r="S1505">
            <v>389070</v>
          </cell>
          <cell r="T1505">
            <v>0</v>
          </cell>
          <cell r="U1505">
            <v>1945350</v>
          </cell>
          <cell r="V1505">
            <v>1945350</v>
          </cell>
        </row>
        <row r="1506">
          <cell r="J1506">
            <v>868</v>
          </cell>
          <cell r="K1506">
            <v>43139</v>
          </cell>
          <cell r="L1506" t="str">
            <v>MARIA CRISTINA GALINDO MEDINA</v>
          </cell>
          <cell r="M1506">
            <v>31</v>
          </cell>
          <cell r="N1506" t="str">
            <v>RESOLUCION</v>
          </cell>
          <cell r="O1506">
            <v>446</v>
          </cell>
          <cell r="P1506">
            <v>43139</v>
          </cell>
          <cell r="Q1506" t="str">
            <v>AYUDA TEMPORAL A LAS FAMILIAS DE VARIAS LOCALIDADES, PARA RELOCALIZACIÓN DE HOGARES LOCALIZADOS EN ZONAS DE ALTO RIESGO NO MITIGABLE ID:2011-4-12676, LOCALIDAD:04 SAN CRISTÓBAL, UPZ:32 SAN BLAS</v>
          </cell>
          <cell r="R1506">
            <v>2087754</v>
          </cell>
          <cell r="S1506">
            <v>0</v>
          </cell>
          <cell r="T1506">
            <v>0</v>
          </cell>
          <cell r="U1506">
            <v>2087754</v>
          </cell>
          <cell r="V1506">
            <v>1739795</v>
          </cell>
        </row>
        <row r="1507">
          <cell r="J1507">
            <v>869</v>
          </cell>
          <cell r="K1507">
            <v>43139</v>
          </cell>
          <cell r="L1507" t="str">
            <v>JAQUELINE  LOPEZ PEREZ</v>
          </cell>
          <cell r="M1507">
            <v>31</v>
          </cell>
          <cell r="N1507" t="str">
            <v>RESOLUCION</v>
          </cell>
          <cell r="O1507">
            <v>447</v>
          </cell>
          <cell r="P1507">
            <v>43139</v>
          </cell>
          <cell r="Q1507" t="str">
            <v>AYUDA TEMPORAL A LAS FAMILIAS DE VARIAS LOCALIDADES, PARA RELOCALIZACIÓN DE HOGARES LOCALIZADOS EN ZONAS DE ALTO RIESGO NO MITIGABLE ID:2012-T314-10, LOCALIDAD:04 SAN CRISTÓBAL, UPZ:50 LA GLORIA</v>
          </cell>
          <cell r="R1507">
            <v>2244132</v>
          </cell>
          <cell r="S1507">
            <v>374022</v>
          </cell>
          <cell r="T1507">
            <v>0</v>
          </cell>
          <cell r="U1507">
            <v>1870110</v>
          </cell>
          <cell r="V1507">
            <v>1870110</v>
          </cell>
        </row>
        <row r="1508">
          <cell r="J1508">
            <v>870</v>
          </cell>
          <cell r="K1508">
            <v>43139</v>
          </cell>
          <cell r="L1508" t="str">
            <v>SILVIA ESPERANZA ALDANA PULIDO</v>
          </cell>
          <cell r="M1508">
            <v>31</v>
          </cell>
          <cell r="N1508" t="str">
            <v>RESOLUCION</v>
          </cell>
          <cell r="O1508">
            <v>448</v>
          </cell>
          <cell r="P1508">
            <v>43139</v>
          </cell>
          <cell r="Q1508" t="str">
            <v>AYUDA TEMPORAL A LAS FAMILIAS DE VARIAS LOCALIDADES, PARA RELOCALIZACIÓN DE HOGARES LOCALIZADOS EN ZONAS DE ALTO RIESGO NO MITIGABLE ID:2012-T314-12, LOCALIDAD:04 SAN CRISTÓBAL, UPZ:50 LA GLORIA</v>
          </cell>
          <cell r="R1508">
            <v>2334420</v>
          </cell>
          <cell r="S1508">
            <v>389070</v>
          </cell>
          <cell r="T1508">
            <v>0</v>
          </cell>
          <cell r="U1508">
            <v>1945350</v>
          </cell>
          <cell r="V1508">
            <v>1945350</v>
          </cell>
        </row>
        <row r="1509">
          <cell r="J1509">
            <v>871</v>
          </cell>
          <cell r="K1509">
            <v>43139</v>
          </cell>
          <cell r="L1509" t="str">
            <v>JOSE VICENTE RODRIGUEZ PARRA</v>
          </cell>
          <cell r="M1509">
            <v>31</v>
          </cell>
          <cell r="N1509" t="str">
            <v>RESOLUCION</v>
          </cell>
          <cell r="O1509">
            <v>449</v>
          </cell>
          <cell r="P1509">
            <v>43139</v>
          </cell>
          <cell r="Q1509" t="str">
            <v>AYUDA TEMPORAL A LAS FAMILIAS DE VARIAS LOCALIDADES, PARA RELOCALIZACIÓN DE HOGARES LOCALIZADOS EN ZONAS DE ALTO RIESGO NO MITIGABLE ID:2017-04-14932, LOCALIDAD:04 SAN CRISTÓBAL, UPZ:32 SAN BLAS, SECTOR:TRIANGULO ALTO</v>
          </cell>
          <cell r="R1509">
            <v>2655780</v>
          </cell>
          <cell r="S1509">
            <v>442630</v>
          </cell>
          <cell r="T1509">
            <v>0</v>
          </cell>
          <cell r="U1509">
            <v>2213150</v>
          </cell>
          <cell r="V1509">
            <v>2213150</v>
          </cell>
        </row>
        <row r="1510">
          <cell r="J1510">
            <v>872</v>
          </cell>
          <cell r="K1510">
            <v>43139</v>
          </cell>
          <cell r="L1510" t="str">
            <v>BEATRIZ  MORALES RUIZ</v>
          </cell>
          <cell r="M1510">
            <v>31</v>
          </cell>
          <cell r="N1510" t="str">
            <v>RESOLUCION</v>
          </cell>
          <cell r="O1510">
            <v>450</v>
          </cell>
          <cell r="P1510">
            <v>43139</v>
          </cell>
          <cell r="Q1510" t="str">
            <v>AYUDA TEMPORAL A LAS FAMILIAS DE VARIAS LOCALIDADES, PARA RELOCALIZACIÓN DE HOGARES LOCALIZADOS EN ZONAS DE ALTO RIESGO NO MITIGABLE ID:2012-T314-13, LOCALIDAD:04 SAN CRISTÓBAL, UPZ:50 LA GLORIA</v>
          </cell>
          <cell r="R1510">
            <v>2244132</v>
          </cell>
          <cell r="S1510">
            <v>374022</v>
          </cell>
          <cell r="T1510">
            <v>0</v>
          </cell>
          <cell r="U1510">
            <v>1870110</v>
          </cell>
          <cell r="V1510">
            <v>1496088</v>
          </cell>
        </row>
        <row r="1511">
          <cell r="J1511">
            <v>873</v>
          </cell>
          <cell r="K1511">
            <v>43139</v>
          </cell>
          <cell r="L1511" t="str">
            <v>ELIANA PATRICIA MORENO ARDILA</v>
          </cell>
          <cell r="M1511">
            <v>31</v>
          </cell>
          <cell r="N1511" t="str">
            <v>RESOLUCION</v>
          </cell>
          <cell r="O1511">
            <v>451</v>
          </cell>
          <cell r="P1511">
            <v>43139</v>
          </cell>
          <cell r="Q1511" t="str">
            <v>AYUDA TEMPORAL A LAS FAMILIAS DE VARIAS LOCALIDADES, PARA RELOCALIZACIÓN DE HOGARES LOCALIZADOS EN ZONAS DE ALTO RIESGO NO MITIGABLE ID:2013-Q10-00650, LOCALIDAD:04 SAN CRISTÓBAL, UPZ:51 LOS LIBERTADORES, SECTOR:QUEBRADA VEREJONES</v>
          </cell>
          <cell r="R1511">
            <v>2586000</v>
          </cell>
          <cell r="S1511">
            <v>431000</v>
          </cell>
          <cell r="T1511">
            <v>0</v>
          </cell>
          <cell r="U1511">
            <v>2155000</v>
          </cell>
          <cell r="V1511">
            <v>2155000</v>
          </cell>
        </row>
        <row r="1512">
          <cell r="J1512">
            <v>874</v>
          </cell>
          <cell r="K1512">
            <v>43139</v>
          </cell>
          <cell r="L1512" t="str">
            <v>LUIS HERNANDO VENTURA VIRGUEZ</v>
          </cell>
          <cell r="M1512">
            <v>31</v>
          </cell>
          <cell r="N1512" t="str">
            <v>RESOLUCION</v>
          </cell>
          <cell r="O1512">
            <v>452</v>
          </cell>
          <cell r="P1512">
            <v>43139</v>
          </cell>
          <cell r="Q1512" t="str">
            <v>AYUDA TEMPORAL A LAS FAMILIAS DE VARIAS LOCALIDADES, PARA RELOCALIZACIÓN DE HOGARES LOCALIZADOS EN ZONAS DE ALTO RIESGO NO MITIGABLE ID:2015-ALES-533, LOCALIDAD:19 CIUDAD BOLÍVAR, UPZ:69 ISMAEL PERDOMO, SECTOR:ALTOS DE LA ESTANCIA</v>
          </cell>
          <cell r="R1512">
            <v>2706270</v>
          </cell>
          <cell r="S1512">
            <v>451045</v>
          </cell>
          <cell r="T1512">
            <v>0</v>
          </cell>
          <cell r="U1512">
            <v>2255225</v>
          </cell>
          <cell r="V1512">
            <v>2255225</v>
          </cell>
        </row>
        <row r="1513">
          <cell r="J1513">
            <v>875</v>
          </cell>
          <cell r="K1513">
            <v>43139</v>
          </cell>
          <cell r="L1513" t="str">
            <v>SOLEDAD  PINO PEREZ</v>
          </cell>
          <cell r="M1513">
            <v>31</v>
          </cell>
          <cell r="N1513" t="str">
            <v>RESOLUCION</v>
          </cell>
          <cell r="O1513">
            <v>453</v>
          </cell>
          <cell r="P1513">
            <v>43139</v>
          </cell>
          <cell r="Q1513" t="str">
            <v>AYUDA TEMPORAL A LAS FAMILIAS DE VARIAS LOCALIDADES, PARA RELOCALIZACIÓN DE HOGARES LOCALIZADOS EN ZONAS DE ALTO RIESGO NO MITIGABLE ID:2012-T314-15, LOCALIDAD:04 SAN CRISTÓBAL, UPZ:50 LA GLORIA</v>
          </cell>
          <cell r="R1513">
            <v>2706492</v>
          </cell>
          <cell r="S1513">
            <v>451082</v>
          </cell>
          <cell r="T1513">
            <v>0</v>
          </cell>
          <cell r="U1513">
            <v>2255410</v>
          </cell>
          <cell r="V1513">
            <v>2255410</v>
          </cell>
        </row>
        <row r="1514">
          <cell r="J1514">
            <v>876</v>
          </cell>
          <cell r="K1514">
            <v>43139</v>
          </cell>
          <cell r="L1514" t="str">
            <v>MARTHA LILIANA PINO PEREZ</v>
          </cell>
          <cell r="M1514">
            <v>31</v>
          </cell>
          <cell r="N1514" t="str">
            <v>RESOLUCION</v>
          </cell>
          <cell r="O1514">
            <v>454</v>
          </cell>
          <cell r="P1514">
            <v>43139</v>
          </cell>
          <cell r="Q1514" t="str">
            <v>AYUDA TEMPORAL A LAS FAMILIAS DE VARIAS LOCALIDADES, PARA RELOCALIZACIÓN DE HOGARES LOCALIZADOS EN ZONAS DE ALTO RIESGO NO MITIGABLE ID:2012-T314-14, LOCALIDAD:04 SAN CRISTÓBAL, UPZ:50 LA GLORIA</v>
          </cell>
          <cell r="R1514">
            <v>2474634</v>
          </cell>
          <cell r="S1514">
            <v>412439</v>
          </cell>
          <cell r="T1514">
            <v>0</v>
          </cell>
          <cell r="U1514">
            <v>2062195</v>
          </cell>
          <cell r="V1514">
            <v>2062195</v>
          </cell>
        </row>
        <row r="1515">
          <cell r="J1515">
            <v>877</v>
          </cell>
          <cell r="K1515">
            <v>43139</v>
          </cell>
          <cell r="L1515" t="str">
            <v>JACOBA  MORENO GUERRERO</v>
          </cell>
          <cell r="M1515">
            <v>31</v>
          </cell>
          <cell r="N1515" t="str">
            <v>RESOLUCION</v>
          </cell>
          <cell r="O1515">
            <v>455</v>
          </cell>
          <cell r="P1515">
            <v>43139</v>
          </cell>
          <cell r="Q1515" t="str">
            <v>AYUDA TEMPORAL A LAS FAMILIAS DE VARIAS LOCALIDADES, PARA RELOCALIZACIÓN DE HOGARES LOCALIZADOS EN ZONAS DE ALTO RIESGO NO MITIGABLE ID:2014-OTR-00893, LOCALIDAD:03 SANTA FE, UPZ:96 LOURDES, SECTOR:CASA 3</v>
          </cell>
          <cell r="R1515">
            <v>2550450</v>
          </cell>
          <cell r="S1515">
            <v>425075</v>
          </cell>
          <cell r="T1515">
            <v>0</v>
          </cell>
          <cell r="U1515">
            <v>2125375</v>
          </cell>
          <cell r="V1515">
            <v>2125375</v>
          </cell>
        </row>
        <row r="1516">
          <cell r="J1516">
            <v>878</v>
          </cell>
          <cell r="K1516">
            <v>43139</v>
          </cell>
          <cell r="L1516" t="str">
            <v>MARLEN  BELTRAN CASTELLANOS</v>
          </cell>
          <cell r="M1516">
            <v>31</v>
          </cell>
          <cell r="N1516" t="str">
            <v>RESOLUCION</v>
          </cell>
          <cell r="O1516">
            <v>456</v>
          </cell>
          <cell r="P1516">
            <v>43139</v>
          </cell>
          <cell r="Q1516" t="str">
            <v>AYUDA TEMPORAL A LAS FAMILIAS DE VARIAS LOCALIDADES, PARA RELOCALIZACIÓN DE HOGARES LOCALIZADOS EN ZONAS DE ALTO RIESGO NO MITIGABLE ID:2011-4-12671, LOCALIDAD:04 SAN CRISTÓBAL, UPZ:32 SAN BLAS</v>
          </cell>
          <cell r="R1516">
            <v>2590566</v>
          </cell>
          <cell r="S1516">
            <v>431761</v>
          </cell>
          <cell r="T1516">
            <v>0</v>
          </cell>
          <cell r="U1516">
            <v>2158805</v>
          </cell>
          <cell r="V1516">
            <v>2158805</v>
          </cell>
        </row>
        <row r="1517">
          <cell r="J1517">
            <v>879</v>
          </cell>
          <cell r="K1517">
            <v>43139</v>
          </cell>
          <cell r="L1517" t="str">
            <v>MARIA DEL PILAR PINO PEREZ</v>
          </cell>
          <cell r="M1517">
            <v>31</v>
          </cell>
          <cell r="N1517" t="str">
            <v>RESOLUCION</v>
          </cell>
          <cell r="O1517">
            <v>457</v>
          </cell>
          <cell r="P1517">
            <v>43139</v>
          </cell>
          <cell r="Q1517" t="str">
            <v>AYUDA TEMPORAL A LAS FAMILIAS DE VARIAS LOCALIDADES, PARA RELOCALIZACIÓN DE HOGARES LOCALIZADOS EN ZONAS DE ALTO RIESGO NO MITIGABLE ID:2012-T314-06, LOCALIDAD:04 SAN CRISTÓBAL, UPZ:50 LA GLORIA</v>
          </cell>
          <cell r="R1517">
            <v>2590566</v>
          </cell>
          <cell r="S1517">
            <v>431761</v>
          </cell>
          <cell r="T1517">
            <v>0</v>
          </cell>
          <cell r="U1517">
            <v>2158805</v>
          </cell>
          <cell r="V1517">
            <v>2158805</v>
          </cell>
        </row>
        <row r="1518">
          <cell r="J1518">
            <v>880</v>
          </cell>
          <cell r="K1518">
            <v>43139</v>
          </cell>
          <cell r="L1518" t="str">
            <v>ROSARIO  PINO PEREZ</v>
          </cell>
          <cell r="M1518">
            <v>31</v>
          </cell>
          <cell r="N1518" t="str">
            <v>RESOLUCION</v>
          </cell>
          <cell r="O1518">
            <v>458</v>
          </cell>
          <cell r="P1518">
            <v>43139</v>
          </cell>
          <cell r="Q1518" t="str">
            <v>AYUDA TEMPORAL A LAS FAMILIAS DE VARIAS LOCALIDADES, PARA RELOCALIZACIÓN DE HOGARES LOCALIZADOS EN ZONAS DE ALTO RIESGO NO MITIGABLE ID:2012-T314-03, LOCALIDAD:04 SAN CRISTÓBAL, UPZ:50 LA GLORIA</v>
          </cell>
          <cell r="R1518">
            <v>2213148</v>
          </cell>
          <cell r="S1518">
            <v>368858</v>
          </cell>
          <cell r="T1518">
            <v>0</v>
          </cell>
          <cell r="U1518">
            <v>1844290</v>
          </cell>
          <cell r="V1518">
            <v>1844290</v>
          </cell>
        </row>
        <row r="1519">
          <cell r="J1519">
            <v>881</v>
          </cell>
          <cell r="K1519">
            <v>43139</v>
          </cell>
          <cell r="L1519" t="str">
            <v>AHIDA MARIBEL MARROQUIN GUEVARA</v>
          </cell>
          <cell r="M1519">
            <v>31</v>
          </cell>
          <cell r="N1519" t="str">
            <v>RESOLUCION</v>
          </cell>
          <cell r="O1519">
            <v>401</v>
          </cell>
          <cell r="P1519">
            <v>43139</v>
          </cell>
          <cell r="Q1519" t="str">
            <v>AYUDA TEMPORAL A LAS FAMILIAS DE VARIAS LOCALIDADES, PARA RELOCALIZACIÓN DE HOGARES LOCALIZADOS EN ZONAS DE ALTO RIESGO NO MITIGABLE ID:2014-Q03-01085, LOCALIDAD:19 CIUDAD BOLÍVAR, UPZ:66 SAN FRANCISCO, SECTOR:LIMAS</v>
          </cell>
          <cell r="R1519">
            <v>2887073</v>
          </cell>
          <cell r="S1519">
            <v>412439</v>
          </cell>
          <cell r="T1519">
            <v>0</v>
          </cell>
          <cell r="U1519">
            <v>2474634</v>
          </cell>
          <cell r="V1519">
            <v>2474634</v>
          </cell>
        </row>
        <row r="1520">
          <cell r="J1520">
            <v>882</v>
          </cell>
          <cell r="K1520">
            <v>43139</v>
          </cell>
          <cell r="L1520" t="str">
            <v>MARIA DOLORES AREVALO</v>
          </cell>
          <cell r="M1520">
            <v>31</v>
          </cell>
          <cell r="N1520" t="str">
            <v>RESOLUCION</v>
          </cell>
          <cell r="O1520">
            <v>402</v>
          </cell>
          <cell r="P1520">
            <v>43139</v>
          </cell>
          <cell r="Q1520" t="str">
            <v>AYUDA TEMPORAL A LAS FAMILIAS DE VARIAS LOCALIDADES, PARA RELOCALIZACIÓN DE HOGARES LOCALIZADOS EN ZONAS DE ALTO RIESGO NO MITIGABLE ID:2010-4-12312, LOCALIDAD:04 SAN CRISTÓBAL, UPZ:32 SAN BLAS, SECTOR:OLA INVERNAL 2010 FOPAE</v>
          </cell>
          <cell r="R1520">
            <v>5430984</v>
          </cell>
          <cell r="S1520">
            <v>0</v>
          </cell>
          <cell r="T1520">
            <v>0</v>
          </cell>
          <cell r="U1520">
            <v>5430984</v>
          </cell>
          <cell r="V1520">
            <v>3342144</v>
          </cell>
        </row>
        <row r="1521">
          <cell r="J1521">
            <v>883</v>
          </cell>
          <cell r="K1521">
            <v>43139</v>
          </cell>
          <cell r="L1521" t="str">
            <v>MARLENY  GARCIA VILLEGAS</v>
          </cell>
          <cell r="M1521">
            <v>31</v>
          </cell>
          <cell r="N1521" t="str">
            <v>RESOLUCION</v>
          </cell>
          <cell r="O1521">
            <v>403</v>
          </cell>
          <cell r="P1521">
            <v>43139</v>
          </cell>
          <cell r="Q1521" t="str">
            <v>AYUDA TEMPORAL A LAS FAMILIAS DE VARIAS LOCALIDADES, PARA RELOCALIZACIÓN DE HOGARES LOCALIZADOS EN ZONAS DE ALTO RIESGO NO MITIGABLE ID:2012-ALES-396, LOCALIDAD:19 CIUDAD BOLÍVAR, UPZ:69 ISMAEL PERDOMO, SECTOR:ALTOS DE LA ESTANCIA</v>
          </cell>
          <cell r="R1521">
            <v>3157000</v>
          </cell>
          <cell r="S1521">
            <v>451000</v>
          </cell>
          <cell r="T1521">
            <v>0</v>
          </cell>
          <cell r="U1521">
            <v>2706000</v>
          </cell>
          <cell r="V1521">
            <v>2706000</v>
          </cell>
        </row>
        <row r="1522">
          <cell r="J1522">
            <v>884</v>
          </cell>
          <cell r="K1522">
            <v>43139</v>
          </cell>
          <cell r="L1522" t="str">
            <v>MARIA ELVIA CHIVATA IBAGUE</v>
          </cell>
          <cell r="M1522">
            <v>31</v>
          </cell>
          <cell r="N1522" t="str">
            <v>RESOLUCION</v>
          </cell>
          <cell r="O1522">
            <v>404</v>
          </cell>
          <cell r="P1522">
            <v>43139</v>
          </cell>
          <cell r="Q1522" t="str">
            <v>AYUDA TEMPORAL A LAS FAMILIAS DE VARIAS LOCALIDADES, PARA RELOCALIZACIÓN DE HOGARES LOCALIZADOS EN ZONAS DE ALTO RIESGO NO MITIGABLE ID:2014-OTR-01048, LOCALIDAD:19 CIUDAD BOLÍVAR, UPZ:67 LUCERO, SECTOR:TABOR ALTALOMA</v>
          </cell>
          <cell r="R1522">
            <v>3157315</v>
          </cell>
          <cell r="S1522">
            <v>451045</v>
          </cell>
          <cell r="T1522">
            <v>0</v>
          </cell>
          <cell r="U1522">
            <v>2706270</v>
          </cell>
          <cell r="V1522">
            <v>2706270</v>
          </cell>
        </row>
        <row r="1523">
          <cell r="J1523">
            <v>885</v>
          </cell>
          <cell r="K1523">
            <v>43139</v>
          </cell>
          <cell r="L1523" t="str">
            <v>DENIS ALEXANDER BAÑOL ARIAS</v>
          </cell>
          <cell r="M1523">
            <v>31</v>
          </cell>
          <cell r="N1523" t="str">
            <v>RESOLUCION</v>
          </cell>
          <cell r="O1523">
            <v>405</v>
          </cell>
          <cell r="P1523">
            <v>43139</v>
          </cell>
          <cell r="Q1523" t="str">
            <v>AYUDA TEMPORAL A LAS FAMILIAS DE VARIAS LOCALIDADES, PARA RELOCALIZACIÓN DE HOGARES LOCALIZADOS EN ZONAS DE ALTO RIESGO NO MITIGABLE ID:2016-08-14838, LOCALIDAD:08 KENNEDY, UPZ:82 PATIO BONITO, SECTOR:PALMITAS</v>
          </cell>
          <cell r="R1523">
            <v>4795154</v>
          </cell>
          <cell r="S1523">
            <v>0</v>
          </cell>
          <cell r="T1523">
            <v>0</v>
          </cell>
          <cell r="U1523">
            <v>4795154</v>
          </cell>
          <cell r="V1523">
            <v>2213148</v>
          </cell>
        </row>
        <row r="1524">
          <cell r="J1524">
            <v>886</v>
          </cell>
          <cell r="K1524">
            <v>43139</v>
          </cell>
          <cell r="L1524" t="str">
            <v>MARIA GRACIELA ALONSO PIÑEROS</v>
          </cell>
          <cell r="M1524">
            <v>31</v>
          </cell>
          <cell r="N1524" t="str">
            <v>RESOLUCION</v>
          </cell>
          <cell r="O1524">
            <v>406</v>
          </cell>
          <cell r="P1524">
            <v>43139</v>
          </cell>
          <cell r="Q1524" t="str">
            <v>AYUDA TEMPORAL A LAS FAMILIAS DE VARIAS LOCALIDADES, PARA RELOCALIZACIÓN DE HOGARES LOCALIZADOS EN ZONAS DE ALTO RIESGO NO MITIGABLE ID:2013-Q04-00413, LOCALIDAD:19 CIUDAD BOLÍVAR, UPZ:67 LUCERO, SECTOR:PEÑA COLORADA</v>
          </cell>
          <cell r="R1524">
            <v>6005142</v>
          </cell>
          <cell r="S1524">
            <v>0</v>
          </cell>
          <cell r="T1524">
            <v>0</v>
          </cell>
          <cell r="U1524">
            <v>6005142</v>
          </cell>
          <cell r="V1524">
            <v>3695472</v>
          </cell>
        </row>
        <row r="1525">
          <cell r="J1525">
            <v>887</v>
          </cell>
          <cell r="K1525">
            <v>43139</v>
          </cell>
          <cell r="L1525" t="str">
            <v>MARIA EMILIA CELY SANCHEZ</v>
          </cell>
          <cell r="M1525">
            <v>31</v>
          </cell>
          <cell r="N1525" t="str">
            <v>RESOLUCION</v>
          </cell>
          <cell r="O1525">
            <v>407</v>
          </cell>
          <cell r="P1525">
            <v>43139</v>
          </cell>
          <cell r="Q1525" t="str">
            <v>AYUDA TEMPORAL A LAS FAMILIAS DE VARIAS LOCALIDADES, PARA RELOCALIZACIÓN DE HOGARES LOCALIZADOS EN ZONAS DE ALTO RIESGO NO MITIGABLE ID:2011-4-12634, LOCALIDAD:04 SAN CRISTÓBAL, UPZ:32 SAN BLAS</v>
          </cell>
          <cell r="R1525">
            <v>2397348</v>
          </cell>
          <cell r="S1525">
            <v>399558</v>
          </cell>
          <cell r="T1525">
            <v>0</v>
          </cell>
          <cell r="U1525">
            <v>1997790</v>
          </cell>
          <cell r="V1525">
            <v>1997790</v>
          </cell>
        </row>
        <row r="1526">
          <cell r="J1526">
            <v>888</v>
          </cell>
          <cell r="K1526">
            <v>43139</v>
          </cell>
          <cell r="L1526" t="str">
            <v>GLORIA INES BEDOYA CORREA</v>
          </cell>
          <cell r="M1526">
            <v>31</v>
          </cell>
          <cell r="N1526" t="str">
            <v>RESOLUCION</v>
          </cell>
          <cell r="O1526">
            <v>408</v>
          </cell>
          <cell r="P1526">
            <v>43139</v>
          </cell>
          <cell r="Q1526" t="str">
            <v>AYUDA TEMPORAL A LAS FAMILIAS DE VARIAS LOCALIDADES, PARA RELOCALIZACIÓN DE HOGARES LOCALIZADOS EN ZONAS DE ALTO RIESGO NO MITIGABLE ID:2016-08-14798, LOCALIDAD:08 KENNEDY, UPZ:82 PATIO BONITO, SECTOR:PALMITAS</v>
          </cell>
          <cell r="R1526">
            <v>7617116</v>
          </cell>
          <cell r="S1526">
            <v>0</v>
          </cell>
          <cell r="T1526">
            <v>0</v>
          </cell>
          <cell r="U1526">
            <v>7617116</v>
          </cell>
          <cell r="V1526">
            <v>4687456</v>
          </cell>
        </row>
        <row r="1527">
          <cell r="J1527">
            <v>889</v>
          </cell>
          <cell r="K1527">
            <v>43139</v>
          </cell>
          <cell r="L1527" t="str">
            <v>NANCY BRIYITH TORRES ALFONSO</v>
          </cell>
          <cell r="M1527">
            <v>31</v>
          </cell>
          <cell r="N1527" t="str">
            <v>RESOLUCION</v>
          </cell>
          <cell r="O1527">
            <v>409</v>
          </cell>
          <cell r="P1527">
            <v>43139</v>
          </cell>
          <cell r="Q1527" t="str">
            <v>AYUDA TEMPORAL A LAS FAMILIAS DE VARIAS LOCALIDADES, PARA RELOCALIZACIÓN DE HOGARES LOCALIZADOS EN ZONAS DE ALTO RIESGO NO MITIGABLE ID:2007-18-9400, LOCALIDAD:18 RAFAEL URIBE URIBE, UPZ:55 DIANA TURBAY</v>
          </cell>
          <cell r="R1527">
            <v>3563588</v>
          </cell>
          <cell r="S1527">
            <v>509084</v>
          </cell>
          <cell r="T1527">
            <v>0</v>
          </cell>
          <cell r="U1527">
            <v>3054504</v>
          </cell>
          <cell r="V1527">
            <v>3054504</v>
          </cell>
        </row>
        <row r="1528">
          <cell r="J1528">
            <v>890</v>
          </cell>
          <cell r="K1528">
            <v>43139</v>
          </cell>
          <cell r="L1528" t="str">
            <v>MARTHA LUCIA AREVALO SALINAS</v>
          </cell>
          <cell r="M1528">
            <v>31</v>
          </cell>
          <cell r="N1528" t="str">
            <v>RESOLUCION</v>
          </cell>
          <cell r="O1528">
            <v>410</v>
          </cell>
          <cell r="P1528">
            <v>43139</v>
          </cell>
          <cell r="Q1528" t="str">
            <v>AYUDA TEMPORAL A LAS FAMILIAS DE VARIAS LOCALIDADES, PARA RELOCALIZACIÓN DE HOGARES LOCALIZADOS EN ZONAS DE ALTO RIESGO NO MITIGABLE ID:2012-4-14199, LOCALIDAD:04 SAN CRISTÓBAL, UPZ:32 SAN BLAS</v>
          </cell>
          <cell r="R1528">
            <v>2618154</v>
          </cell>
          <cell r="S1528">
            <v>374022</v>
          </cell>
          <cell r="T1528">
            <v>0</v>
          </cell>
          <cell r="U1528">
            <v>2244132</v>
          </cell>
          <cell r="V1528">
            <v>2244132</v>
          </cell>
        </row>
        <row r="1529">
          <cell r="J1529">
            <v>891</v>
          </cell>
          <cell r="K1529">
            <v>43139</v>
          </cell>
          <cell r="L1529" t="str">
            <v>GLORIA LISBRTH OCAMPO ESPINOSA</v>
          </cell>
          <cell r="M1529">
            <v>31</v>
          </cell>
          <cell r="N1529" t="str">
            <v>RESOLUCION</v>
          </cell>
          <cell r="O1529">
            <v>411</v>
          </cell>
          <cell r="P1529">
            <v>43139</v>
          </cell>
          <cell r="Q1529" t="str">
            <v>AYUDA TEMPORAL A LAS FAMILIAS DE VARIAS LOCALIDADES, PARA RELOCALIZACIÓN DE HOGARES LOCALIZADOS EN ZONAS DE ALTO RIESGO NO MITIGABLE ID:2014-Q01-01032, LOCALIDAD:05 USME, UPZ:56 DANUBIO, SECTOR:HOYA DEL RAMO</v>
          </cell>
          <cell r="R1529">
            <v>3356612</v>
          </cell>
          <cell r="S1529">
            <v>0</v>
          </cell>
          <cell r="T1529">
            <v>0</v>
          </cell>
          <cell r="U1529">
            <v>3356612</v>
          </cell>
          <cell r="V1529">
            <v>1918064</v>
          </cell>
        </row>
        <row r="1530">
          <cell r="J1530">
            <v>892</v>
          </cell>
          <cell r="K1530">
            <v>43139</v>
          </cell>
          <cell r="L1530" t="str">
            <v>DORIS  DIAZ CASTILLO</v>
          </cell>
          <cell r="M1530">
            <v>31</v>
          </cell>
          <cell r="N1530" t="str">
            <v>RESOLUCION</v>
          </cell>
          <cell r="O1530">
            <v>412</v>
          </cell>
          <cell r="P1530">
            <v>43139</v>
          </cell>
          <cell r="Q1530" t="str">
            <v>AYUDA TEMPORAL A LAS FAMILIAS DE VARIAS LOCALIDADES, PARA RELOCALIZACIÓN DE HOGARES LOCALIZADOS EN ZONAS DE ALTO RIESGO NO MITIGABLE ID:2011-4-12721, LOCALIDAD:04 SAN CRISTÓBAL, UPZ:32 SAN BLAS</v>
          </cell>
          <cell r="R1530">
            <v>2530367</v>
          </cell>
          <cell r="S1530">
            <v>361481</v>
          </cell>
          <cell r="T1530">
            <v>0</v>
          </cell>
          <cell r="U1530">
            <v>2168886</v>
          </cell>
          <cell r="V1530">
            <v>2168886</v>
          </cell>
        </row>
        <row r="1531">
          <cell r="J1531">
            <v>893</v>
          </cell>
          <cell r="K1531">
            <v>43139</v>
          </cell>
          <cell r="L1531" t="str">
            <v>JOSE ALBEIRO CASTAÑO RIVERA</v>
          </cell>
          <cell r="M1531">
            <v>31</v>
          </cell>
          <cell r="N1531" t="str">
            <v>RESOLUCION</v>
          </cell>
          <cell r="O1531">
            <v>413</v>
          </cell>
          <cell r="P1531">
            <v>43139</v>
          </cell>
          <cell r="Q1531" t="str">
            <v>AYUDA TEMPORAL A LAS FAMILIAS DE VARIAS LOCALIDADES, PARA RELOCALIZACIÓN DE HOGARES LOCALIZADOS EN ZONAS DE ALTO RIESGO NO MITIGABLE ID:2011-5-13024, LOCALIDAD:05 USME, UPZ:56 DANUBIO</v>
          </cell>
          <cell r="R1531">
            <v>2849392</v>
          </cell>
          <cell r="S1531">
            <v>407056</v>
          </cell>
          <cell r="T1531">
            <v>0</v>
          </cell>
          <cell r="U1531">
            <v>2442336</v>
          </cell>
          <cell r="V1531">
            <v>2442336</v>
          </cell>
        </row>
        <row r="1532">
          <cell r="J1532">
            <v>894</v>
          </cell>
          <cell r="K1532">
            <v>43139</v>
          </cell>
          <cell r="L1532" t="str">
            <v>MARIA CARMEN ROSA PAEZ</v>
          </cell>
          <cell r="M1532">
            <v>31</v>
          </cell>
          <cell r="N1532" t="str">
            <v>RESOLUCION</v>
          </cell>
          <cell r="O1532">
            <v>414</v>
          </cell>
          <cell r="P1532">
            <v>43139</v>
          </cell>
          <cell r="Q1532" t="str">
            <v>AYUDA TEMPORAL A LAS FAMILIAS DE VARIAS LOCALIDADES, PARA RELOCALIZACIÓN DE HOGARES LOCALIZADOS EN ZONAS DE ALTO RIESGO NO MITIGABLE ID:2013-Q10-00247, LOCALIDAD:04 SAN CRISTÓBAL, UPZ:51 LOS LIBERTADORES, SECTOR:QUEBRADA VEREJONES</v>
          </cell>
          <cell r="R1532">
            <v>3788778</v>
          </cell>
          <cell r="S1532">
            <v>541254</v>
          </cell>
          <cell r="T1532">
            <v>0</v>
          </cell>
          <cell r="U1532">
            <v>3247524</v>
          </cell>
          <cell r="V1532">
            <v>3247524</v>
          </cell>
        </row>
        <row r="1533">
          <cell r="J1533">
            <v>895</v>
          </cell>
          <cell r="K1533">
            <v>43139</v>
          </cell>
          <cell r="L1533" t="str">
            <v>MABIL  BOBADILLA</v>
          </cell>
          <cell r="M1533">
            <v>31</v>
          </cell>
          <cell r="N1533" t="str">
            <v>RESOLUCION</v>
          </cell>
          <cell r="O1533">
            <v>415</v>
          </cell>
          <cell r="P1533">
            <v>43139</v>
          </cell>
          <cell r="Q1533" t="str">
            <v>AYUDA TEMPORAL A LAS FAMILIAS DE VARIAS LOCALIDADES, PARA RELOCALIZACIÓN DE HOGARES LOCALIZADOS EN ZONAS DE ALTO RIESGO NO MITIGABLE ID:2014-OTR-00873, LOCALIDAD:03 SANTA FE, UPZ:96 LOURDES, SECTOR:CASA 1</v>
          </cell>
          <cell r="R1533">
            <v>3015588</v>
          </cell>
          <cell r="S1533">
            <v>502598</v>
          </cell>
          <cell r="T1533">
            <v>0</v>
          </cell>
          <cell r="U1533">
            <v>2512990</v>
          </cell>
          <cell r="V1533">
            <v>2512990</v>
          </cell>
        </row>
        <row r="1534">
          <cell r="J1534">
            <v>896</v>
          </cell>
          <cell r="K1534">
            <v>43139</v>
          </cell>
          <cell r="L1534" t="str">
            <v>LUIS CUSTODIO MARQUEZ SUEROKE</v>
          </cell>
          <cell r="M1534">
            <v>31</v>
          </cell>
          <cell r="N1534" t="str">
            <v>RESOLUCION</v>
          </cell>
          <cell r="O1534">
            <v>416</v>
          </cell>
          <cell r="P1534">
            <v>43139</v>
          </cell>
          <cell r="Q1534" t="str">
            <v>AYUDA TEMPORAL A LAS FAMILIAS DE VARIAS LOCALIDADES, PARA RELOCALIZACIÓN DE HOGARES LOCALIZADOS EN ZONAS DE ALTO RIESGO NO MITIGABLE ID:2015-W166-507, LOCALIDAD:03 SANTA FE, UPZ:92 LA MACARENA, SECTOR:UITOTO</v>
          </cell>
          <cell r="R1534">
            <v>6868797</v>
          </cell>
          <cell r="S1534">
            <v>0</v>
          </cell>
          <cell r="T1534">
            <v>0</v>
          </cell>
          <cell r="U1534">
            <v>6868797</v>
          </cell>
          <cell r="V1534">
            <v>4226952</v>
          </cell>
        </row>
        <row r="1535">
          <cell r="J1535">
            <v>897</v>
          </cell>
          <cell r="K1535">
            <v>43139</v>
          </cell>
          <cell r="L1535" t="str">
            <v>HENRY STEVEN AGUILERA BENITEZ</v>
          </cell>
          <cell r="M1535">
            <v>31</v>
          </cell>
          <cell r="N1535" t="str">
            <v>RESOLUCION</v>
          </cell>
          <cell r="O1535">
            <v>417</v>
          </cell>
          <cell r="P1535">
            <v>43139</v>
          </cell>
          <cell r="Q1535" t="str">
            <v>AYUDA TEMPORAL A LAS FAMILIAS DE VARIAS LOCALIDADES, PARA RELOCALIZACIÓN DE HOGARES LOCALIZADOS EN ZONAS DE ALTO RIESGO NO MITIGABLE ID:2015-Q03-01474, LOCALIDAD:19 CIUDAD BOLÍVAR, UPZ:66 SAN FRANCISCO, SECTOR:LIMAS</v>
          </cell>
          <cell r="R1535">
            <v>2213148</v>
          </cell>
          <cell r="S1535">
            <v>368858</v>
          </cell>
          <cell r="T1535">
            <v>0</v>
          </cell>
          <cell r="U1535">
            <v>1844290</v>
          </cell>
          <cell r="V1535">
            <v>1844290</v>
          </cell>
        </row>
        <row r="1536">
          <cell r="J1536">
            <v>898</v>
          </cell>
          <cell r="K1536">
            <v>43139</v>
          </cell>
          <cell r="L1536" t="str">
            <v>EFRAIN  TORRES</v>
          </cell>
          <cell r="M1536">
            <v>31</v>
          </cell>
          <cell r="N1536" t="str">
            <v>RESOLUCION</v>
          </cell>
          <cell r="O1536">
            <v>418</v>
          </cell>
          <cell r="P1536">
            <v>43139</v>
          </cell>
          <cell r="Q1536" t="str">
            <v>AYUDA TEMPORAL A LAS FAMILIAS DE VARIAS LOCALIDADES, PARA RELOCALIZACIÓN DE HOGARES LOCALIZADOS EN ZONAS DE ALTO RIESGO NO MITIGABLE ID:2012-19-14090, LOCALIDAD:19 CIUDAD BOLÍVAR, UPZ:68 EL TESORO, SECTOR:QUEBRADA TROMPETA</v>
          </cell>
          <cell r="R1536">
            <v>2435382</v>
          </cell>
          <cell r="S1536">
            <v>405897</v>
          </cell>
          <cell r="T1536">
            <v>0</v>
          </cell>
          <cell r="U1536">
            <v>2029485</v>
          </cell>
          <cell r="V1536">
            <v>2029485</v>
          </cell>
        </row>
        <row r="1537">
          <cell r="J1537">
            <v>899</v>
          </cell>
          <cell r="K1537">
            <v>43139</v>
          </cell>
          <cell r="L1537" t="str">
            <v>DIANA MARIA LOPEZ GOMEZ</v>
          </cell>
          <cell r="M1537">
            <v>31</v>
          </cell>
          <cell r="N1537" t="str">
            <v>RESOLUCION</v>
          </cell>
          <cell r="O1537">
            <v>419</v>
          </cell>
          <cell r="P1537">
            <v>43139</v>
          </cell>
          <cell r="Q1537" t="str">
            <v>AYUDA TEMPORAL A LAS FAMILIAS DE VARIAS LOCALIDADES, PARA RELOCALIZACIÓN DE HOGARES LOCALIZADOS EN ZONAS DE ALTO RIESGO NO MITIGABLE ID:2015-D227-00006, LOCALIDAD:04 SAN CRISTÓBAL, UPZ:51 LOS LIBERTADORES, SECTOR:SANTA TERESITA</v>
          </cell>
          <cell r="R1537">
            <v>7538609</v>
          </cell>
          <cell r="S1537">
            <v>0</v>
          </cell>
          <cell r="T1537">
            <v>0</v>
          </cell>
          <cell r="U1537">
            <v>7538609</v>
          </cell>
          <cell r="V1537">
            <v>3479358</v>
          </cell>
        </row>
        <row r="1538">
          <cell r="J1538">
            <v>900</v>
          </cell>
          <cell r="K1538">
            <v>43139</v>
          </cell>
          <cell r="L1538" t="str">
            <v>YUDY ZULEYDI TORRES MUÑOZ</v>
          </cell>
          <cell r="M1538">
            <v>31</v>
          </cell>
          <cell r="N1538" t="str">
            <v>RESOLUCION</v>
          </cell>
          <cell r="O1538">
            <v>420</v>
          </cell>
          <cell r="P1538">
            <v>43139</v>
          </cell>
          <cell r="Q1538" t="str">
            <v>AYUDA TEMPORAL A LAS FAMILIAS DE VARIAS LOCALIDADES, PARA RELOCALIZACIÓN DE HOGARES LOCALIZADOS EN ZONAS DE ALTO RIESGO NO MITIGABLE ID:2015-OTR-01373, LOCALIDAD:11 SUBA, UPZ:71 TIBABUYES, SECTOR:GAVILANES</v>
          </cell>
          <cell r="R1538">
            <v>4027933</v>
          </cell>
          <cell r="S1538">
            <v>575419</v>
          </cell>
          <cell r="T1538">
            <v>0</v>
          </cell>
          <cell r="U1538">
            <v>3452514</v>
          </cell>
          <cell r="V1538">
            <v>3452514</v>
          </cell>
        </row>
        <row r="1539">
          <cell r="J1539">
            <v>901</v>
          </cell>
          <cell r="K1539">
            <v>43139</v>
          </cell>
          <cell r="L1539" t="str">
            <v>CLAUDIA CASTRO PENAGOS</v>
          </cell>
          <cell r="M1539">
            <v>31</v>
          </cell>
          <cell r="N1539" t="str">
            <v>RESOLUCION</v>
          </cell>
          <cell r="O1539">
            <v>421</v>
          </cell>
          <cell r="P1539">
            <v>43139</v>
          </cell>
          <cell r="Q1539" t="str">
            <v>AYUDA TEMPORAL A LAS FAMILIAS DE VARIAS LOCALIDADES, PARA RELOCALIZACIÓN DE HOGARES LOCALIZADOS EN ZONAS DE ALTO RIESGO NO MITIGABLE ID:1999-18-2316, LOCALIDAD:18 RAFAEL URIBE URIBE, UPZ:53 MARCO FIDEL SUÁREZ</v>
          </cell>
          <cell r="R1539">
            <v>7455071</v>
          </cell>
          <cell r="S1539">
            <v>0</v>
          </cell>
          <cell r="T1539">
            <v>0</v>
          </cell>
          <cell r="U1539">
            <v>7455071</v>
          </cell>
          <cell r="V1539">
            <v>4587736</v>
          </cell>
        </row>
        <row r="1540">
          <cell r="J1540">
            <v>902</v>
          </cell>
          <cell r="K1540">
            <v>43139</v>
          </cell>
          <cell r="L1540" t="str">
            <v>KIRFAFA  CARPIO MEMBACHE</v>
          </cell>
          <cell r="M1540">
            <v>31</v>
          </cell>
          <cell r="N1540" t="str">
            <v>RESOLUCION</v>
          </cell>
          <cell r="O1540">
            <v>422</v>
          </cell>
          <cell r="P1540">
            <v>43139</v>
          </cell>
          <cell r="Q1540" t="str">
            <v>AYUDA TEMPORAL A LAS FAMILIAS DE VARIAS LOCALIDADES, PARA RELOCALIZACIÓN DE HOGARES LOCALIZADOS EN ZONAS DE ALTO RIESGO NO MITIGABLE ID:2014-W166-075, LOCALIDAD:19 CIUDAD BOLÍVAR, UPZ:68 EL TESORO, SECTOR:WOUNAAN</v>
          </cell>
          <cell r="R1540">
            <v>5285280</v>
          </cell>
          <cell r="S1540">
            <v>0</v>
          </cell>
          <cell r="T1540">
            <v>0</v>
          </cell>
          <cell r="U1540">
            <v>5285280</v>
          </cell>
          <cell r="V1540">
            <v>3252480</v>
          </cell>
        </row>
        <row r="1541">
          <cell r="J1541">
            <v>903</v>
          </cell>
          <cell r="K1541">
            <v>43139</v>
          </cell>
          <cell r="L1541" t="str">
            <v>GERTRUDIS  MORALES TOMBE</v>
          </cell>
          <cell r="M1541">
            <v>31</v>
          </cell>
          <cell r="N1541" t="str">
            <v>RESOLUCION</v>
          </cell>
          <cell r="O1541">
            <v>423</v>
          </cell>
          <cell r="P1541">
            <v>43139</v>
          </cell>
          <cell r="Q1541" t="str">
            <v>AYUDA TEMPORAL A LAS FAMILIAS DE VARIAS LOCALIDADES, PARA RELOCALIZACIÓN DE HOGARES LOCALIZADOS EN ZONAS DE ALTO RIESGO NO MITIGABLE ID:2013-Q09-00429, LOCALIDAD:19 CIUDAD BOLÍVAR, UPZ:67 LUCERO, SECTOR:QUEBRADA TROMPETA</v>
          </cell>
          <cell r="R1541">
            <v>3459890</v>
          </cell>
          <cell r="S1541">
            <v>494270</v>
          </cell>
          <cell r="T1541">
            <v>0</v>
          </cell>
          <cell r="U1541">
            <v>2965620</v>
          </cell>
          <cell r="V1541">
            <v>2965620</v>
          </cell>
        </row>
        <row r="1542">
          <cell r="J1542">
            <v>904</v>
          </cell>
          <cell r="K1542">
            <v>43139</v>
          </cell>
          <cell r="L1542" t="str">
            <v>SANDRA SUGEY BELTRAN</v>
          </cell>
          <cell r="M1542">
            <v>31</v>
          </cell>
          <cell r="N1542" t="str">
            <v>RESOLUCION</v>
          </cell>
          <cell r="O1542">
            <v>424</v>
          </cell>
          <cell r="P1542">
            <v>43139</v>
          </cell>
          <cell r="Q1542" t="str">
            <v>AYUDA TEMPORAL A LAS FAMILIAS DE VARIAS LOCALIDADES, PARA RELOCALIZACIÓN DE HOGARES LOCALIZADOS EN ZONAS DE ALTO RIESGO NO MITIGABLE ID:2011-4-12653, LOCALIDAD:04 SAN CRISTÓBAL, UPZ:32 SAN BLAS</v>
          </cell>
          <cell r="R1542">
            <v>3112753</v>
          </cell>
          <cell r="S1542">
            <v>444679</v>
          </cell>
          <cell r="T1542">
            <v>0</v>
          </cell>
          <cell r="U1542">
            <v>2668074</v>
          </cell>
          <cell r="V1542">
            <v>2668074</v>
          </cell>
        </row>
        <row r="1543">
          <cell r="J1543">
            <v>905</v>
          </cell>
          <cell r="K1543">
            <v>43139</v>
          </cell>
          <cell r="L1543" t="str">
            <v>ANA ISABEL TORRES LOPEZ</v>
          </cell>
          <cell r="M1543">
            <v>31</v>
          </cell>
          <cell r="N1543" t="str">
            <v>RESOLUCION</v>
          </cell>
          <cell r="O1543">
            <v>522</v>
          </cell>
          <cell r="P1543">
            <v>43139</v>
          </cell>
          <cell r="Q1543" t="str">
            <v>AYUDA TEMPORAL A LAS FAMILIAS DE VARIAS LOCALIDADES, PARA RELOCALIZACIÓN DE HOGARES LOCALIZADOS EN ZONAS DE ALTO RIESGO NO MITIGABLE ID:2013-Q10-00501, LOCALIDAD:04 SAN CRISTÓBAL, UPZ:51 LOS LIBERTADORES, SECTOR:QUEBRADA VEREJONES</v>
          </cell>
          <cell r="R1543">
            <v>5466487</v>
          </cell>
          <cell r="S1543">
            <v>0</v>
          </cell>
          <cell r="T1543">
            <v>0</v>
          </cell>
          <cell r="U1543">
            <v>5466487</v>
          </cell>
          <cell r="V1543">
            <v>2943493</v>
          </cell>
        </row>
        <row r="1544">
          <cell r="J1544">
            <v>906</v>
          </cell>
          <cell r="K1544">
            <v>43139</v>
          </cell>
          <cell r="L1544" t="str">
            <v>ISABEL  UPUA MEMBACHE</v>
          </cell>
          <cell r="M1544">
            <v>31</v>
          </cell>
          <cell r="N1544" t="str">
            <v>RESOLUCION</v>
          </cell>
          <cell r="O1544">
            <v>523</v>
          </cell>
          <cell r="P1544">
            <v>43139</v>
          </cell>
          <cell r="Q1544" t="str">
            <v>AYUDA TEMPORAL A LAS FAMILIAS DE VARIAS LOCALIDADES, PARA RELOCALIZACIÓN DE HOGARES LOCALIZADOS EN ZONAS DE ALTO RIESGO NO MITIGABLE ID:2015-W166-436, LOCALIDAD:19 CIUDAD BOLÍVAR, UPZ:68 EL TESORO, SECTOR:WOUNAAN</v>
          </cell>
          <cell r="R1544">
            <v>7020000</v>
          </cell>
          <cell r="S1544">
            <v>7020000</v>
          </cell>
          <cell r="T1544">
            <v>0</v>
          </cell>
          <cell r="U1544">
            <v>0</v>
          </cell>
          <cell r="V1544">
            <v>0</v>
          </cell>
        </row>
        <row r="1545">
          <cell r="J1545">
            <v>907</v>
          </cell>
          <cell r="K1545">
            <v>43139</v>
          </cell>
          <cell r="L1545" t="str">
            <v>JOSE MILLER NARANJO MANJARRES</v>
          </cell>
          <cell r="M1545">
            <v>31</v>
          </cell>
          <cell r="N1545" t="str">
            <v>RESOLUCION</v>
          </cell>
          <cell r="O1545">
            <v>524</v>
          </cell>
          <cell r="P1545">
            <v>43139</v>
          </cell>
          <cell r="Q1545" t="str">
            <v>AYUDA TEMPORAL A LAS FAMILIAS DE VARIAS LOCALIDADES, PARA RELOCALIZACIÓN DE HOGARES LOCALIZADOS EN ZONAS DE ALTO RIESGO NO MITIGABLE ID:2011-19-12566, LOCALIDAD:19 CIUDAD BOLÍVAR, UPZ:69 ISMAEL PERDOMO, SECTOR:OLA INVERNAL 2010 FOPAE</v>
          </cell>
          <cell r="R1545">
            <v>3157574</v>
          </cell>
          <cell r="S1545">
            <v>2255410</v>
          </cell>
          <cell r="T1545">
            <v>0</v>
          </cell>
          <cell r="U1545">
            <v>902164</v>
          </cell>
          <cell r="V1545">
            <v>902164</v>
          </cell>
        </row>
        <row r="1546">
          <cell r="J1546">
            <v>908</v>
          </cell>
          <cell r="K1546">
            <v>43139</v>
          </cell>
          <cell r="L1546" t="str">
            <v>HECTOR DANILO FORERO PALACIO</v>
          </cell>
          <cell r="M1546">
            <v>31</v>
          </cell>
          <cell r="N1546" t="str">
            <v>RESOLUCION</v>
          </cell>
          <cell r="O1546">
            <v>525</v>
          </cell>
          <cell r="P1546">
            <v>43139</v>
          </cell>
          <cell r="Q1546" t="str">
            <v>AYUDA TEMPORAL A LAS FAMILIAS DE VARIAS LOCALIDADES, PARA RELOCALIZACIÓN DE HOGARES LOCALIZADOS EN ZONAS DE ALTO RIESGO NO MITIGABLE ID:2015-D227-00046, LOCALIDAD:04 SAN CRISTÓBAL, UPZ:51 LOS LIBERTADORES, SECTOR:SANTA TERESITA</v>
          </cell>
          <cell r="R1546">
            <v>2582006</v>
          </cell>
          <cell r="S1546">
            <v>368858</v>
          </cell>
          <cell r="T1546">
            <v>0</v>
          </cell>
          <cell r="U1546">
            <v>2213148</v>
          </cell>
          <cell r="V1546">
            <v>2213148</v>
          </cell>
        </row>
        <row r="1547">
          <cell r="J1547">
            <v>909</v>
          </cell>
          <cell r="K1547">
            <v>43139</v>
          </cell>
          <cell r="L1547" t="str">
            <v>BEYER ERIBERTO ARENAS SALGADO</v>
          </cell>
          <cell r="M1547">
            <v>31</v>
          </cell>
          <cell r="N1547" t="str">
            <v>RESOLUCION</v>
          </cell>
          <cell r="O1547">
            <v>526</v>
          </cell>
          <cell r="P1547">
            <v>43139</v>
          </cell>
          <cell r="Q1547" t="str">
            <v>AYUDA TEMPORAL A LAS FAMILIAS DE VARIAS LOCALIDADES, PARA RELOCALIZACIÓN DE HOGARES LOCALIZADOS EN ZONAS DE ALTO RIESGO NO MITIGABLE ID:2013-Q09-00157, LOCALIDAD:19 CIUDAD BOLÍVAR, UPZ:67 LUCERO, SECTOR:QUEBRADA TROMPETA</v>
          </cell>
          <cell r="R1547">
            <v>2886919</v>
          </cell>
          <cell r="S1547">
            <v>824834</v>
          </cell>
          <cell r="T1547">
            <v>0</v>
          </cell>
          <cell r="U1547">
            <v>2062085</v>
          </cell>
          <cell r="V1547">
            <v>2062085</v>
          </cell>
        </row>
        <row r="1548">
          <cell r="J1548">
            <v>910</v>
          </cell>
          <cell r="K1548">
            <v>43139</v>
          </cell>
          <cell r="L1548" t="str">
            <v>MARIA ELISA SAMACA TOCARRUNCHO</v>
          </cell>
          <cell r="M1548">
            <v>31</v>
          </cell>
          <cell r="N1548" t="str">
            <v>RESOLUCION</v>
          </cell>
          <cell r="O1548">
            <v>527</v>
          </cell>
          <cell r="P1548">
            <v>43139</v>
          </cell>
          <cell r="Q1548" t="str">
            <v>AYUDA TEMPORAL A LAS FAMILIAS DE VARIAS LOCALIDADES, PARA RELOCALIZACIÓN DE HOGARES LOCALIZADOS EN ZONAS DE ALTO RIESGO NO MITIGABLE ID:2006-3-8885, LOCALIDAD:03 SANTA FE, UPZ:96 LOURDES</v>
          </cell>
          <cell r="R1548">
            <v>6282705</v>
          </cell>
          <cell r="S1548">
            <v>0</v>
          </cell>
          <cell r="T1548">
            <v>0</v>
          </cell>
          <cell r="U1548">
            <v>6282705</v>
          </cell>
          <cell r="V1548">
            <v>3866280</v>
          </cell>
        </row>
        <row r="1549">
          <cell r="J1549">
            <v>911</v>
          </cell>
          <cell r="K1549">
            <v>43139</v>
          </cell>
          <cell r="L1549" t="str">
            <v>CARLOS ANDRES CRUZ RODRIGUEZ</v>
          </cell>
          <cell r="M1549">
            <v>31</v>
          </cell>
          <cell r="N1549" t="str">
            <v>RESOLUCION</v>
          </cell>
          <cell r="O1549">
            <v>528</v>
          </cell>
          <cell r="P1549">
            <v>43139</v>
          </cell>
          <cell r="Q1549" t="str">
            <v>AYUDA TEMPORAL A LAS FAMILIAS DE VARIAS LOCALIDADES, PARA RELOCALIZACIÓN DE HOGARES LOCALIZADOS EN ZONAS DE ALTO RIESGO NO MITIGABLE ID:2015-D227-00037, LOCALIDAD:04 SAN CRISTÓBAL, UPZ:51 LOS LIBERTADORES, SECTOR:SANTA TERESITA</v>
          </cell>
          <cell r="R1549">
            <v>6199661</v>
          </cell>
          <cell r="S1549">
            <v>0</v>
          </cell>
          <cell r="T1549">
            <v>0</v>
          </cell>
          <cell r="U1549">
            <v>6199661</v>
          </cell>
          <cell r="V1549">
            <v>3815176</v>
          </cell>
        </row>
        <row r="1550">
          <cell r="J1550">
            <v>912</v>
          </cell>
          <cell r="K1550">
            <v>43139</v>
          </cell>
          <cell r="L1550" t="str">
            <v>YONY JAVIER CARO LEMUS</v>
          </cell>
          <cell r="M1550">
            <v>31</v>
          </cell>
          <cell r="N1550" t="str">
            <v>RESOLUCION</v>
          </cell>
          <cell r="O1550">
            <v>529</v>
          </cell>
          <cell r="P1550">
            <v>43139</v>
          </cell>
          <cell r="Q1550" t="str">
            <v>AYUDA TEMPORAL A LAS FAMILIAS DE VARIAS LOCALIDADES, PARA RELOCALIZACIÓN DE HOGARES LOCALIZADOS EN ZONAS DE ALTO RIESGO NO MITIGABLE ID:2011-4-13533, LOCALIDAD:04 SAN CRISTÓBAL, UPZ:50 LA GLORIA</v>
          </cell>
          <cell r="R1550">
            <v>3711824</v>
          </cell>
          <cell r="S1550">
            <v>0</v>
          </cell>
          <cell r="T1550">
            <v>0</v>
          </cell>
          <cell r="U1550">
            <v>3711824</v>
          </cell>
          <cell r="V1550">
            <v>3247846</v>
          </cell>
        </row>
        <row r="1551">
          <cell r="J1551">
            <v>913</v>
          </cell>
          <cell r="K1551">
            <v>43139</v>
          </cell>
          <cell r="L1551" t="str">
            <v>EMILCEN  LLANTEN GUERRERO</v>
          </cell>
          <cell r="M1551">
            <v>31</v>
          </cell>
          <cell r="N1551" t="str">
            <v>RESOLUCION</v>
          </cell>
          <cell r="O1551">
            <v>530</v>
          </cell>
          <cell r="P1551">
            <v>43139</v>
          </cell>
          <cell r="Q1551" t="str">
            <v>AYUDA TEMPORAL A LAS FAMILIAS DE VARIAS LOCALIDADES, PARA RELOCALIZACIÓN DE HOGARES LOCALIZADOS EN ZONAS DE ALTO RIESGO NO MITIGABLE ID:2012-ALES-468, LOCALIDAD:19 CIUDAD BOLÍVAR, UPZ:69 ISMAEL PERDOMO, SECTOR:ALTOS DE LA ESTANCIA</v>
          </cell>
          <cell r="R1551">
            <v>5603000</v>
          </cell>
          <cell r="S1551">
            <v>0</v>
          </cell>
          <cell r="T1551">
            <v>0</v>
          </cell>
          <cell r="U1551">
            <v>5603000</v>
          </cell>
          <cell r="V1551">
            <v>3448000</v>
          </cell>
        </row>
        <row r="1552">
          <cell r="J1552">
            <v>914</v>
          </cell>
          <cell r="K1552">
            <v>43139</v>
          </cell>
          <cell r="L1552" t="str">
            <v>MARIA LUCRECIA CORTES JOTA</v>
          </cell>
          <cell r="M1552">
            <v>31</v>
          </cell>
          <cell r="N1552" t="str">
            <v>RESOLUCION</v>
          </cell>
          <cell r="O1552">
            <v>531</v>
          </cell>
          <cell r="P1552">
            <v>43139</v>
          </cell>
          <cell r="Q1552" t="str">
            <v>AYUDA TEMPORAL A LAS FAMILIAS DE VARIAS LOCALIDADES, PARA RELOCALIZACIÓN DE HOGARES LOCALIZADOS EN ZONAS DE ALTO RIESGO NO MITIGABLE ID:2012-19-13826, LOCALIDAD:19 CIUDAD BOLÍVAR, UPZ:67 LUCERO</v>
          </cell>
          <cell r="R1552">
            <v>2796906</v>
          </cell>
          <cell r="S1552">
            <v>399558</v>
          </cell>
          <cell r="T1552">
            <v>0</v>
          </cell>
          <cell r="U1552">
            <v>2397348</v>
          </cell>
          <cell r="V1552">
            <v>2397348</v>
          </cell>
        </row>
        <row r="1553">
          <cell r="J1553">
            <v>915</v>
          </cell>
          <cell r="K1553">
            <v>43139</v>
          </cell>
          <cell r="L1553" t="str">
            <v>MARGI  CUEVAS CALDERON</v>
          </cell>
          <cell r="M1553">
            <v>31</v>
          </cell>
          <cell r="N1553" t="str">
            <v>RESOLUCION</v>
          </cell>
          <cell r="O1553">
            <v>532</v>
          </cell>
          <cell r="P1553">
            <v>43139</v>
          </cell>
          <cell r="Q1553" t="str">
            <v>AYUDA TEMPORAL A LAS FAMILIAS DE VARIAS LOCALIDADES, PARA RELOCALIZACIÓN DE HOGARES LOCALIZADOS EN ZONAS DE ALTO RIESGO NO MITIGABLE ID:2016-08-14831, LOCALIDAD:08 KENNEDY, UPZ:82 PATIO BONITO, SECTOR:PALMITAS</v>
          </cell>
          <cell r="R1553">
            <v>4795154</v>
          </cell>
          <cell r="S1553">
            <v>0</v>
          </cell>
          <cell r="T1553">
            <v>0</v>
          </cell>
          <cell r="U1553">
            <v>4795154</v>
          </cell>
          <cell r="V1553">
            <v>2950864</v>
          </cell>
        </row>
        <row r="1554">
          <cell r="J1554">
            <v>916</v>
          </cell>
          <cell r="K1554">
            <v>43139</v>
          </cell>
          <cell r="L1554" t="str">
            <v>LIBIA AZUCENA FRANCO ALGECIRA</v>
          </cell>
          <cell r="M1554">
            <v>31</v>
          </cell>
          <cell r="N1554" t="str">
            <v>RESOLUCION</v>
          </cell>
          <cell r="O1554">
            <v>533</v>
          </cell>
          <cell r="P1554">
            <v>43139</v>
          </cell>
          <cell r="Q1554" t="str">
            <v>AYUDA TEMPORAL A LAS FAMILIAS DE VARIAS LOCALIDADES, PARA RELOCALIZACIÓN DE HOGARES LOCALIZADOS EN ZONAS DE ALTO RIESGO NO MITIGABLE ID:2014-18-14705, LOCALIDAD:18 RAFAEL URIBE URIBE, UPZ:53 MARCO FIDEL SUÁREZ, SECTOR:</v>
          </cell>
          <cell r="R1554">
            <v>2602439</v>
          </cell>
          <cell r="S1554">
            <v>371777</v>
          </cell>
          <cell r="T1554">
            <v>0</v>
          </cell>
          <cell r="U1554">
            <v>2230662</v>
          </cell>
          <cell r="V1554">
            <v>2230662</v>
          </cell>
        </row>
        <row r="1555">
          <cell r="J1555">
            <v>917</v>
          </cell>
          <cell r="K1555">
            <v>43139</v>
          </cell>
          <cell r="L1555" t="str">
            <v>BLANCA DORIS FERNANDEZ</v>
          </cell>
          <cell r="M1555">
            <v>31</v>
          </cell>
          <cell r="N1555" t="str">
            <v>RESOLUCION</v>
          </cell>
          <cell r="O1555">
            <v>534</v>
          </cell>
          <cell r="P1555">
            <v>43139</v>
          </cell>
          <cell r="Q1555" t="str">
            <v>AYUDA TEMPORAL A LAS FAMILIAS DE VARIAS LOCALIDADES, PARA RELOCALIZACIÓN DE HOGARES LOCALIZADOS EN ZONAS DE ALTO RIESGO NO MITIGABLE ID:2013-Q09-00189, LOCALIDAD:19 CIUDAD BOLÍVAR, UPZ:67 LUCERO, SECTOR:QUEBRADA TROMPETA</v>
          </cell>
          <cell r="R1555">
            <v>3157315</v>
          </cell>
          <cell r="S1555">
            <v>451045</v>
          </cell>
          <cell r="T1555">
            <v>0</v>
          </cell>
          <cell r="U1555">
            <v>2706270</v>
          </cell>
          <cell r="V1555">
            <v>2706270</v>
          </cell>
        </row>
        <row r="1556">
          <cell r="J1556">
            <v>918</v>
          </cell>
          <cell r="K1556">
            <v>43139</v>
          </cell>
          <cell r="L1556" t="str">
            <v>MARIA JUDY GARZON GUATAVA</v>
          </cell>
          <cell r="M1556">
            <v>31</v>
          </cell>
          <cell r="N1556" t="str">
            <v>RESOLUCION</v>
          </cell>
          <cell r="O1556">
            <v>535</v>
          </cell>
          <cell r="P1556">
            <v>43139</v>
          </cell>
          <cell r="Q1556" t="str">
            <v>AYUDA TEMPORAL A LAS FAMILIAS DE VARIAS LOCALIDADES, PARA RELOCALIZACIÓN DE HOGARES LOCALIZADOS EN ZONAS DE ALTO RIESGO NO MITIGABLE ID:2012-19-13823, LOCALIDAD:19 CIUDAD BOLÍVAR, UPZ:67 LUCERO</v>
          </cell>
          <cell r="R1556">
            <v>2582006</v>
          </cell>
          <cell r="S1556">
            <v>368858</v>
          </cell>
          <cell r="T1556">
            <v>0</v>
          </cell>
          <cell r="U1556">
            <v>2213148</v>
          </cell>
          <cell r="V1556">
            <v>2213148</v>
          </cell>
        </row>
        <row r="1557">
          <cell r="J1557">
            <v>919</v>
          </cell>
          <cell r="K1557">
            <v>43139</v>
          </cell>
          <cell r="L1557" t="str">
            <v>ALDEMAR  MALAVER CRUZ</v>
          </cell>
          <cell r="M1557">
            <v>31</v>
          </cell>
          <cell r="N1557" t="str">
            <v>RESOLUCION</v>
          </cell>
          <cell r="O1557">
            <v>536</v>
          </cell>
          <cell r="P1557">
            <v>43139</v>
          </cell>
          <cell r="Q1557" t="str">
            <v>AYUDA TEMPORAL A LAS FAMILIAS DE VARIAS LOCALIDADES, PARA RELOCALIZACIÓN DE HOGARES LOCALIZADOS EN ZONAS DE ALTO RIESGO NO MITIGABLE ID:2015-Q03-01488, LOCALIDAD:19 CIUDAD BOLÍVAR, UPZ:66 SAN FRANCISCO, SECTOR:LIMAS</v>
          </cell>
          <cell r="R1557">
            <v>2582006</v>
          </cell>
          <cell r="S1557">
            <v>368858</v>
          </cell>
          <cell r="T1557">
            <v>0</v>
          </cell>
          <cell r="U1557">
            <v>2213148</v>
          </cell>
          <cell r="V1557">
            <v>2213148</v>
          </cell>
        </row>
        <row r="1558">
          <cell r="J1558">
            <v>920</v>
          </cell>
          <cell r="K1558">
            <v>43139</v>
          </cell>
          <cell r="L1558" t="str">
            <v>JOSE DE JESUS RODRIGUEZ RODRIGUEZ</v>
          </cell>
          <cell r="M1558">
            <v>31</v>
          </cell>
          <cell r="N1558" t="str">
            <v>RESOLUCION</v>
          </cell>
          <cell r="O1558">
            <v>537</v>
          </cell>
          <cell r="P1558">
            <v>43139</v>
          </cell>
          <cell r="Q1558" t="str">
            <v>AYUDA TEMPORAL A LAS FAMILIAS DE VARIAS LOCALIDADES, PARA RELOCALIZACIÓN DE HOGARES LOCALIZADOS EN ZONAS DE ALTO RIESGO NO MITIGABLE ID:2015-Q03-01427, LOCALIDAD:19 CIUDAD BOLÍVAR, UPZ:66 SAN FRANCISCO, SECTOR:LIMAS</v>
          </cell>
          <cell r="R1558">
            <v>3157315</v>
          </cell>
          <cell r="S1558">
            <v>451045</v>
          </cell>
          <cell r="T1558">
            <v>0</v>
          </cell>
          <cell r="U1558">
            <v>2706270</v>
          </cell>
          <cell r="V1558">
            <v>2706270</v>
          </cell>
        </row>
        <row r="1559">
          <cell r="J1559">
            <v>921</v>
          </cell>
          <cell r="K1559">
            <v>43139</v>
          </cell>
          <cell r="L1559" t="str">
            <v>ANGIE JULIETTE ROJAS CARRILLO</v>
          </cell>
          <cell r="M1559">
            <v>31</v>
          </cell>
          <cell r="N1559" t="str">
            <v>RESOLUCION</v>
          </cell>
          <cell r="O1559">
            <v>538</v>
          </cell>
          <cell r="P1559">
            <v>43139</v>
          </cell>
          <cell r="Q1559" t="str">
            <v>AYUDA TEMPORAL A LAS FAMILIAS DE VARIAS LOCALIDADES, PARA RELOCALIZACIÓN DE HOGARES LOCALIZADOS EN ZONAS DE ALTO RIESGO NO MITIGABLE ID:2015-Q03-01433, LOCALIDAD:19 CIUDAD BOLÍVAR, UPZ:66 SAN FRANCISCO, SECTOR:LIMAS</v>
          </cell>
          <cell r="R1559">
            <v>3157315</v>
          </cell>
          <cell r="S1559">
            <v>451045</v>
          </cell>
          <cell r="T1559">
            <v>0</v>
          </cell>
          <cell r="U1559">
            <v>2706270</v>
          </cell>
          <cell r="V1559">
            <v>2706270</v>
          </cell>
        </row>
        <row r="1560">
          <cell r="J1560">
            <v>922</v>
          </cell>
          <cell r="K1560">
            <v>43139</v>
          </cell>
          <cell r="L1560" t="str">
            <v>YEISMI  GALINDO GONZALEZ</v>
          </cell>
          <cell r="M1560">
            <v>31</v>
          </cell>
          <cell r="N1560" t="str">
            <v>RESOLUCION</v>
          </cell>
          <cell r="O1560">
            <v>539</v>
          </cell>
          <cell r="P1560">
            <v>43139</v>
          </cell>
          <cell r="Q1560" t="str">
            <v>AYUDA TEMPORAL A LAS FAMILIAS DE VARIAS LOCALIDADES, PARA RELOCALIZACIÓN DE HOGARES LOCALIZADOS EN ZONAS DE ALTO RIESGO NO MITIGABLE ID:2014-OTR-00949, LOCALIDAD:19 CIUDAD BOLÍVAR, UPZ:67 LUCERO, SECTOR:TABOR ALTALOMA</v>
          </cell>
          <cell r="R1560">
            <v>3383254</v>
          </cell>
          <cell r="S1560">
            <v>483322</v>
          </cell>
          <cell r="T1560">
            <v>0</v>
          </cell>
          <cell r="U1560">
            <v>2899932</v>
          </cell>
          <cell r="V1560">
            <v>2899932</v>
          </cell>
        </row>
        <row r="1561">
          <cell r="J1561">
            <v>923</v>
          </cell>
          <cell r="K1561">
            <v>43139</v>
          </cell>
          <cell r="L1561" t="str">
            <v>MARIA HELENA GALINDO GONZALEZ</v>
          </cell>
          <cell r="M1561">
            <v>31</v>
          </cell>
          <cell r="N1561" t="str">
            <v>RESOLUCION</v>
          </cell>
          <cell r="O1561">
            <v>540</v>
          </cell>
          <cell r="P1561">
            <v>43139</v>
          </cell>
          <cell r="Q1561" t="str">
            <v>AYUDA TEMPORAL A LAS FAMILIAS DE VARIAS LOCALIDADES, PARA RELOCALIZACIÓN DE HOGARES LOCALIZADOS EN ZONAS DE ALTO RIESGO NO MITIGABLE ID:2014-OTR-00956, LOCALIDAD:19 CIUDAD BOLÍVAR, UPZ:67 LUCERO, SECTOR:TABOR ALTALOMA</v>
          </cell>
          <cell r="R1561">
            <v>3383254</v>
          </cell>
          <cell r="S1561">
            <v>483322</v>
          </cell>
          <cell r="T1561">
            <v>0</v>
          </cell>
          <cell r="U1561">
            <v>2899932</v>
          </cell>
          <cell r="V1561">
            <v>2899932</v>
          </cell>
        </row>
        <row r="1562">
          <cell r="J1562">
            <v>924</v>
          </cell>
          <cell r="K1562">
            <v>43139</v>
          </cell>
          <cell r="L1562" t="str">
            <v>MARIA DEL CARMEN GONZALEZ</v>
          </cell>
          <cell r="M1562">
            <v>31</v>
          </cell>
          <cell r="N1562" t="str">
            <v>RESOLUCION</v>
          </cell>
          <cell r="O1562">
            <v>541</v>
          </cell>
          <cell r="P1562">
            <v>43139</v>
          </cell>
          <cell r="Q1562" t="str">
            <v>AYUDA TEMPORAL A LAS FAMILIAS DE VARIAS LOCALIDADES, PARA RELOCALIZACIÓN DE HOGARES LOCALIZADOS EN ZONAS DE ALTO RIESGO NO MITIGABLE ID:2014-OTR-00966, LOCALIDAD:19 CIUDAD BOLÍVAR, UPZ:67 LUCERO, SECTOR:TABOR ALTALOMA</v>
          </cell>
          <cell r="R1562">
            <v>3619000</v>
          </cell>
          <cell r="S1562">
            <v>517000</v>
          </cell>
          <cell r="T1562">
            <v>0</v>
          </cell>
          <cell r="U1562">
            <v>3102000</v>
          </cell>
          <cell r="V1562">
            <v>3102000</v>
          </cell>
        </row>
        <row r="1563">
          <cell r="J1563">
            <v>925</v>
          </cell>
          <cell r="K1563">
            <v>43139</v>
          </cell>
          <cell r="L1563" t="str">
            <v>AGRIPINA IMELDA ROBLES VIUDA DE TINJACA</v>
          </cell>
          <cell r="M1563">
            <v>31</v>
          </cell>
          <cell r="N1563" t="str">
            <v>RESOLUCION</v>
          </cell>
          <cell r="O1563">
            <v>542</v>
          </cell>
          <cell r="P1563">
            <v>43139</v>
          </cell>
          <cell r="Q1563" t="str">
            <v>AYUDA TEMPORAL A LAS FAMILIAS DE VARIAS LOCALIDADES, PARA RELOCALIZACIÓN DE HOGARES LOCALIZADOS EN ZONAS DE ALTO RIESGO NO MITIGABLE ID:2013-Q04-00283, LOCALIDAD:19 CIUDAD BOLÍVAR, UPZ:67 LUCERO, SECTOR:PEÑA COLORADA</v>
          </cell>
          <cell r="R1563">
            <v>3017000</v>
          </cell>
          <cell r="S1563">
            <v>431000</v>
          </cell>
          <cell r="T1563">
            <v>0</v>
          </cell>
          <cell r="U1563">
            <v>2586000</v>
          </cell>
          <cell r="V1563">
            <v>2586000</v>
          </cell>
        </row>
        <row r="1564">
          <cell r="J1564">
            <v>926</v>
          </cell>
          <cell r="K1564">
            <v>43139</v>
          </cell>
          <cell r="L1564" t="str">
            <v>YENNI PATRICIA ROA CASAS</v>
          </cell>
          <cell r="M1564">
            <v>31</v>
          </cell>
          <cell r="N1564" t="str">
            <v>RESOLUCION</v>
          </cell>
          <cell r="O1564">
            <v>543</v>
          </cell>
          <cell r="P1564">
            <v>43139</v>
          </cell>
          <cell r="Q1564" t="str">
            <v>AYUDA TEMPORAL A LAS FAMILIAS DE VARIAS LOCALIDADES, PARA RELOCALIZACIÓN DE HOGARES LOCALIZADOS EN ZONAS DE ALTO RIESGO NO MITIGABLE ID:2010-19-12301, LOCALIDAD:19 CIUDAD BOLÍVAR, UPZ:67 LUCERO</v>
          </cell>
          <cell r="R1564">
            <v>4979592</v>
          </cell>
          <cell r="S1564">
            <v>0</v>
          </cell>
          <cell r="T1564">
            <v>0</v>
          </cell>
          <cell r="U1564">
            <v>4979592</v>
          </cell>
          <cell r="V1564">
            <v>4426304</v>
          </cell>
        </row>
        <row r="1565">
          <cell r="J1565">
            <v>927</v>
          </cell>
          <cell r="K1565">
            <v>43139</v>
          </cell>
          <cell r="L1565" t="str">
            <v>JESUS EDUARDO HENAO SOTO</v>
          </cell>
          <cell r="M1565">
            <v>31</v>
          </cell>
          <cell r="N1565" t="str">
            <v>RESOLUCION</v>
          </cell>
          <cell r="O1565">
            <v>544</v>
          </cell>
          <cell r="P1565">
            <v>43139</v>
          </cell>
          <cell r="Q1565" t="str">
            <v>AYUDA TEMPORAL A LAS FAMILIAS DE VARIAS LOCALIDADES, PARA RELOCALIZACIÓN DE HOGARES LOCALIZADOS EN ZONAS DE ALTO RIESGO NO MITIGABLE ID:2013-Q04-00297, LOCALIDAD:19 CIUDAD BOLÍVAR, UPZ:67 LUCERO, SECTOR:PEÑA COLORADA</v>
          </cell>
          <cell r="R1565">
            <v>6713226</v>
          </cell>
          <cell r="S1565">
            <v>0</v>
          </cell>
          <cell r="T1565">
            <v>0</v>
          </cell>
          <cell r="U1565">
            <v>6713226</v>
          </cell>
          <cell r="V1565">
            <v>4131216</v>
          </cell>
        </row>
        <row r="1566">
          <cell r="J1566">
            <v>928</v>
          </cell>
          <cell r="K1566">
            <v>43139</v>
          </cell>
          <cell r="L1566" t="str">
            <v>OMAR  SALAZAR HERNANDEZ</v>
          </cell>
          <cell r="M1566">
            <v>31</v>
          </cell>
          <cell r="N1566" t="str">
            <v>RESOLUCION</v>
          </cell>
          <cell r="O1566">
            <v>545</v>
          </cell>
          <cell r="P1566">
            <v>43139</v>
          </cell>
          <cell r="Q1566" t="str">
            <v>AYUDA TEMPORAL A LAS FAMILIAS DE VARIAS LOCALIDADES, PARA RELOCALIZACIÓN DE HOGARES LOCALIZADOS EN ZONAS DE ALTO RIESGO NO MITIGABLE ID:2008-4-10769, LOCALIDAD:04 SAN CRISTÓBAL, UPZ:51 LOS LIBERTADORES, SECTOR:QUEBRADA VEREJONES</v>
          </cell>
          <cell r="R1566">
            <v>3254769</v>
          </cell>
          <cell r="S1566">
            <v>464967</v>
          </cell>
          <cell r="T1566">
            <v>0</v>
          </cell>
          <cell r="U1566">
            <v>2789802</v>
          </cell>
          <cell r="V1566">
            <v>2789802</v>
          </cell>
        </row>
        <row r="1567">
          <cell r="J1567">
            <v>929</v>
          </cell>
          <cell r="K1567">
            <v>43139</v>
          </cell>
          <cell r="L1567" t="str">
            <v>ALBA YOLIMA GARCIA</v>
          </cell>
          <cell r="M1567">
            <v>31</v>
          </cell>
          <cell r="N1567" t="str">
            <v>RESOLUCION</v>
          </cell>
          <cell r="O1567">
            <v>546</v>
          </cell>
          <cell r="P1567">
            <v>43139</v>
          </cell>
          <cell r="Q1567" t="str">
            <v>AYUDA TEMPORAL A LAS FAMILIAS DE VARIAS LOCALIDADES, PARA RELOCALIZACIÓN DE HOGARES LOCALIZADOS EN ZONAS DE ALTO RIESGO NO MITIGABLE ID:2006-19-8545, LOCALIDAD:19 CIUDAD BOLÍVAR, UPZ:68 EL TESORO, SECTOR:QUEBRADA EL INFIERNO</v>
          </cell>
          <cell r="R1567">
            <v>2788569</v>
          </cell>
          <cell r="S1567">
            <v>398367</v>
          </cell>
          <cell r="T1567">
            <v>0</v>
          </cell>
          <cell r="U1567">
            <v>2390202</v>
          </cell>
          <cell r="V1567">
            <v>2390202</v>
          </cell>
        </row>
        <row r="1568">
          <cell r="J1568">
            <v>930</v>
          </cell>
          <cell r="K1568">
            <v>43139</v>
          </cell>
          <cell r="L1568" t="str">
            <v>FLOR ALBA RODRIGUEZ GOMEZ</v>
          </cell>
          <cell r="M1568">
            <v>31</v>
          </cell>
          <cell r="N1568" t="str">
            <v>RESOLUCION</v>
          </cell>
          <cell r="O1568">
            <v>547</v>
          </cell>
          <cell r="P1568">
            <v>43139</v>
          </cell>
          <cell r="Q1568" t="str">
            <v>AYUDA TEMPORAL A LAS FAMILIAS DE VARIAS LOCALIDADES, PARA RELOCALIZACIÓN DE HOGARES LOCALIZADOS EN ZONAS DE ALTO RIESGO NO MITIGABLE ID:2009-4-11165, LOCALIDAD:04 SAN CRISTÓBAL, UPZ:50 LA GLORIA</v>
          </cell>
          <cell r="R1568">
            <v>3157574</v>
          </cell>
          <cell r="S1568">
            <v>451082</v>
          </cell>
          <cell r="T1568">
            <v>0</v>
          </cell>
          <cell r="U1568">
            <v>2706492</v>
          </cell>
          <cell r="V1568">
            <v>2706492</v>
          </cell>
        </row>
        <row r="1569">
          <cell r="J1569">
            <v>931</v>
          </cell>
          <cell r="K1569">
            <v>43139</v>
          </cell>
          <cell r="L1569" t="str">
            <v>NATALI  RODRIGUEZ GONZALEZ</v>
          </cell>
          <cell r="M1569">
            <v>31</v>
          </cell>
          <cell r="N1569" t="str">
            <v>RESOLUCION</v>
          </cell>
          <cell r="O1569">
            <v>548</v>
          </cell>
          <cell r="P1569">
            <v>43139</v>
          </cell>
          <cell r="Q1569" t="str">
            <v>AYUDA TEMPORAL A LAS FAMILIAS DE VARIAS LOCALIDADES, PARA RELOCALIZACIÓN DE HOGARES LOCALIZADOS EN ZONAS DE ALTO RIESGO NO MITIGABLE ID:2014-OTR-01001, LOCALIDAD:19 CIUDAD BOLÍVAR, UPZ:67 LUCERO, SECTOR:TABOR ALTALOMA</v>
          </cell>
          <cell r="R1569">
            <v>2582006</v>
          </cell>
          <cell r="S1569">
            <v>368858</v>
          </cell>
          <cell r="T1569">
            <v>0</v>
          </cell>
          <cell r="U1569">
            <v>2213148</v>
          </cell>
          <cell r="V1569">
            <v>2213148</v>
          </cell>
        </row>
        <row r="1570">
          <cell r="J1570">
            <v>932</v>
          </cell>
          <cell r="K1570">
            <v>43139</v>
          </cell>
          <cell r="L1570" t="str">
            <v>MAIRA TATIANA GARCIA GUTIERREZ</v>
          </cell>
          <cell r="M1570">
            <v>31</v>
          </cell>
          <cell r="N1570" t="str">
            <v>RESOLUCION</v>
          </cell>
          <cell r="O1570">
            <v>549</v>
          </cell>
          <cell r="P1570">
            <v>43139</v>
          </cell>
          <cell r="Q1570" t="str">
            <v>AYUDA TEMPORAL A LAS FAMILIAS DE VARIAS LOCALIDADES, PARA RELOCALIZACIÓN DE HOGARES LOCALIZADOS EN ZONAS DE ALTO RIESGO NO MITIGABLE ID:2014-OTR-01101, LOCALIDAD:19 CIUDAD BOLÍVAR, UPZ:67 LUCERO, SECTOR:TABOR ALTALOMA</v>
          </cell>
          <cell r="R1570">
            <v>5603000</v>
          </cell>
          <cell r="S1570">
            <v>0</v>
          </cell>
          <cell r="T1570">
            <v>0</v>
          </cell>
          <cell r="U1570">
            <v>5603000</v>
          </cell>
          <cell r="V1570">
            <v>3448000</v>
          </cell>
        </row>
        <row r="1571">
          <cell r="J1571">
            <v>933</v>
          </cell>
          <cell r="K1571">
            <v>43139</v>
          </cell>
          <cell r="L1571" t="str">
            <v>GILDARDO  TOVAR ABELLO</v>
          </cell>
          <cell r="M1571">
            <v>31</v>
          </cell>
          <cell r="N1571" t="str">
            <v>RESOLUCION</v>
          </cell>
          <cell r="O1571">
            <v>471</v>
          </cell>
          <cell r="P1571">
            <v>43139</v>
          </cell>
          <cell r="Q1571" t="str">
            <v>AYUDA TEMPORAL A LAS FAMILIAS DE VARIAS LOCALIDADES, PARA RELOCALIZACIÓN DE HOGARES LOCALIZADOS EN ZONAS DE ALTO RIESGO NO MITIGABLE ID:2016-19-00006, LOCALIDAD:19 CIUDAD BOLÍVAR, UPZ:67 LUCERO</v>
          </cell>
          <cell r="R1571">
            <v>2685291</v>
          </cell>
          <cell r="S1571">
            <v>0</v>
          </cell>
          <cell r="T1571">
            <v>0</v>
          </cell>
          <cell r="U1571">
            <v>2685291</v>
          </cell>
          <cell r="V1571">
            <v>2301678</v>
          </cell>
        </row>
        <row r="1572">
          <cell r="J1572">
            <v>934</v>
          </cell>
          <cell r="K1572">
            <v>43139</v>
          </cell>
          <cell r="L1572" t="str">
            <v>HECTOR JULIO GOMEZ HERRERA</v>
          </cell>
          <cell r="M1572">
            <v>31</v>
          </cell>
          <cell r="N1572" t="str">
            <v>RESOLUCION</v>
          </cell>
          <cell r="O1572">
            <v>478</v>
          </cell>
          <cell r="P1572">
            <v>43139</v>
          </cell>
          <cell r="Q1572" t="str">
            <v>AYUDA TEMPORAL A LAS FAMILIAS DE VARIAS LOCALIDADES, PARA RELOCALIZACIÓN DE HOGARES LOCALIZADOS EN ZONAS DE ALTO RIESGO NO MITIGABLE ID:2010-5-11595, LOCALIDAD:05 USME, UPZ:57 GRAN YOMASA, SECTOR:OLA INVERNAL 2010 FOPAE</v>
          </cell>
          <cell r="R1572">
            <v>2582006</v>
          </cell>
          <cell r="S1572">
            <v>368858</v>
          </cell>
          <cell r="T1572">
            <v>0</v>
          </cell>
          <cell r="U1572">
            <v>2213148</v>
          </cell>
          <cell r="V1572">
            <v>2213148</v>
          </cell>
        </row>
        <row r="1573">
          <cell r="J1573">
            <v>935</v>
          </cell>
          <cell r="K1573">
            <v>43139</v>
          </cell>
          <cell r="L1573" t="str">
            <v>SANDRA PILAR GUAVITA GAITAN</v>
          </cell>
          <cell r="M1573">
            <v>31</v>
          </cell>
          <cell r="N1573" t="str">
            <v>RESOLUCION</v>
          </cell>
          <cell r="O1573">
            <v>479</v>
          </cell>
          <cell r="P1573">
            <v>43139</v>
          </cell>
          <cell r="Q1573" t="str">
            <v>AYUDA TEMPORAL A LAS FAMILIAS DE VARIAS LOCALIDADES, PARA RELOCALIZACIÓN DE HOGARES LOCALIZADOS EN ZONAS DE ALTO RIESGO NO MITIGABLE ID:2010-5-11643, LOCALIDAD:05 USME, UPZ:57 GRAN YOMASA, SECTOR:OLA INVERNAL 2010 FOPAE</v>
          </cell>
          <cell r="R1573">
            <v>2582006</v>
          </cell>
          <cell r="S1573">
            <v>368858</v>
          </cell>
          <cell r="T1573">
            <v>0</v>
          </cell>
          <cell r="U1573">
            <v>2213148</v>
          </cell>
          <cell r="V1573">
            <v>2213148</v>
          </cell>
        </row>
        <row r="1574">
          <cell r="J1574">
            <v>936</v>
          </cell>
          <cell r="K1574">
            <v>43139</v>
          </cell>
          <cell r="L1574" t="str">
            <v>MARTHA LUCIA BERNAL ECHAVARRIA</v>
          </cell>
          <cell r="M1574">
            <v>31</v>
          </cell>
          <cell r="N1574" t="str">
            <v>RESOLUCION</v>
          </cell>
          <cell r="O1574">
            <v>488</v>
          </cell>
          <cell r="P1574">
            <v>43139</v>
          </cell>
          <cell r="Q1574" t="str">
            <v>AYUDA TEMPORAL A LAS FAMILIAS DE VARIAS LOCALIDADES, PARA RELOCALIZACIÓN DE HOGARES LOCALIZADOS EN ZONAS DE ALTO RIESGO NO MITIGABLE ID:2015-D227-00010, LOCALIDAD:04 SAN CRISTÓBAL, UPZ:51 LOS LIBERTADORES, SECTOR:SANTA TERESITA</v>
          </cell>
          <cell r="R1574">
            <v>5361707</v>
          </cell>
          <cell r="S1574">
            <v>0</v>
          </cell>
          <cell r="T1574">
            <v>0</v>
          </cell>
          <cell r="U1574">
            <v>5361707</v>
          </cell>
          <cell r="V1574">
            <v>3299512</v>
          </cell>
        </row>
        <row r="1575">
          <cell r="J1575">
            <v>937</v>
          </cell>
          <cell r="K1575">
            <v>43139</v>
          </cell>
          <cell r="L1575" t="str">
            <v>MYRIAM EDITH ALVAREZ DUARTE</v>
          </cell>
          <cell r="M1575">
            <v>31</v>
          </cell>
          <cell r="N1575" t="str">
            <v>RESOLUCION</v>
          </cell>
          <cell r="O1575">
            <v>550</v>
          </cell>
          <cell r="P1575">
            <v>43139</v>
          </cell>
          <cell r="Q1575" t="str">
            <v>AYUDA TEMPORAL A LAS FAMILIAS DE VARIAS LOCALIDADES, PARA RELOCALIZACIÓN DE HOGARES LOCALIZADOS EN ZONAS DE ALTO RIESGO NO MITIGABLE ID:2011-19-12558, LOCALIDAD:19 CIUDAD BOLÍVAR, UPZ:69 ISMAEL PERDOMO, SECTOR:OLA INVERNAL 2010 FOPAE</v>
          </cell>
          <cell r="R1575">
            <v>2582006</v>
          </cell>
          <cell r="S1575">
            <v>1844290</v>
          </cell>
          <cell r="T1575">
            <v>0</v>
          </cell>
          <cell r="U1575">
            <v>737716</v>
          </cell>
          <cell r="V1575">
            <v>737716</v>
          </cell>
        </row>
        <row r="1576">
          <cell r="J1576">
            <v>938</v>
          </cell>
          <cell r="K1576">
            <v>43139</v>
          </cell>
          <cell r="L1576" t="str">
            <v>LEYDI ALEJANDRA RUIZ GUTIERREZ</v>
          </cell>
          <cell r="M1576">
            <v>31</v>
          </cell>
          <cell r="N1576" t="str">
            <v>RESOLUCION</v>
          </cell>
          <cell r="O1576">
            <v>551</v>
          </cell>
          <cell r="P1576">
            <v>43139</v>
          </cell>
          <cell r="Q1576" t="str">
            <v>AYUDA TEMPORAL A LAS FAMILIAS DE VARIAS LOCALIDADES, PARA RELOCALIZACIÓN DE HOGARES LOCALIZADOS EN ZONAS DE ALTO RIESGO NO MITIGABLE ID:2014-OTR-00943, LOCALIDAD:19 CIUDAD BOLÍVAR, UPZ:67 LUCERO, SECTOR:TABOR ALTALOMA</v>
          </cell>
          <cell r="R1576">
            <v>5603000</v>
          </cell>
          <cell r="S1576">
            <v>0</v>
          </cell>
          <cell r="T1576">
            <v>0</v>
          </cell>
          <cell r="U1576">
            <v>5603000</v>
          </cell>
          <cell r="V1576">
            <v>3448000</v>
          </cell>
        </row>
        <row r="1577">
          <cell r="J1577">
            <v>939</v>
          </cell>
          <cell r="K1577">
            <v>43139</v>
          </cell>
          <cell r="L1577" t="str">
            <v>ZOILA YORANY QUIROGA HERNANDEZ</v>
          </cell>
          <cell r="M1577">
            <v>31</v>
          </cell>
          <cell r="N1577" t="str">
            <v>RESOLUCION</v>
          </cell>
          <cell r="O1577">
            <v>489</v>
          </cell>
          <cell r="P1577">
            <v>43139</v>
          </cell>
          <cell r="Q1577" t="str">
            <v>AYUDA TEMPORAL A LAS FAMILIAS DE VARIAS LOCALIDADES, PARA RELOCALIZACIÓN DE HOGARES LOCALIZADOS EN ZONAS DE ALTO RIESGO NO MITIGABLE ID:2012-18-14311, LOCALIDAD:18 RAFAEL URIBE URIBE, UPZ:55 DIANA TURBAY</v>
          </cell>
          <cell r="R1577">
            <v>3769731</v>
          </cell>
          <cell r="S1577">
            <v>0</v>
          </cell>
          <cell r="T1577">
            <v>0</v>
          </cell>
          <cell r="U1577">
            <v>3769731</v>
          </cell>
          <cell r="V1577">
            <v>2154132</v>
          </cell>
        </row>
        <row r="1578">
          <cell r="J1578">
            <v>940</v>
          </cell>
          <cell r="K1578">
            <v>43139</v>
          </cell>
          <cell r="L1578" t="str">
            <v>ANA LUCERO DIAZ DIAZ</v>
          </cell>
          <cell r="M1578">
            <v>31</v>
          </cell>
          <cell r="N1578" t="str">
            <v>RESOLUCION</v>
          </cell>
          <cell r="O1578">
            <v>553</v>
          </cell>
          <cell r="P1578">
            <v>43139</v>
          </cell>
          <cell r="Q1578" t="str">
            <v>AYUDA TEMPORAL A LAS FAMILIAS DE VARIAS LOCALIDADES, PARA RELOCALIZACIÓN DE HOGARES LOCALIZADOS EN ZONAS DE ALTO RIESGO NO MITIGABLE ID:2010-5-11581, LOCALIDAD:05 USME, UPZ:57 GRAN YOMASA, SECTOR:OLA INVERNAL 2010 FOPAE</v>
          </cell>
          <cell r="R1578">
            <v>3299296</v>
          </cell>
          <cell r="S1578">
            <v>471328</v>
          </cell>
          <cell r="T1578">
            <v>0</v>
          </cell>
          <cell r="U1578">
            <v>2827968</v>
          </cell>
          <cell r="V1578">
            <v>2827968</v>
          </cell>
        </row>
        <row r="1579">
          <cell r="J1579">
            <v>941</v>
          </cell>
          <cell r="K1579">
            <v>43139</v>
          </cell>
          <cell r="L1579" t="str">
            <v>HECTOR GUILLERMO GOMEZ SALINAS</v>
          </cell>
          <cell r="M1579">
            <v>31</v>
          </cell>
          <cell r="N1579" t="str">
            <v>RESOLUCION</v>
          </cell>
          <cell r="O1579">
            <v>490</v>
          </cell>
          <cell r="P1579">
            <v>43139</v>
          </cell>
          <cell r="Q1579" t="str">
            <v>AYUDA TEMPORAL A LAS FAMILIAS DE VARIAS LOCALIDADES, PARA RELOCALIZACIÓN DE HOGARES LOCALIZADOS EN ZONAS DE ALTO RIESGO NO MITIGABLE ID:2013-Q05-00009, LOCALIDAD:19 CIUDAD BOLÍVAR, UPZ:67 LUCERO, SECTOR:QUEBRADA CAÑO BAÚL</v>
          </cell>
          <cell r="R1579">
            <v>3363507</v>
          </cell>
          <cell r="S1579">
            <v>480501</v>
          </cell>
          <cell r="T1579">
            <v>0</v>
          </cell>
          <cell r="U1579">
            <v>2883006</v>
          </cell>
          <cell r="V1579">
            <v>2883006</v>
          </cell>
        </row>
        <row r="1580">
          <cell r="J1580">
            <v>942</v>
          </cell>
          <cell r="K1580">
            <v>43139</v>
          </cell>
          <cell r="L1580" t="str">
            <v>LUZ NEIDA BARRAGAN GARCIA</v>
          </cell>
          <cell r="M1580">
            <v>31</v>
          </cell>
          <cell r="N1580" t="str">
            <v>RESOLUCION</v>
          </cell>
          <cell r="O1580">
            <v>554</v>
          </cell>
          <cell r="P1580">
            <v>43139</v>
          </cell>
          <cell r="Q1580" t="str">
            <v>AYUDA TEMPORAL A LAS FAMILIAS DE VARIAS LOCALIDADES, PARA RELOCALIZACIÓN DE HOGARES LOCALIZADOS EN ZONAS DE ALTO RIESGO NO MITIGABLE ID:2016-08-14904, LOCALIDAD:08 KENNEDY, UPZ:82 PATIO BONITO, SECTOR:PALMITAS</v>
          </cell>
          <cell r="R1580">
            <v>5466487</v>
          </cell>
          <cell r="S1580">
            <v>0</v>
          </cell>
          <cell r="T1580">
            <v>0</v>
          </cell>
          <cell r="U1580">
            <v>5466487</v>
          </cell>
          <cell r="V1580">
            <v>3363992</v>
          </cell>
        </row>
        <row r="1581">
          <cell r="J1581">
            <v>943</v>
          </cell>
          <cell r="K1581">
            <v>43139</v>
          </cell>
          <cell r="L1581" t="str">
            <v>NELVA  CASTRO TRUJILLO</v>
          </cell>
          <cell r="M1581">
            <v>31</v>
          </cell>
          <cell r="N1581" t="str">
            <v>RESOLUCION</v>
          </cell>
          <cell r="O1581">
            <v>555</v>
          </cell>
          <cell r="P1581">
            <v>43139</v>
          </cell>
          <cell r="Q1581" t="str">
            <v>AYUDA TEMPORAL A LAS FAMILIAS DE VARIAS LOCALIDADES, PARA RELOCALIZACIÓN DE HOGARES LOCALIZADOS EN ZONAS DE ALTO RIESGO NO MITIGABLE ID:2016-08-14886, LOCALIDAD:08 KENNEDY, UPZ:82 PATIO BONITO, SECTOR:PALMITAS</v>
          </cell>
          <cell r="R1581">
            <v>6453291</v>
          </cell>
          <cell r="S1581">
            <v>0</v>
          </cell>
          <cell r="T1581">
            <v>0</v>
          </cell>
          <cell r="U1581">
            <v>6453291</v>
          </cell>
          <cell r="V1581">
            <v>3971256</v>
          </cell>
        </row>
        <row r="1582">
          <cell r="J1582">
            <v>944</v>
          </cell>
          <cell r="K1582">
            <v>43139</v>
          </cell>
          <cell r="L1582" t="str">
            <v>TANIA JAEL MEDINA</v>
          </cell>
          <cell r="M1582">
            <v>31</v>
          </cell>
          <cell r="N1582" t="str">
            <v>RESOLUCION</v>
          </cell>
          <cell r="O1582">
            <v>556</v>
          </cell>
          <cell r="P1582">
            <v>43139</v>
          </cell>
          <cell r="Q1582" t="str">
            <v>AYUDA TEMPORAL A LAS FAMILIAS DE VARIAS LOCALIDADES, PARA RELOCALIZACIÓN DE HOGARES LOCALIZADOS EN ZONAS DE ALTO RIESGO NO MITIGABLE ID:2005-19-7653, LOCALIDAD:19 CIUDAD BOLÍVAR, UPZ:67 LUCERO</v>
          </cell>
          <cell r="R1582">
            <v>3473526</v>
          </cell>
          <cell r="S1582">
            <v>496218</v>
          </cell>
          <cell r="T1582">
            <v>0</v>
          </cell>
          <cell r="U1582">
            <v>2977308</v>
          </cell>
          <cell r="V1582">
            <v>2977308</v>
          </cell>
        </row>
        <row r="1583">
          <cell r="J1583">
            <v>945</v>
          </cell>
          <cell r="K1583">
            <v>43139</v>
          </cell>
          <cell r="L1583" t="str">
            <v>GRACIELA  RUIZ SEGURA</v>
          </cell>
          <cell r="M1583">
            <v>31</v>
          </cell>
          <cell r="N1583" t="str">
            <v>RESOLUCION</v>
          </cell>
          <cell r="O1583">
            <v>491</v>
          </cell>
          <cell r="P1583">
            <v>43139</v>
          </cell>
          <cell r="Q1583" t="str">
            <v>AYUDA TEMPORAL A LAS FAMILIAS DE VARIAS LOCALIDADES, PARA RELOCALIZACIÓN DE HOGARES LOCALIZADOS EN ZONAS DE ALTO RIESGO NO MITIGABLE ID:2009-5-11048, LOCALIDAD:05 USME, UPZ:57 GRAN YOMASA</v>
          </cell>
          <cell r="R1583">
            <v>3383254</v>
          </cell>
          <cell r="S1583">
            <v>483322</v>
          </cell>
          <cell r="T1583">
            <v>0</v>
          </cell>
          <cell r="U1583">
            <v>2899932</v>
          </cell>
          <cell r="V1583">
            <v>2899932</v>
          </cell>
        </row>
        <row r="1584">
          <cell r="J1584">
            <v>946</v>
          </cell>
          <cell r="K1584">
            <v>43139</v>
          </cell>
          <cell r="L1584" t="str">
            <v>ANGELA MARIA RODRIGUEZ RUBIANO</v>
          </cell>
          <cell r="M1584">
            <v>31</v>
          </cell>
          <cell r="N1584" t="str">
            <v>RESOLUCION</v>
          </cell>
          <cell r="O1584">
            <v>557</v>
          </cell>
          <cell r="P1584">
            <v>43139</v>
          </cell>
          <cell r="Q1584" t="str">
            <v>AYUDA TEMPORAL A LAS FAMILIAS DE VARIAS LOCALIDADES, PARA RELOCALIZACIÓN DE HOGARES LOCALIZADOS EN ZONAS DE ALTO RIESGO NO MITIGABLE ID:2014-Q09-00805, LOCALIDAD:19 CIUDAD BOLÍVAR, UPZ:67 LUCERO, SECTOR:QUEBRADA TROMPETA</v>
          </cell>
          <cell r="R1584">
            <v>3017000</v>
          </cell>
          <cell r="S1584">
            <v>431000</v>
          </cell>
          <cell r="T1584">
            <v>0</v>
          </cell>
          <cell r="U1584">
            <v>2586000</v>
          </cell>
          <cell r="V1584">
            <v>2586000</v>
          </cell>
        </row>
        <row r="1585">
          <cell r="J1585">
            <v>947</v>
          </cell>
          <cell r="K1585">
            <v>43139</v>
          </cell>
          <cell r="L1585" t="str">
            <v>GILMA  GIRALDO FLOREZ</v>
          </cell>
          <cell r="M1585">
            <v>31</v>
          </cell>
          <cell r="N1585" t="str">
            <v>RESOLUCION</v>
          </cell>
          <cell r="O1585">
            <v>492</v>
          </cell>
          <cell r="P1585">
            <v>43139</v>
          </cell>
          <cell r="Q1585" t="str">
            <v>AYUDA TEMPORAL A LAS FAMILIAS DE VARIAS LOCALIDADES, PARA RELOCALIZACIÓN DE HOGARES LOCALIZADOS EN ZONAS DE ALTO RIESGO NO MITIGABLE ID:2013-Q10-00199, LOCALIDAD:19 CIUDAD BOLÍVAR, UPZ:69 ISMAEL PERDOMO, SECTOR:ZANJÓN MURALLA</v>
          </cell>
          <cell r="R1585">
            <v>5863585</v>
          </cell>
          <cell r="S1585">
            <v>0</v>
          </cell>
          <cell r="T1585">
            <v>0</v>
          </cell>
          <cell r="U1585">
            <v>5863585</v>
          </cell>
          <cell r="V1585">
            <v>3608360</v>
          </cell>
        </row>
        <row r="1586">
          <cell r="J1586">
            <v>948</v>
          </cell>
          <cell r="K1586">
            <v>43139</v>
          </cell>
          <cell r="L1586" t="str">
            <v>LINA MARIA RIAZA CANO</v>
          </cell>
          <cell r="M1586">
            <v>31</v>
          </cell>
          <cell r="N1586" t="str">
            <v>RESOLUCION</v>
          </cell>
          <cell r="O1586">
            <v>558</v>
          </cell>
          <cell r="P1586">
            <v>43139</v>
          </cell>
          <cell r="Q1586" t="str">
            <v>AYUDA TEMPORAL A LAS FAMILIAS DE VARIAS LOCALIDADES, PARA RELOCALIZACIÓN DE HOGARES LOCALIZADOS EN ZONAS DE ALTO RIESGO NO MITIGABLE ID:2011-18-12426, LOCALIDAD:18 RAFAEL URIBE URIBE, UPZ:55 DIANA TURBAY, SECTOR:OLA INVERNAL 2010 FOPAE</v>
          </cell>
          <cell r="R1586">
            <v>3374280</v>
          </cell>
          <cell r="S1586">
            <v>482040</v>
          </cell>
          <cell r="T1586">
            <v>0</v>
          </cell>
          <cell r="U1586">
            <v>2892240</v>
          </cell>
          <cell r="V1586">
            <v>2892240</v>
          </cell>
        </row>
        <row r="1587">
          <cell r="J1587">
            <v>949</v>
          </cell>
          <cell r="K1587">
            <v>43139</v>
          </cell>
          <cell r="L1587" t="str">
            <v>JERSON FABIAN RODRIGUEZ VELASQUEZ</v>
          </cell>
          <cell r="M1587">
            <v>31</v>
          </cell>
          <cell r="N1587" t="str">
            <v>RESOLUCION</v>
          </cell>
          <cell r="O1587">
            <v>493</v>
          </cell>
          <cell r="P1587">
            <v>43139</v>
          </cell>
          <cell r="Q1587" t="str">
            <v>AYUDA TEMPORAL A LAS FAMILIAS DE VARIAS LOCALIDADES, PARA RELOCALIZACIÓN DE HOGARES LOCALIZADOS EN ZONAS DE ALTO RIESGO NO MITIGABLE ID:2015-OTR-01368, LOCALIDAD:11 SUBA, UPZ:71 TIBABUYES, SECTOR:GAVILANES</v>
          </cell>
          <cell r="R1587">
            <v>5946005</v>
          </cell>
          <cell r="S1587">
            <v>0</v>
          </cell>
          <cell r="T1587">
            <v>0</v>
          </cell>
          <cell r="U1587">
            <v>5946005</v>
          </cell>
          <cell r="V1587">
            <v>3659080</v>
          </cell>
        </row>
        <row r="1588">
          <cell r="J1588">
            <v>950</v>
          </cell>
          <cell r="K1588">
            <v>43139</v>
          </cell>
          <cell r="L1588" t="str">
            <v>GEIDY MARCELA SAGANOME CABRERA</v>
          </cell>
          <cell r="M1588">
            <v>31</v>
          </cell>
          <cell r="N1588" t="str">
            <v>RESOLUCION</v>
          </cell>
          <cell r="O1588">
            <v>507</v>
          </cell>
          <cell r="P1588">
            <v>43139</v>
          </cell>
          <cell r="Q1588" t="str">
            <v>AYUDA TEMPORAL A LAS FAMILIAS DE VARIAS LOCALIDADES, PARA RELOCALIZACIÓN DE HOGARES LOCALIZADOS EN ZONAS DE ALTO RIESGO NO MITIGABLE ID:2014-OTR-01193, LOCALIDAD:11 SUBA, UPZ:71 TIBABUYES, SECTOR:GAVILANES</v>
          </cell>
          <cell r="R1588">
            <v>2586000</v>
          </cell>
          <cell r="S1588">
            <v>431000</v>
          </cell>
          <cell r="T1588">
            <v>0</v>
          </cell>
          <cell r="U1588">
            <v>2155000</v>
          </cell>
          <cell r="V1588">
            <v>2155000</v>
          </cell>
        </row>
        <row r="1589">
          <cell r="J1589">
            <v>951</v>
          </cell>
          <cell r="K1589">
            <v>43139</v>
          </cell>
          <cell r="L1589" t="str">
            <v>LUZ MARITSA VALENCIA UYOKE</v>
          </cell>
          <cell r="M1589">
            <v>31</v>
          </cell>
          <cell r="N1589" t="str">
            <v>RESOLUCION</v>
          </cell>
          <cell r="O1589">
            <v>494</v>
          </cell>
          <cell r="P1589">
            <v>43139</v>
          </cell>
          <cell r="Q1589" t="str">
            <v>AYUDA TEMPORAL A LAS FAMILIAS DE VARIAS LOCALIDADES, PARA RELOCALIZACIÓN DE HOGARES LOCALIZADOS EN ZONAS DE ALTO RIESGO NO MITIGABLE ID:2015-W166-411, LOCALIDAD:04 SAN CRISTÓBAL, UPZ:32 SAN BLAS, SECTOR:UITOTO</v>
          </cell>
          <cell r="R1589">
            <v>5947019</v>
          </cell>
          <cell r="S1589">
            <v>0</v>
          </cell>
          <cell r="T1589">
            <v>0</v>
          </cell>
          <cell r="U1589">
            <v>5947019</v>
          </cell>
          <cell r="V1589">
            <v>3659704</v>
          </cell>
        </row>
        <row r="1590">
          <cell r="J1590">
            <v>952</v>
          </cell>
          <cell r="K1590">
            <v>43139</v>
          </cell>
          <cell r="L1590" t="str">
            <v>CLAUDIA PATRICIA POLOCHE</v>
          </cell>
          <cell r="M1590">
            <v>31</v>
          </cell>
          <cell r="N1590" t="str">
            <v>RESOLUCION</v>
          </cell>
          <cell r="O1590">
            <v>559</v>
          </cell>
          <cell r="P1590">
            <v>43139</v>
          </cell>
          <cell r="Q1590" t="str">
            <v>AYUDA TEMPORAL A LAS FAMILIAS DE VARIAS LOCALIDADES, PARA RELOCALIZACIÓN DE HOGARES LOCALIZADOS EN ZONAS DE ALTO RIESGO NO MITIGABLE ID:2010-4-11980, LOCALIDAD:04 SAN CRISTÓBAL, UPZ:32 SAN BLAS, SECTOR:OLA INVERNAL 2010 FOPAE</v>
          </cell>
          <cell r="R1590">
            <v>2845920</v>
          </cell>
          <cell r="S1590">
            <v>406560</v>
          </cell>
          <cell r="T1590">
            <v>0</v>
          </cell>
          <cell r="U1590">
            <v>2439360</v>
          </cell>
          <cell r="V1590">
            <v>2439360</v>
          </cell>
        </row>
        <row r="1591">
          <cell r="J1591">
            <v>953</v>
          </cell>
          <cell r="K1591">
            <v>43139</v>
          </cell>
          <cell r="L1591" t="str">
            <v>CILVINA  RODRIGUEZ ROMERO</v>
          </cell>
          <cell r="M1591">
            <v>31</v>
          </cell>
          <cell r="N1591" t="str">
            <v>RESOLUCION</v>
          </cell>
          <cell r="O1591">
            <v>495</v>
          </cell>
          <cell r="P1591">
            <v>43139</v>
          </cell>
          <cell r="Q1591" t="str">
            <v>AYUDA TEMPORAL A LAS FAMILIAS DE VARIAS LOCALIDADES, PARA RELOCALIZACIÓN DE HOGARES LOCALIZADOS EN ZONAS DE ALTO RIESGO NO MITIGABLE ID:2011-4-12707, LOCALIDAD:04 SAN CRISTÓBAL, UPZ:32 SAN BLAS</v>
          </cell>
          <cell r="R1591">
            <v>2977345</v>
          </cell>
          <cell r="S1591">
            <v>425335</v>
          </cell>
          <cell r="T1591">
            <v>0</v>
          </cell>
          <cell r="U1591">
            <v>2552010</v>
          </cell>
          <cell r="V1591">
            <v>2552010</v>
          </cell>
        </row>
        <row r="1592">
          <cell r="J1592">
            <v>954</v>
          </cell>
          <cell r="K1592">
            <v>43139</v>
          </cell>
          <cell r="L1592" t="str">
            <v>JUAN CARLOS PINILLA MONCADA</v>
          </cell>
          <cell r="M1592">
            <v>31</v>
          </cell>
          <cell r="N1592" t="str">
            <v>RESOLUCION</v>
          </cell>
          <cell r="O1592">
            <v>560</v>
          </cell>
          <cell r="P1592">
            <v>43139</v>
          </cell>
          <cell r="Q1592" t="str">
            <v>AYUDA TEMPORAL A LAS FAMILIAS DE VARIAS LOCALIDADES, PARA RELOCALIZACIÓN DE HOGARES LOCALIZADOS EN ZONAS DE ALTO RIESGO NO MITIGABLE ID:2011-4-12670, LOCALIDAD:04 SAN CRISTÓBAL, UPZ:32 SAN BLAS</v>
          </cell>
          <cell r="R1592">
            <v>4986969</v>
          </cell>
          <cell r="S1592">
            <v>0</v>
          </cell>
          <cell r="T1592">
            <v>0</v>
          </cell>
          <cell r="U1592">
            <v>4986969</v>
          </cell>
          <cell r="V1592">
            <v>3068904</v>
          </cell>
        </row>
        <row r="1593">
          <cell r="J1593">
            <v>955</v>
          </cell>
          <cell r="K1593">
            <v>43139</v>
          </cell>
          <cell r="L1593" t="str">
            <v>LILIANA MARCELA CADENA</v>
          </cell>
          <cell r="M1593">
            <v>31</v>
          </cell>
          <cell r="N1593" t="str">
            <v>RESOLUCION</v>
          </cell>
          <cell r="O1593">
            <v>496</v>
          </cell>
          <cell r="P1593">
            <v>43139</v>
          </cell>
          <cell r="Q1593" t="str">
            <v>AYUDA TEMPORAL A LAS FAMILIAS DE VARIAS LOCALIDADES, PARA RELOCALIZACIÓN DE HOGARES LOCALIZADOS EN ZONAS DE ALTO RIESGO NO MITIGABLE ID:2011-19-12742, LOCALIDAD:19 CIUDAD BOLÍVAR, UPZ:68 EL TESORO, SECTOR:QUEBRADA TROMPETA</v>
          </cell>
          <cell r="R1593">
            <v>2924376</v>
          </cell>
          <cell r="S1593">
            <v>0</v>
          </cell>
          <cell r="T1593">
            <v>0</v>
          </cell>
          <cell r="U1593">
            <v>2924376</v>
          </cell>
          <cell r="V1593">
            <v>2506608</v>
          </cell>
        </row>
        <row r="1594">
          <cell r="J1594">
            <v>956</v>
          </cell>
          <cell r="K1594">
            <v>43139</v>
          </cell>
          <cell r="L1594" t="str">
            <v>CARLOS JOSE DIMATE VILLARRAGA</v>
          </cell>
          <cell r="M1594">
            <v>31</v>
          </cell>
          <cell r="N1594" t="str">
            <v>RESOLUCION</v>
          </cell>
          <cell r="O1594">
            <v>561</v>
          </cell>
          <cell r="P1594">
            <v>43139</v>
          </cell>
          <cell r="Q1594" t="str">
            <v>AYUDA TEMPORAL A LAS FAMILIAS DE VARIAS LOCALIDADES, PARA RELOCALIZACIÓN DE HOGARES LOCALIZADOS EN ZONAS DE ALTO RIESGO NO MITIGABLE ID:2010-5-11555, LOCALIDAD:05 USME, UPZ:57 GRAN YOMASA, SECTOR:OLA INVERNAL 2010 FOPAE</v>
          </cell>
          <cell r="R1594">
            <v>2924376</v>
          </cell>
          <cell r="S1594">
            <v>417768</v>
          </cell>
          <cell r="T1594">
            <v>0</v>
          </cell>
          <cell r="U1594">
            <v>2506608</v>
          </cell>
          <cell r="V1594">
            <v>2506608</v>
          </cell>
        </row>
        <row r="1595">
          <cell r="J1595">
            <v>957</v>
          </cell>
          <cell r="K1595">
            <v>43139</v>
          </cell>
          <cell r="L1595" t="str">
            <v>MARIA MARGARITA COMESAQUIRA RISCANEVO</v>
          </cell>
          <cell r="M1595">
            <v>31</v>
          </cell>
          <cell r="N1595" t="str">
            <v>RESOLUCION</v>
          </cell>
          <cell r="O1595">
            <v>497</v>
          </cell>
          <cell r="P1595">
            <v>43139</v>
          </cell>
          <cell r="Q1595" t="str">
            <v>AYUDA TEMPORAL A LAS FAMILIAS DE VARIAS LOCALIDADES, PARA RELOCALIZACIÓN DE HOGARES LOCALIZADOS EN ZONAS DE ALTO RIESGO NO MITIGABLE ID:2012-19-14152, LOCALIDAD:19 CIUDAD BOLÍVAR, UPZ:68 EL TESORO, SECTOR:QUEBRADA TROMPETA</v>
          </cell>
          <cell r="R1595">
            <v>2582006</v>
          </cell>
          <cell r="S1595">
            <v>368858</v>
          </cell>
          <cell r="T1595">
            <v>0</v>
          </cell>
          <cell r="U1595">
            <v>2213148</v>
          </cell>
          <cell r="V1595">
            <v>2213148</v>
          </cell>
        </row>
        <row r="1596">
          <cell r="J1596">
            <v>958</v>
          </cell>
          <cell r="K1596">
            <v>43139</v>
          </cell>
          <cell r="L1596" t="str">
            <v>MARIA INES ISMARE PIRAZA</v>
          </cell>
          <cell r="M1596">
            <v>31</v>
          </cell>
          <cell r="N1596" t="str">
            <v>RESOLUCION</v>
          </cell>
          <cell r="O1596">
            <v>498</v>
          </cell>
          <cell r="P1596">
            <v>43139</v>
          </cell>
          <cell r="Q1596" t="str">
            <v>AYUDA TEMPORAL A LAS FAMILIAS DE VARIAS LOCALIDADES, PARA RELOCALIZACIÓN DE HOGARES LOCALIZADOS EN ZONAS DE ALTO RIESGO NO MITIGABLE ID:2014-W166-095, LOCALIDAD:19 CIUDAD BOLÍVAR, UPZ:68 EL TESORO, SECTOR:WOUNAAN</v>
          </cell>
          <cell r="R1596">
            <v>6236100</v>
          </cell>
          <cell r="S1596">
            <v>0</v>
          </cell>
          <cell r="T1596">
            <v>0</v>
          </cell>
          <cell r="U1596">
            <v>6236100</v>
          </cell>
          <cell r="V1596">
            <v>3837600</v>
          </cell>
        </row>
        <row r="1597">
          <cell r="J1597">
            <v>959</v>
          </cell>
          <cell r="K1597">
            <v>43139</v>
          </cell>
          <cell r="L1597" t="str">
            <v>ERSIN  MALAGA PIZARIO</v>
          </cell>
          <cell r="M1597">
            <v>31</v>
          </cell>
          <cell r="N1597" t="str">
            <v>RESOLUCION</v>
          </cell>
          <cell r="O1597">
            <v>499</v>
          </cell>
          <cell r="P1597">
            <v>43139</v>
          </cell>
          <cell r="Q1597" t="str">
            <v>AYUDA TEMPORAL A LAS FAMILIAS DE VARIAS LOCALIDADES, PARA RELOCALIZACIÓN DE HOGARES LOCALIZADOS EN ZONAS DE ALTO RIESGO NO MITIGABLE ID:2014-W166-056, LOCALIDAD:19 CIUDAD BOLÍVAR, UPZ:68 EL TESORO, SECTOR:WOUNAAN</v>
          </cell>
          <cell r="R1597">
            <v>4795154</v>
          </cell>
          <cell r="S1597">
            <v>0</v>
          </cell>
          <cell r="T1597">
            <v>0</v>
          </cell>
          <cell r="U1597">
            <v>4795154</v>
          </cell>
          <cell r="V1597">
            <v>2950864</v>
          </cell>
        </row>
        <row r="1598">
          <cell r="J1598">
            <v>960</v>
          </cell>
          <cell r="K1598">
            <v>43139</v>
          </cell>
          <cell r="L1598" t="str">
            <v>NANY  ISMARE PIRAZA</v>
          </cell>
          <cell r="M1598">
            <v>31</v>
          </cell>
          <cell r="N1598" t="str">
            <v>RESOLUCION</v>
          </cell>
          <cell r="O1598">
            <v>500</v>
          </cell>
          <cell r="P1598">
            <v>43139</v>
          </cell>
          <cell r="Q1598" t="str">
            <v>AYUDA TEMPORAL A LAS FAMILIAS DE VARIAS LOCALIDADES, PARA RELOCALIZACIÓN DE HOGARES LOCALIZADOS EN ZONAS DE ALTO RIESGO NO MITIGABLE ID:2014-W166-104, LOCALIDAD:19 CIUDAD BOLÍVAR, UPZ:67 LUCERO, SECTOR:WOUNAAN</v>
          </cell>
          <cell r="R1598">
            <v>5528393</v>
          </cell>
          <cell r="S1598">
            <v>0</v>
          </cell>
          <cell r="T1598">
            <v>0</v>
          </cell>
          <cell r="U1598">
            <v>5528393</v>
          </cell>
          <cell r="V1598">
            <v>3402088</v>
          </cell>
        </row>
        <row r="1599">
          <cell r="J1599">
            <v>961</v>
          </cell>
          <cell r="K1599">
            <v>43139</v>
          </cell>
          <cell r="L1599" t="str">
            <v>NELSY  CHOCHO MEMBACHE</v>
          </cell>
          <cell r="M1599">
            <v>31</v>
          </cell>
          <cell r="N1599" t="str">
            <v>RESOLUCION</v>
          </cell>
          <cell r="O1599">
            <v>508</v>
          </cell>
          <cell r="P1599">
            <v>43139</v>
          </cell>
          <cell r="Q1599" t="str">
            <v>AYUDA TEMPORAL A LAS FAMILIAS DE VARIAS LOCALIDADES, PARA RELOCALIZACIÓN DE HOGARES LOCALIZADOS EN ZONAS DE ALTO RIESGO NO MITIGABLE ID:2015-W166-435, LOCALIDAD:19 CIUDAD BOLÍVAR, UPZ:67 LUCERO, SECTOR:WOUNAAN</v>
          </cell>
          <cell r="R1599">
            <v>5947019</v>
          </cell>
          <cell r="S1599">
            <v>0</v>
          </cell>
          <cell r="T1599">
            <v>0</v>
          </cell>
          <cell r="U1599">
            <v>5947019</v>
          </cell>
          <cell r="V1599">
            <v>3659704</v>
          </cell>
        </row>
        <row r="1600">
          <cell r="J1600">
            <v>962</v>
          </cell>
          <cell r="K1600">
            <v>43139</v>
          </cell>
          <cell r="L1600" t="str">
            <v>ANA DOLORES BERNAL DE OÑATE</v>
          </cell>
          <cell r="M1600">
            <v>31</v>
          </cell>
          <cell r="N1600" t="str">
            <v>RESOLUCION</v>
          </cell>
          <cell r="O1600">
            <v>562</v>
          </cell>
          <cell r="P1600">
            <v>43139</v>
          </cell>
          <cell r="Q1600" t="str">
            <v>AYUDA TEMPORAL A LAS FAMILIAS DE VARIAS LOCALIDADES, PARA RELOCALIZACIÓN DE HOGARES LOCALIZADOS EN ZONAS DE ALTO RIESGO NO MITIGABLE ID:2011-4-13161, LOCALIDAD:04 SAN CRISTÓBAL, UPZ:34 20 DE JULIO</v>
          </cell>
          <cell r="R1600">
            <v>3041416</v>
          </cell>
          <cell r="S1600">
            <v>0</v>
          </cell>
          <cell r="T1600">
            <v>0</v>
          </cell>
          <cell r="U1600">
            <v>3041416</v>
          </cell>
          <cell r="V1600">
            <v>760354</v>
          </cell>
        </row>
        <row r="1601">
          <cell r="J1601">
            <v>963</v>
          </cell>
          <cell r="K1601">
            <v>43139</v>
          </cell>
          <cell r="L1601" t="str">
            <v>RODOLFO  CHIRIMIA MERCAZA</v>
          </cell>
          <cell r="M1601">
            <v>31</v>
          </cell>
          <cell r="N1601" t="str">
            <v>RESOLUCION</v>
          </cell>
          <cell r="O1601">
            <v>501</v>
          </cell>
          <cell r="P1601">
            <v>43139</v>
          </cell>
          <cell r="Q1601" t="str">
            <v>AYUDA TEMPORAL A LAS FAMILIAS DE VARIAS LOCALIDADES, PARA RELOCALIZACIÓN DE HOGARES LOCALIZADOS EN ZONAS DE ALTO RIESGO NO MITIGABLE ID:2014-W166-011, LOCALIDAD:19 CIUDAD BOLÍVAR, UPZ:68 EL TESORO, SECTOR:WOUNAAN</v>
          </cell>
          <cell r="R1601">
            <v>5285280</v>
          </cell>
          <cell r="S1601">
            <v>0</v>
          </cell>
          <cell r="T1601">
            <v>0</v>
          </cell>
          <cell r="U1601">
            <v>5285280</v>
          </cell>
          <cell r="V1601">
            <v>3252480</v>
          </cell>
        </row>
        <row r="1602">
          <cell r="J1602">
            <v>964</v>
          </cell>
          <cell r="K1602">
            <v>43139</v>
          </cell>
          <cell r="L1602" t="str">
            <v>SANDRA MILENA SANCHEZ RODRIGUEZ</v>
          </cell>
          <cell r="M1602">
            <v>31</v>
          </cell>
          <cell r="N1602" t="str">
            <v>RESOLUCION</v>
          </cell>
          <cell r="O1602">
            <v>563</v>
          </cell>
          <cell r="P1602">
            <v>43139</v>
          </cell>
          <cell r="Q1602" t="str">
            <v>AYUDA TEMPORAL A LAS FAMILIAS DE VARIAS LOCALIDADES, PARA RELOCALIZACIÓN DE HOGARES LOCALIZADOS EN ZONAS DE ALTO RIESGO NO MITIGABLE ID:2007-18-10201, LOCALIDAD:18 RAFAEL URIBE URIBE, UPZ:55 DIANA TURBAY</v>
          </cell>
          <cell r="R1602">
            <v>6233708</v>
          </cell>
          <cell r="S1602">
            <v>0</v>
          </cell>
          <cell r="T1602">
            <v>0</v>
          </cell>
          <cell r="U1602">
            <v>6233708</v>
          </cell>
          <cell r="V1602">
            <v>2397580</v>
          </cell>
        </row>
        <row r="1603">
          <cell r="J1603">
            <v>965</v>
          </cell>
          <cell r="K1603">
            <v>43139</v>
          </cell>
          <cell r="L1603" t="str">
            <v>SONIA PATRICIA PINILLA</v>
          </cell>
          <cell r="M1603">
            <v>31</v>
          </cell>
          <cell r="N1603" t="str">
            <v>RESOLUCION</v>
          </cell>
          <cell r="O1603">
            <v>502</v>
          </cell>
          <cell r="P1603">
            <v>43139</v>
          </cell>
          <cell r="Q1603" t="str">
            <v>AYUDA TEMPORAL A LAS FAMILIAS DE VARIAS LOCALIDADES, PARA RELOCALIZACIÓN DE HOGARES LOCALIZADOS EN ZONAS DE ALTO RIESGO NO MITIGABLE ID:2016-08-14790, LOCALIDAD:08 KENNEDY, UPZ:82 PATIO BONITO, SECTOR:PALMITAS</v>
          </cell>
          <cell r="R1603">
            <v>6713226</v>
          </cell>
          <cell r="S1603">
            <v>0</v>
          </cell>
          <cell r="T1603">
            <v>0</v>
          </cell>
          <cell r="U1603">
            <v>6713226</v>
          </cell>
          <cell r="V1603">
            <v>4131216</v>
          </cell>
        </row>
        <row r="1604">
          <cell r="J1604">
            <v>966</v>
          </cell>
          <cell r="K1604">
            <v>43139</v>
          </cell>
          <cell r="L1604" t="str">
            <v>YAMILE HELENA PEREZ LIZARAZO</v>
          </cell>
          <cell r="M1604">
            <v>31</v>
          </cell>
          <cell r="N1604" t="str">
            <v>RESOLUCION</v>
          </cell>
          <cell r="O1604">
            <v>509</v>
          </cell>
          <cell r="P1604">
            <v>43139</v>
          </cell>
          <cell r="Q1604" t="str">
            <v>AYUDA TEMPORAL A LAS FAMILIAS DE VARIAS LOCALIDADES, PARA RELOCALIZACIÓN DE HOGARES LOCALIZADOS EN ZONAS DE ALTO RIESGO NO MITIGABLE ID:2012-ALES-465, LOCALIDAD:19 CIUDAD BOLÍVAR, UPZ:69 ISMAEL PERDOMO, SECTOR:ALTOS DE LA ESTANCIA</v>
          </cell>
          <cell r="R1604">
            <v>3788778</v>
          </cell>
          <cell r="S1604">
            <v>0</v>
          </cell>
          <cell r="T1604">
            <v>0</v>
          </cell>
          <cell r="U1604">
            <v>3788778</v>
          </cell>
          <cell r="V1604">
            <v>2706270</v>
          </cell>
        </row>
        <row r="1605">
          <cell r="J1605">
            <v>967</v>
          </cell>
          <cell r="K1605">
            <v>43139</v>
          </cell>
          <cell r="L1605" t="str">
            <v>NOHORA LIGIA LONDOÑO RINCON</v>
          </cell>
          <cell r="M1605">
            <v>31</v>
          </cell>
          <cell r="N1605" t="str">
            <v>RESOLUCION</v>
          </cell>
          <cell r="O1605">
            <v>503</v>
          </cell>
          <cell r="P1605">
            <v>43139</v>
          </cell>
          <cell r="Q1605" t="str">
            <v>AYUDA TEMPORAL A LAS FAMILIAS DE VARIAS LOCALIDADES, PARA RELOCALIZACIÓN DE HOGARES LOCALIZADOS EN ZONAS DE ALTO RIESGO NO MITIGABLE ID:2012-19-14388, LOCALIDAD:19 CIUDAD BOLÍVAR, UPZ:68 EL TESORO</v>
          </cell>
          <cell r="R1605">
            <v>3136140</v>
          </cell>
          <cell r="S1605">
            <v>448020</v>
          </cell>
          <cell r="T1605">
            <v>0</v>
          </cell>
          <cell r="U1605">
            <v>2688120</v>
          </cell>
          <cell r="V1605">
            <v>2688120</v>
          </cell>
        </row>
        <row r="1606">
          <cell r="J1606">
            <v>968</v>
          </cell>
          <cell r="K1606">
            <v>43139</v>
          </cell>
          <cell r="L1606" t="str">
            <v>CLEMENTINA  CORDOBA TOQUICA</v>
          </cell>
          <cell r="M1606">
            <v>31</v>
          </cell>
          <cell r="N1606" t="str">
            <v>RESOLUCION</v>
          </cell>
          <cell r="O1606">
            <v>564</v>
          </cell>
          <cell r="P1606">
            <v>43139</v>
          </cell>
          <cell r="Q1606" t="str">
            <v>AYUDA TEMPORAL A LAS FAMILIAS DE VARIAS LOCALIDADES, PARA RELOCALIZACIÓN DE HOGARES LOCALIZADOS EN ZONAS DE ALTO RIESGO NO MITIGABLE ID:2013-Q21-00597, LOCALIDAD:19 CIUDAD BOLÍVAR, UPZ:67 LUCERO, SECTOR:BRAZO DERECHO DE LIMAS</v>
          </cell>
          <cell r="R1606">
            <v>3017000</v>
          </cell>
          <cell r="S1606">
            <v>431000</v>
          </cell>
          <cell r="T1606">
            <v>0</v>
          </cell>
          <cell r="U1606">
            <v>2586000</v>
          </cell>
          <cell r="V1606">
            <v>2586000</v>
          </cell>
        </row>
        <row r="1607">
          <cell r="J1607">
            <v>969</v>
          </cell>
          <cell r="K1607">
            <v>43139</v>
          </cell>
          <cell r="L1607" t="str">
            <v>FELICIANO  QUINTERO CHIRIPUA</v>
          </cell>
          <cell r="M1607">
            <v>31</v>
          </cell>
          <cell r="N1607" t="str">
            <v>RESOLUCION</v>
          </cell>
          <cell r="O1607">
            <v>504</v>
          </cell>
          <cell r="P1607">
            <v>43139</v>
          </cell>
          <cell r="Q1607" t="str">
            <v>AYUDA TEMPORAL A LAS FAMILIAS DE VARIAS LOCALIDADES, PARA RELOCALIZACIÓN DE HOGARES LOCALIZADOS EN ZONAS DE ALTO RIESGO NO MITIGABLE ID:2015-W166-425, LOCALIDAD:19 CIUDAD BOLÍVAR, UPZ:68 EL TESORO, SECTOR:WOUNAAN</v>
          </cell>
          <cell r="R1607">
            <v>7036432</v>
          </cell>
          <cell r="S1607">
            <v>0</v>
          </cell>
          <cell r="T1607">
            <v>0</v>
          </cell>
          <cell r="U1607">
            <v>7036432</v>
          </cell>
          <cell r="V1607">
            <v>4330112</v>
          </cell>
        </row>
        <row r="1608">
          <cell r="J1608">
            <v>970</v>
          </cell>
          <cell r="K1608">
            <v>43139</v>
          </cell>
          <cell r="L1608" t="str">
            <v>MARIA GUADALUPE PULIDO GONZALEZ</v>
          </cell>
          <cell r="M1608">
            <v>31</v>
          </cell>
          <cell r="N1608" t="str">
            <v>RESOLUCION</v>
          </cell>
          <cell r="O1608">
            <v>505</v>
          </cell>
          <cell r="P1608">
            <v>43139</v>
          </cell>
          <cell r="Q1608" t="str">
            <v>AYUDA TEMPORAL A LAS FAMILIAS DE VARIAS LOCALIDADES, PARA RELOCALIZACIÓN DE HOGARES LOCALIZADOS EN ZONAS DE ALTO RIESGO NO MITIGABLE ID:2015-OTR-01363, LOCALIDAD:19 CIUDAD BOLÍVAR, UPZ:67 LUCERO, SECTOR:TABOR ALTALOMA</v>
          </cell>
          <cell r="R1608">
            <v>4647615</v>
          </cell>
          <cell r="S1608">
            <v>663945</v>
          </cell>
          <cell r="T1608">
            <v>0</v>
          </cell>
          <cell r="U1608">
            <v>3983670</v>
          </cell>
          <cell r="V1608">
            <v>3983670</v>
          </cell>
        </row>
        <row r="1609">
          <cell r="J1609">
            <v>971</v>
          </cell>
          <cell r="K1609">
            <v>43139</v>
          </cell>
          <cell r="L1609" t="str">
            <v>MARIA KATHERINE GARCIA DEAZA</v>
          </cell>
          <cell r="M1609">
            <v>31</v>
          </cell>
          <cell r="N1609" t="str">
            <v>RESOLUCION</v>
          </cell>
          <cell r="O1609">
            <v>506</v>
          </cell>
          <cell r="P1609">
            <v>43139</v>
          </cell>
          <cell r="Q1609" t="str">
            <v>AYUDA TEMPORAL A LAS FAMILIAS DE VARIAS LOCALIDADES, PARA RELOCALIZACIÓN DE HOGARES LOCALIZADOS EN ZONAS DE ALTO RIESGO NO MITIGABLE ID:2016-08-14806, LOCALIDAD:08 KENNEDY, UPZ:82 PATIO BONITO, SECTOR:PALMITAS</v>
          </cell>
          <cell r="R1609">
            <v>5754190</v>
          </cell>
          <cell r="S1609">
            <v>0</v>
          </cell>
          <cell r="T1609">
            <v>0</v>
          </cell>
          <cell r="U1609">
            <v>5754190</v>
          </cell>
          <cell r="V1609">
            <v>2213150</v>
          </cell>
        </row>
        <row r="1610">
          <cell r="J1610">
            <v>972</v>
          </cell>
          <cell r="K1610">
            <v>43139</v>
          </cell>
          <cell r="L1610" t="str">
            <v>FLOR DABEIBA POSADA BEDOYA</v>
          </cell>
          <cell r="M1610">
            <v>31</v>
          </cell>
          <cell r="N1610" t="str">
            <v>RESOLUCION</v>
          </cell>
          <cell r="O1610">
            <v>510</v>
          </cell>
          <cell r="P1610">
            <v>43139</v>
          </cell>
          <cell r="Q1610" t="str">
            <v>AYUDA TEMPORAL A LAS FAMILIAS DE VARIAS LOCALIDADES, PARA RELOCALIZACIÓN DE HOGARES LOCALIZADOS EN ZONAS DE ALTO RIESGO NO MITIGABLE ID:2016-08-14908, LOCALIDAD:08 KENNEDY, UPZ:82 PATIO BONITO, SECTOR:PALMITAS</v>
          </cell>
          <cell r="R1610">
            <v>5178690</v>
          </cell>
          <cell r="S1610">
            <v>0</v>
          </cell>
          <cell r="T1610">
            <v>0</v>
          </cell>
          <cell r="U1610">
            <v>5178690</v>
          </cell>
          <cell r="V1610">
            <v>4603280</v>
          </cell>
        </row>
        <row r="1611">
          <cell r="J1611">
            <v>973</v>
          </cell>
          <cell r="K1611">
            <v>43139</v>
          </cell>
          <cell r="L1611" t="str">
            <v>HECTOR  DE LA CRUZ MONCAYO</v>
          </cell>
          <cell r="M1611">
            <v>31</v>
          </cell>
          <cell r="N1611" t="str">
            <v>RESOLUCION</v>
          </cell>
          <cell r="O1611">
            <v>511</v>
          </cell>
          <cell r="P1611">
            <v>43139</v>
          </cell>
          <cell r="Q1611" t="str">
            <v>AAYUDA TEMPORAL A LAS FAMILIAS DE VARIAS LOCALIDADES, PARA RELOCALIZACIÓN DE HOGARES LOCALIZADOS EN ZONAS DE ALTO RIESGO NO MITIGABLE ID:2015-D227-00058, LOCALIDAD:04 SAN CRISTÓBAL, UPZ:51 LOS LIBERTADORES, SECTOR:SANTA TERESITA</v>
          </cell>
          <cell r="R1611">
            <v>4774653</v>
          </cell>
          <cell r="S1611">
            <v>0</v>
          </cell>
          <cell r="T1611">
            <v>0</v>
          </cell>
          <cell r="U1611">
            <v>4774653</v>
          </cell>
          <cell r="V1611">
            <v>2938248</v>
          </cell>
        </row>
        <row r="1612">
          <cell r="J1612">
            <v>974</v>
          </cell>
          <cell r="K1612">
            <v>43139</v>
          </cell>
          <cell r="L1612" t="str">
            <v>WILMER  PIRAZA CARPIO</v>
          </cell>
          <cell r="M1612">
            <v>31</v>
          </cell>
          <cell r="N1612" t="str">
            <v>RESOLUCION</v>
          </cell>
          <cell r="O1612">
            <v>585</v>
          </cell>
          <cell r="P1612">
            <v>43139</v>
          </cell>
          <cell r="Q1612" t="str">
            <v>AYUDA TEMPORAL A LAS FAMILIAS DE VARIAS LOCALIDADES, PARA RELOCALIZACIÓN DE HOGARES LOCALIZADOS EN ZONAS DE ALTO RIESGO NO MITIGABLE ID:2014-W166-033, LOCALIDAD:19 CIUDAD BOLÍVAR, UPZ:67 LUCERO, SECTOR:WOUNAAN</v>
          </cell>
          <cell r="R1612">
            <v>5285280</v>
          </cell>
          <cell r="S1612">
            <v>0</v>
          </cell>
          <cell r="T1612">
            <v>0</v>
          </cell>
          <cell r="U1612">
            <v>5285280</v>
          </cell>
          <cell r="V1612">
            <v>3252480</v>
          </cell>
        </row>
        <row r="1613">
          <cell r="J1613">
            <v>975</v>
          </cell>
          <cell r="K1613">
            <v>43139</v>
          </cell>
          <cell r="L1613" t="str">
            <v>RUFINA  PAEZ MONTAÑA</v>
          </cell>
          <cell r="M1613">
            <v>31</v>
          </cell>
          <cell r="N1613" t="str">
            <v>RESOLUCION</v>
          </cell>
          <cell r="O1613">
            <v>586</v>
          </cell>
          <cell r="P1613">
            <v>43139</v>
          </cell>
          <cell r="Q1613" t="str">
            <v>AYUDA TEMPORAL A LAS FAMILIAS DE VARIAS LOCALIDADES, PARA RELOCALIZACIÓN DE HOGARES LOCALIZADOS EN ZONAS DE ALTO RIESGO NO MITIGABLE ID:2011-19-12511, LOCALIDAD:19 CIUDAD BOLÍVAR, UPZ:69 ISMAEL PERDOMO, SECTOR:OLA INVERNAL 2010 FOPAE</v>
          </cell>
          <cell r="R1613">
            <v>2723490</v>
          </cell>
          <cell r="S1613">
            <v>778140</v>
          </cell>
          <cell r="T1613">
            <v>0</v>
          </cell>
          <cell r="U1613">
            <v>1945350</v>
          </cell>
          <cell r="V1613">
            <v>1945350</v>
          </cell>
        </row>
        <row r="1614">
          <cell r="J1614">
            <v>976</v>
          </cell>
          <cell r="K1614">
            <v>43139</v>
          </cell>
          <cell r="L1614" t="str">
            <v>SANDRA JASDIBY VILLEGAS CASTRILLON</v>
          </cell>
          <cell r="M1614">
            <v>31</v>
          </cell>
          <cell r="N1614" t="str">
            <v>RESOLUCION</v>
          </cell>
          <cell r="O1614">
            <v>587</v>
          </cell>
          <cell r="P1614">
            <v>43139</v>
          </cell>
          <cell r="Q1614" t="str">
            <v>AYUDA TEMPORAL A LAS FAMILIAS DE VARIAS LOCALIDADES, PARA RELOCALIZACIÓN DE HOGARES LOCALIZADOS EN ZONAS DE ALTO RIESGO NO MITIGABLE ID:2012-19-13798, LOCALIDAD:19 CIUDAD BOLÍVAR, UPZ:67 LUCERO</v>
          </cell>
          <cell r="R1614">
            <v>5430984</v>
          </cell>
          <cell r="S1614">
            <v>0</v>
          </cell>
          <cell r="T1614">
            <v>0</v>
          </cell>
          <cell r="U1614">
            <v>5430984</v>
          </cell>
          <cell r="V1614">
            <v>3342144</v>
          </cell>
        </row>
        <row r="1615">
          <cell r="J1615">
            <v>977</v>
          </cell>
          <cell r="K1615">
            <v>43140</v>
          </cell>
          <cell r="L1615" t="str">
            <v>ANGELA PATRICIA GARZON VARGAS</v>
          </cell>
          <cell r="M1615">
            <v>31</v>
          </cell>
          <cell r="N1615" t="str">
            <v>RESOLUCION</v>
          </cell>
          <cell r="O1615">
            <v>565</v>
          </cell>
          <cell r="P1615">
            <v>43140</v>
          </cell>
          <cell r="Q1615" t="str">
            <v>AYUDA TEMPORAL A LAS FAMILIAS DE VARIAS LOCALIDADES, PARA RELOCALIZACIÓN DE HOGARES LOCALIZADOS EN ZONAS DE ALTO RIESGO NO MITIGABLE ID:2014-4-14692, LOCALIDAD:04 SAN CRISTÓBAL, UPZ:32 SAN BLAS</v>
          </cell>
          <cell r="R1615">
            <v>5603000</v>
          </cell>
          <cell r="S1615">
            <v>0</v>
          </cell>
          <cell r="T1615">
            <v>0</v>
          </cell>
          <cell r="U1615">
            <v>5603000</v>
          </cell>
          <cell r="V1615">
            <v>3448000</v>
          </cell>
        </row>
        <row r="1616">
          <cell r="J1616">
            <v>978</v>
          </cell>
          <cell r="K1616">
            <v>43140</v>
          </cell>
          <cell r="L1616" t="str">
            <v>BLANCA NIEVES GOMEZ PEDRAZA</v>
          </cell>
          <cell r="M1616">
            <v>31</v>
          </cell>
          <cell r="N1616" t="str">
            <v>RESOLUCION</v>
          </cell>
          <cell r="O1616">
            <v>566</v>
          </cell>
          <cell r="P1616">
            <v>43140</v>
          </cell>
          <cell r="Q1616" t="str">
            <v>AYUDA TEMPORAL A LAS FAMILIAS DE VARIAS LOCALIDADES, PARA RELOCALIZACIÓN DE HOGARES LOCALIZADOS EN ZONAS DE ALTO RIESGO NO MITIGABLE ID:2010-19-12181, LOCALIDAD:19 CIUDAD BOLÍVAR, UPZ:67 LUCERO, SECTOR:OLA INVERNAL 2010 FOPAE</v>
          </cell>
          <cell r="R1616">
            <v>5612893</v>
          </cell>
          <cell r="S1616">
            <v>0</v>
          </cell>
          <cell r="T1616">
            <v>0</v>
          </cell>
          <cell r="U1616">
            <v>5612893</v>
          </cell>
          <cell r="V1616">
            <v>3454088</v>
          </cell>
        </row>
        <row r="1617">
          <cell r="J1617">
            <v>979</v>
          </cell>
          <cell r="K1617">
            <v>43140</v>
          </cell>
          <cell r="L1617" t="str">
            <v>ANGELA  GARZON ROA</v>
          </cell>
          <cell r="M1617">
            <v>31</v>
          </cell>
          <cell r="N1617" t="str">
            <v>RESOLUCION</v>
          </cell>
          <cell r="O1617">
            <v>567</v>
          </cell>
          <cell r="P1617">
            <v>43140</v>
          </cell>
          <cell r="Q1617" t="str">
            <v>AYUDA TEMPORAL A LAS FAMILIAS DE VARIAS LOCALIDADES, PARA RELOCALIZACIÓN DE HOGARES LOCALIZADOS EN ZONAS DE ALTO RIESGO NO MITIGABLE ID:2013000262, LOCALIDAD:04 SAN CRISTÓBAL, UPZ:51 LOS LIBERTADORES, SECTOR:QUEBRADA VEREJONES</v>
          </cell>
          <cell r="R1617">
            <v>5031235</v>
          </cell>
          <cell r="S1617">
            <v>0</v>
          </cell>
          <cell r="T1617">
            <v>0</v>
          </cell>
          <cell r="U1617">
            <v>5031235</v>
          </cell>
          <cell r="V1617">
            <v>3659080</v>
          </cell>
        </row>
        <row r="1618">
          <cell r="J1618">
            <v>980</v>
          </cell>
          <cell r="K1618">
            <v>43140</v>
          </cell>
          <cell r="L1618" t="str">
            <v>NELIDA MARTHA CASTILLO HERNANDEZ</v>
          </cell>
          <cell r="M1618">
            <v>31</v>
          </cell>
          <cell r="N1618" t="str">
            <v>RESOLUCION</v>
          </cell>
          <cell r="O1618">
            <v>568</v>
          </cell>
          <cell r="P1618">
            <v>43140</v>
          </cell>
          <cell r="Q1618" t="str">
            <v>AYUDA TEMPORAL A LAS FAMILIAS DE VARIAS LOCALIDADES, PARA RELOCALIZACIÓN DE HOGARES LOCALIZADOS EN ZONAS DE ALTO RIESGO NO MITIGABLE ID:2011-18-12496, LOCALIDAD:18 RAFAEL URIBE URIBE, UPZ:53 MARCO FIDEL SUÁREZ, SECTOR:OLA INVERNAL 2010 FOPAE</v>
          </cell>
          <cell r="R1618">
            <v>3100419</v>
          </cell>
          <cell r="S1618">
            <v>442917</v>
          </cell>
          <cell r="T1618">
            <v>0</v>
          </cell>
          <cell r="U1618">
            <v>2657502</v>
          </cell>
          <cell r="V1618">
            <v>2657502</v>
          </cell>
        </row>
        <row r="1619">
          <cell r="J1619">
            <v>981</v>
          </cell>
          <cell r="K1619">
            <v>43140</v>
          </cell>
          <cell r="L1619" t="str">
            <v>JOSE ARTURO REINA SALGADO</v>
          </cell>
          <cell r="M1619">
            <v>31</v>
          </cell>
          <cell r="N1619" t="str">
            <v>RESOLUCION</v>
          </cell>
          <cell r="O1619">
            <v>569</v>
          </cell>
          <cell r="P1619">
            <v>43140</v>
          </cell>
          <cell r="Q1619" t="str">
            <v>AYUDA TEMPORAL A LAS FAMILIAS DE VARIAS LOCALIDADES, PARA RELOCALIZACIÓN DE HOGARES LOCALIZADOS EN ZONAS DE ALTO RIESGO NO MITIGABLE ID:2007-4-9377, LOCALIDAD:04 SAN CRISTÓBAL, UPZ:32 SAN BLAS</v>
          </cell>
          <cell r="R1619">
            <v>5222100</v>
          </cell>
          <cell r="S1619">
            <v>0</v>
          </cell>
          <cell r="T1619">
            <v>0</v>
          </cell>
          <cell r="U1619">
            <v>5222100</v>
          </cell>
          <cell r="V1619">
            <v>3213600</v>
          </cell>
        </row>
        <row r="1620">
          <cell r="J1620">
            <v>982</v>
          </cell>
          <cell r="K1620">
            <v>43140</v>
          </cell>
          <cell r="L1620" t="str">
            <v>MIGUEL ARCESIO CANIZALES MERCADO</v>
          </cell>
          <cell r="M1620">
            <v>31</v>
          </cell>
          <cell r="N1620" t="str">
            <v>RESOLUCION</v>
          </cell>
          <cell r="O1620">
            <v>570</v>
          </cell>
          <cell r="P1620">
            <v>43140</v>
          </cell>
          <cell r="Q1620" t="str">
            <v>AYUDA TEMPORAL A LAS FAMILIAS DE VARIAS LOCALIDADES, PARA RELOCALIZACIÓN DE HOGARES LOCALIZADOS EN ZONAS DE ALTO RIESGO NO MITIGABLE ID:2016-08-14770, LOCALIDAD:08 KENNEDY, UPZ:82 PATIO BONITO, SECTOR:PALMITAS</v>
          </cell>
          <cell r="R1620">
            <v>6713226</v>
          </cell>
          <cell r="S1620">
            <v>0</v>
          </cell>
          <cell r="T1620">
            <v>0</v>
          </cell>
          <cell r="U1620">
            <v>6713226</v>
          </cell>
          <cell r="V1620">
            <v>4131216</v>
          </cell>
        </row>
        <row r="1621">
          <cell r="J1621">
            <v>983</v>
          </cell>
          <cell r="K1621">
            <v>43140</v>
          </cell>
          <cell r="L1621" t="str">
            <v>SOCORRO  QUIROGA QUIROGA</v>
          </cell>
          <cell r="M1621">
            <v>31</v>
          </cell>
          <cell r="N1621" t="str">
            <v>RESOLUCION</v>
          </cell>
          <cell r="O1621">
            <v>571</v>
          </cell>
          <cell r="P1621">
            <v>43140</v>
          </cell>
          <cell r="Q1621" t="str">
            <v>AYUDA TEMPORAL A LAS FAMILIAS DE VARIAS LOCALIDADES, PARA RELOCALIZACIÓN DE HOGARES LOCALIZADOS EN ZONAS DE ALTO RIESGO NO MITIGABLE ID:2011-4-12923, LOCALIDAD:04 SAN CRISTÓBAL, UPZ:50 LA GLORIA</v>
          </cell>
          <cell r="R1621">
            <v>2895704</v>
          </cell>
          <cell r="S1621">
            <v>413672</v>
          </cell>
          <cell r="T1621">
            <v>0</v>
          </cell>
          <cell r="U1621">
            <v>2482032</v>
          </cell>
          <cell r="V1621">
            <v>2482032</v>
          </cell>
        </row>
        <row r="1622">
          <cell r="J1622">
            <v>984</v>
          </cell>
          <cell r="K1622">
            <v>43140</v>
          </cell>
          <cell r="L1622" t="str">
            <v>GLORIA CECILIA QUIMBAYO SUAREZ</v>
          </cell>
          <cell r="M1622">
            <v>31</v>
          </cell>
          <cell r="N1622" t="str">
            <v>RESOLUCION</v>
          </cell>
          <cell r="O1622">
            <v>572</v>
          </cell>
          <cell r="P1622">
            <v>43140</v>
          </cell>
          <cell r="Q1622" t="str">
            <v>AYUDA TEMPORAL A LAS FAMILIAS DE VARIAS LOCALIDADES, PARA RELOCALIZACIÓN DE HOGARES LOCALIZADOS EN ZONAS DE ALTO RIESGO NO MITIGABLE ID:2003-19-4618, LOCALIDAD:19 CIUDAD BOLÍVAR, UPZ:69 ISMAEL PERDOMO, SECTOR:ALTOS DE LA ESTANCIA</v>
          </cell>
          <cell r="R1622">
            <v>2845920</v>
          </cell>
          <cell r="S1622">
            <v>406560</v>
          </cell>
          <cell r="T1622">
            <v>0</v>
          </cell>
          <cell r="U1622">
            <v>2439360</v>
          </cell>
          <cell r="V1622">
            <v>2439360</v>
          </cell>
        </row>
        <row r="1623">
          <cell r="J1623">
            <v>985</v>
          </cell>
          <cell r="K1623">
            <v>43140</v>
          </cell>
          <cell r="L1623" t="str">
            <v>NANCY  SILVA CRISTIANO</v>
          </cell>
          <cell r="M1623">
            <v>31</v>
          </cell>
          <cell r="N1623" t="str">
            <v>RESOLUCION</v>
          </cell>
          <cell r="O1623">
            <v>573</v>
          </cell>
          <cell r="P1623">
            <v>43140</v>
          </cell>
          <cell r="Q1623" t="str">
            <v>AYUDA TEMPORAL A LAS FAMILIAS DE VARIAS LOCALIDADES, PARA RELOCALIZACIÓN DE HOGARES LOCALIZADOS EN ZONAS DE ALTO RIESGO NO MITIGABLE ID:2012-19-13922, LOCALIDAD:19 CIUDAD BOLÍVAR, UPZ:67 LUCERO</v>
          </cell>
          <cell r="R1623">
            <v>2849392</v>
          </cell>
          <cell r="S1623">
            <v>407056</v>
          </cell>
          <cell r="T1623">
            <v>0</v>
          </cell>
          <cell r="U1623">
            <v>2442336</v>
          </cell>
          <cell r="V1623">
            <v>2442336</v>
          </cell>
        </row>
        <row r="1624">
          <cell r="J1624">
            <v>986</v>
          </cell>
          <cell r="K1624">
            <v>43140</v>
          </cell>
          <cell r="L1624" t="str">
            <v>JOSE GRATINIANO BOJACA OLIVEROS</v>
          </cell>
          <cell r="M1624">
            <v>31</v>
          </cell>
          <cell r="N1624" t="str">
            <v>RESOLUCION</v>
          </cell>
          <cell r="O1624">
            <v>574</v>
          </cell>
          <cell r="P1624">
            <v>43140</v>
          </cell>
          <cell r="Q1624" t="str">
            <v>AYUDA TEMPORAL A LAS FAMILIAS DE VARIAS LOCALIDADES, PARA RELOCALIZACIÓN DE HOGARES LOCALIZADOS EN ZONAS DE ALTO RIESGO NO MITIGABLE ID:2016-04-14919, LOCALIDAD:04 SAN CRISTÓBAL, UPZ:32 SAN BLAS, SECTOR:TRIANGULO ALTO</v>
          </cell>
          <cell r="R1624">
            <v>5754190</v>
          </cell>
          <cell r="S1624">
            <v>0</v>
          </cell>
          <cell r="T1624">
            <v>0</v>
          </cell>
          <cell r="U1624">
            <v>5754190</v>
          </cell>
          <cell r="V1624">
            <v>3541040</v>
          </cell>
        </row>
        <row r="1625">
          <cell r="J1625">
            <v>987</v>
          </cell>
          <cell r="K1625">
            <v>43140</v>
          </cell>
          <cell r="L1625" t="str">
            <v>CARMEN ROSA HERNANDEZ TORRES</v>
          </cell>
          <cell r="M1625">
            <v>31</v>
          </cell>
          <cell r="N1625" t="str">
            <v>RESOLUCION</v>
          </cell>
          <cell r="O1625">
            <v>575</v>
          </cell>
          <cell r="P1625">
            <v>43140</v>
          </cell>
          <cell r="Q1625" t="str">
            <v>AYUDA TEMPORAL A LAS FAMILIAS DE VARIAS LOCALIDADES, PARA RELOCALIZACIÓN DE HOGARES LOCALIZADOS EN ZONAS DE ALTO RIESGO NO MITIGABLE ID:2015-Q03-03349, LOCALIDAD:19 CIUDAD BOLÍVAR, UPZ:67 LUCERO, SECTOR:LIMAS</v>
          </cell>
          <cell r="R1625">
            <v>6233708</v>
          </cell>
          <cell r="S1625">
            <v>0</v>
          </cell>
          <cell r="T1625">
            <v>0</v>
          </cell>
          <cell r="U1625">
            <v>6233708</v>
          </cell>
          <cell r="V1625">
            <v>3836128</v>
          </cell>
        </row>
        <row r="1626">
          <cell r="J1626">
            <v>988</v>
          </cell>
          <cell r="K1626">
            <v>43140</v>
          </cell>
          <cell r="L1626" t="str">
            <v>YECI PAOLA SAMUDIO SIPACON</v>
          </cell>
          <cell r="M1626">
            <v>31</v>
          </cell>
          <cell r="N1626" t="str">
            <v>RESOLUCION</v>
          </cell>
          <cell r="O1626">
            <v>576</v>
          </cell>
          <cell r="P1626">
            <v>43140</v>
          </cell>
          <cell r="Q1626" t="str">
            <v>AYUDA TEMPORAL A LAS FAMILIAS DE VARIAS LOCALIDADES, PARA RELOCALIZACIÓN DE HOGARES LOCALIZADOS EN ZONAS DE ALTO RIESGO NO MITIGABLE ID:2016-08-14773, LOCALIDAD:08 KENNEDY, UPZ:82 PATIO BONITO, SECTOR:PALMITAS</v>
          </cell>
          <cell r="R1626">
            <v>7480447</v>
          </cell>
          <cell r="S1626">
            <v>0</v>
          </cell>
          <cell r="T1626">
            <v>0</v>
          </cell>
          <cell r="U1626">
            <v>7480447</v>
          </cell>
          <cell r="V1626">
            <v>4603352</v>
          </cell>
        </row>
        <row r="1627">
          <cell r="J1627">
            <v>989</v>
          </cell>
          <cell r="K1627">
            <v>43140</v>
          </cell>
          <cell r="L1627" t="str">
            <v>FRAECEDIS  PACHECO TOVAR</v>
          </cell>
          <cell r="M1627">
            <v>31</v>
          </cell>
          <cell r="N1627" t="str">
            <v>RESOLUCION</v>
          </cell>
          <cell r="O1627">
            <v>577</v>
          </cell>
          <cell r="P1627">
            <v>43140</v>
          </cell>
          <cell r="Q1627" t="str">
            <v>AYUDA TEMPORAL A LAS FAMILIAS DE VARIAS LOCALIDADES, PARA RELOCALIZACIÓN DE HOGARES LOCALIZADOS EN ZONAS DE ALTO RIESGO NO MITIGABLE ID:2016-08-14907, LOCALIDAD:08 KENNEDY, UPZ:82 PATIO BONITO, SECTOR:PALMITAS</v>
          </cell>
          <cell r="R1627">
            <v>3873016</v>
          </cell>
          <cell r="S1627">
            <v>0</v>
          </cell>
          <cell r="T1627">
            <v>0</v>
          </cell>
          <cell r="U1627">
            <v>3873016</v>
          </cell>
          <cell r="V1627">
            <v>2766440</v>
          </cell>
        </row>
        <row r="1628">
          <cell r="J1628">
            <v>990</v>
          </cell>
          <cell r="K1628">
            <v>43140</v>
          </cell>
          <cell r="L1628" t="str">
            <v>MANUEL GUILLERMO PEÑA GONZALEZ</v>
          </cell>
          <cell r="M1628">
            <v>31</v>
          </cell>
          <cell r="N1628" t="str">
            <v>RESOLUCION</v>
          </cell>
          <cell r="O1628">
            <v>578</v>
          </cell>
          <cell r="P1628">
            <v>43140</v>
          </cell>
          <cell r="Q1628" t="str">
            <v>AYUDA TEMPORAL A LAS FAMILIAS DE VARIAS LOCALIDADES, PARA RELOCALIZACIÓN DE HOGARES LOCALIZADOS EN ZONAS DE ALTO RIESGO NO MITIGABLE ID:2014-Q07-00924, LOCALIDAD:19 CIUDAD BOLÍVAR, UPZ:67 LUCERO, SECTOR:QUEBRADA TROMPETA</v>
          </cell>
          <cell r="R1628">
            <v>2582006</v>
          </cell>
          <cell r="S1628">
            <v>368858</v>
          </cell>
          <cell r="T1628">
            <v>0</v>
          </cell>
          <cell r="U1628">
            <v>2213148</v>
          </cell>
          <cell r="V1628">
            <v>2213148</v>
          </cell>
        </row>
        <row r="1629">
          <cell r="J1629">
            <v>991</v>
          </cell>
          <cell r="K1629">
            <v>43140</v>
          </cell>
          <cell r="L1629" t="str">
            <v>BENEDICTO  VALBUENA LEON</v>
          </cell>
          <cell r="M1629">
            <v>31</v>
          </cell>
          <cell r="N1629" t="str">
            <v>RESOLUCION</v>
          </cell>
          <cell r="O1629">
            <v>579</v>
          </cell>
          <cell r="P1629">
            <v>43140</v>
          </cell>
          <cell r="Q1629" t="str">
            <v>AYUDA TEMPORAL A LAS FAMILIAS DE VARIAS LOCALIDADES, PARA RELOCALIZACIÓN DE HOGARES LOCALIZADOS EN ZONAS DE ALTO RIESGO NO MITIGABLE ID:2014-OTR-00978, LOCALIDAD:19 CIUDAD BOLÍVAR, UPZ:67 LUCERO, SECTOR:TABOR ALTALOMA</v>
          </cell>
          <cell r="R1629">
            <v>3017000</v>
          </cell>
          <cell r="S1629">
            <v>431000</v>
          </cell>
          <cell r="T1629">
            <v>0</v>
          </cell>
          <cell r="U1629">
            <v>2586000</v>
          </cell>
          <cell r="V1629">
            <v>2586000</v>
          </cell>
        </row>
        <row r="1630">
          <cell r="J1630">
            <v>992</v>
          </cell>
          <cell r="K1630">
            <v>43140</v>
          </cell>
          <cell r="L1630" t="str">
            <v>VICTOR MANUEL ARIZA CABREJO</v>
          </cell>
          <cell r="M1630">
            <v>31</v>
          </cell>
          <cell r="N1630" t="str">
            <v>RESOLUCION</v>
          </cell>
          <cell r="O1630">
            <v>580</v>
          </cell>
          <cell r="P1630">
            <v>43140</v>
          </cell>
          <cell r="Q1630" t="str">
            <v>AYUDA TEMPORAL A LAS FAMILIAS DE VARIAS LOCALIDADES, PARA RELOCALIZACIÓN DE HOGARES LOCALIZADOS EN ZONAS DE ALTO RIESGO NO MITIGABLE ID:2010-5-11546, LOCALIDAD:05 USME, UPZ:57 GRAN YOMASA, SECTOR:OLA INVERNAL 2010 FOPAE</v>
          </cell>
          <cell r="R1630">
            <v>2582006</v>
          </cell>
          <cell r="S1630">
            <v>1844290</v>
          </cell>
          <cell r="T1630">
            <v>0</v>
          </cell>
          <cell r="U1630">
            <v>737716</v>
          </cell>
          <cell r="V1630">
            <v>737716</v>
          </cell>
        </row>
        <row r="1631">
          <cell r="J1631">
            <v>993</v>
          </cell>
          <cell r="K1631">
            <v>43140</v>
          </cell>
          <cell r="L1631" t="str">
            <v>PAOLA KARINA ERASO</v>
          </cell>
          <cell r="M1631">
            <v>31</v>
          </cell>
          <cell r="N1631" t="str">
            <v>RESOLUCION</v>
          </cell>
          <cell r="O1631">
            <v>581</v>
          </cell>
          <cell r="P1631">
            <v>43140</v>
          </cell>
          <cell r="Q1631" t="str">
            <v>AYUDA TEMPORAL A LAS FAMILIAS DE VARIAS LOCALIDADES, PARA RELOCALIZACIÓN DE HOGARES LOCALIZADOS EN ZONAS DE ALTO RIESGO NO MITIGABLE ID:2013-Q17-00086, LOCALIDAD:19 CIUDAD BOLÍVAR, UPZ:67 LUCERO, SECTOR:QUEBRADA TROMPETA</v>
          </cell>
          <cell r="R1631">
            <v>3619000</v>
          </cell>
          <cell r="S1631">
            <v>1034000</v>
          </cell>
          <cell r="T1631">
            <v>0</v>
          </cell>
          <cell r="U1631">
            <v>2585000</v>
          </cell>
          <cell r="V1631">
            <v>2585000</v>
          </cell>
        </row>
        <row r="1632">
          <cell r="J1632">
            <v>994</v>
          </cell>
          <cell r="K1632">
            <v>43140</v>
          </cell>
          <cell r="L1632" t="str">
            <v>HARRISON DAVID BARBOSA RINCON</v>
          </cell>
          <cell r="M1632">
            <v>31</v>
          </cell>
          <cell r="N1632" t="str">
            <v>RESOLUCION</v>
          </cell>
          <cell r="O1632">
            <v>582</v>
          </cell>
          <cell r="P1632">
            <v>43140</v>
          </cell>
          <cell r="Q1632" t="str">
            <v>AYUDA TEMPORAL A LAS FAMILIAS DE VARIAS LOCALIDADES, PARA RELOCALIZACIÓN DE HOGARES LOCALIZADOS EN ZONAS DE ALTO RIESGO NO MITIGABLE ID:2010-18-12342, LOCALIDAD:18 RAFAEL URIBE URIBE, UPZ:55 DIANA TURBAY, SECTOR:OLA INVERNAL 2010 FOPAE</v>
          </cell>
          <cell r="R1632">
            <v>2887073</v>
          </cell>
          <cell r="S1632">
            <v>412439</v>
          </cell>
          <cell r="T1632">
            <v>0</v>
          </cell>
          <cell r="U1632">
            <v>2474634</v>
          </cell>
          <cell r="V1632">
            <v>2474634</v>
          </cell>
        </row>
        <row r="1633">
          <cell r="J1633">
            <v>995</v>
          </cell>
          <cell r="K1633">
            <v>43140</v>
          </cell>
          <cell r="L1633" t="str">
            <v>PAULA ANDREA OTALVARO TORRES</v>
          </cell>
          <cell r="M1633">
            <v>31</v>
          </cell>
          <cell r="N1633" t="str">
            <v>RESOLUCION</v>
          </cell>
          <cell r="O1633">
            <v>583</v>
          </cell>
          <cell r="P1633">
            <v>43140</v>
          </cell>
          <cell r="Q1633" t="str">
            <v>AYUDA TEMPORAL A LAS FAMILIAS DE VARIAS LOCALIDADES, PARA RELOCALIZACIÓN DE HOGARES LOCALIZADOS EN ZONAS DE ALTO RIESGO NO MITIGABLE ID:2016-08-14877, LOCALIDAD:08 KENNEDY, UPZ:82 PATIO BONITO, SECTOR:PALMITAS</v>
          </cell>
          <cell r="R1633">
            <v>5274659</v>
          </cell>
          <cell r="S1633">
            <v>0</v>
          </cell>
          <cell r="T1633">
            <v>0</v>
          </cell>
          <cell r="U1633">
            <v>5274659</v>
          </cell>
          <cell r="V1633">
            <v>3245944</v>
          </cell>
        </row>
        <row r="1634">
          <cell r="J1634">
            <v>996</v>
          </cell>
          <cell r="K1634">
            <v>43140</v>
          </cell>
          <cell r="L1634" t="str">
            <v>JORGE HERNANDO DIAZ SILVA</v>
          </cell>
          <cell r="M1634">
            <v>31</v>
          </cell>
          <cell r="N1634" t="str">
            <v>RESOLUCION</v>
          </cell>
          <cell r="O1634">
            <v>599</v>
          </cell>
          <cell r="P1634">
            <v>43140</v>
          </cell>
          <cell r="Q1634" t="str">
            <v>Asignacion del instrumento financiero a las familias ocupantes del predio que hayan superado la fase de verificacion dentro  del marco del Decreto 457 de 2017. LOCALIDAD: KENNEDY; BARRIO: VEREDITAS; ID: 2017-8-383896</v>
          </cell>
          <cell r="R1634">
            <v>54686940</v>
          </cell>
          <cell r="S1634">
            <v>0</v>
          </cell>
          <cell r="T1634">
            <v>0</v>
          </cell>
          <cell r="U1634">
            <v>54686940</v>
          </cell>
          <cell r="V1634">
            <v>54686940</v>
          </cell>
        </row>
        <row r="1635">
          <cell r="J1635">
            <v>997</v>
          </cell>
          <cell r="K1635">
            <v>43140</v>
          </cell>
          <cell r="L1635" t="str">
            <v>EGBERTO  URREGO VALBUENA</v>
          </cell>
          <cell r="M1635">
            <v>31</v>
          </cell>
          <cell r="N1635" t="str">
            <v>RESOLUCION</v>
          </cell>
          <cell r="O1635">
            <v>605</v>
          </cell>
          <cell r="P1635">
            <v>43140</v>
          </cell>
          <cell r="Q1635" t="str">
            <v>ADQUISICIÓN PREDIAL DTO. 511 DE 2010. LOCALIDAD: USAQUEN; BARRIO: CASA DE TEJA;ID: 2013-Q09-00140</v>
          </cell>
          <cell r="R1635">
            <v>113366000</v>
          </cell>
          <cell r="S1635">
            <v>113366000</v>
          </cell>
          <cell r="T1635">
            <v>0</v>
          </cell>
          <cell r="U1635">
            <v>0</v>
          </cell>
          <cell r="V1635">
            <v>0</v>
          </cell>
        </row>
        <row r="1636">
          <cell r="J1636">
            <v>998</v>
          </cell>
          <cell r="K1636">
            <v>43140</v>
          </cell>
          <cell r="L1636" t="str">
            <v>PASCUAL ALVEIRO SEMANATE ANACONA</v>
          </cell>
          <cell r="M1636">
            <v>31</v>
          </cell>
          <cell r="N1636" t="str">
            <v>RESOLUCION</v>
          </cell>
          <cell r="O1636">
            <v>606</v>
          </cell>
          <cell r="P1636">
            <v>43140</v>
          </cell>
          <cell r="Q1636" t="str">
            <v>VUR DE LA ACTUAL VIGENCIA DE ACUERDO CON EL DECRETO 255 DE 2013. LOCALIDAD: CIUDAD BOLIVAR; BARRIO:EL MIRADOR 3; ID: 2017-19-14960.</v>
          </cell>
          <cell r="R1636">
            <v>39062100</v>
          </cell>
          <cell r="S1636">
            <v>0</v>
          </cell>
          <cell r="T1636">
            <v>0</v>
          </cell>
          <cell r="U1636">
            <v>39062100</v>
          </cell>
          <cell r="V1636">
            <v>39062100</v>
          </cell>
        </row>
        <row r="1637">
          <cell r="J1637">
            <v>999</v>
          </cell>
          <cell r="K1637">
            <v>43140</v>
          </cell>
          <cell r="L1637" t="str">
            <v>EGBERTO  URREGO VALBUENA</v>
          </cell>
          <cell r="M1637">
            <v>31</v>
          </cell>
          <cell r="N1637" t="str">
            <v>RESOLUCION</v>
          </cell>
          <cell r="O1637">
            <v>605</v>
          </cell>
          <cell r="P1637">
            <v>43140</v>
          </cell>
          <cell r="Q1637" t="str">
            <v>ADQUISICIÓN PREDIAL DTO. 511 DE 2010. LOCALIDAD: USAQUEN; BARRIO: CASA DE TEJA;ID: 2013-Q09-00140</v>
          </cell>
          <cell r="R1637">
            <v>113366000</v>
          </cell>
          <cell r="S1637">
            <v>0</v>
          </cell>
          <cell r="T1637">
            <v>0</v>
          </cell>
          <cell r="U1637">
            <v>113366000</v>
          </cell>
          <cell r="V1637">
            <v>34009800</v>
          </cell>
        </row>
        <row r="1638">
          <cell r="J1638">
            <v>1000</v>
          </cell>
          <cell r="K1638">
            <v>43140</v>
          </cell>
          <cell r="L1638" t="str">
            <v>ERNESTO  BUITRAGO TORO</v>
          </cell>
          <cell r="M1638">
            <v>31</v>
          </cell>
          <cell r="N1638" t="str">
            <v>RESOLUCION</v>
          </cell>
          <cell r="O1638">
            <v>588</v>
          </cell>
          <cell r="P1638">
            <v>43140</v>
          </cell>
          <cell r="Q1638" t="str">
            <v>AYUDA TEMPORAL A LAS FAMILIAS DE VARIAS LOCALIDADES, PARA RELOCALIZACIÓN DE HOGARES LOCALIZADOS EN ZONAS DE ALTO RIESGO NO MITIGABLE ID:2014-Q17-01010, LOCALIDAD:19 CIUDAD BOLÍVAR, UPZ:67 LUCERO, SECTOR:ZANJÓN DEL AHORCADO</v>
          </cell>
          <cell r="R1638">
            <v>5946005</v>
          </cell>
          <cell r="S1638">
            <v>4573850</v>
          </cell>
          <cell r="T1638">
            <v>0</v>
          </cell>
          <cell r="U1638">
            <v>1372155</v>
          </cell>
          <cell r="V1638">
            <v>1372155</v>
          </cell>
        </row>
        <row r="1639">
          <cell r="J1639">
            <v>1001</v>
          </cell>
          <cell r="K1639">
            <v>43140</v>
          </cell>
          <cell r="L1639" t="str">
            <v>ALBA FLOR IBAÑEZ JIMENEZ</v>
          </cell>
          <cell r="M1639">
            <v>31</v>
          </cell>
          <cell r="N1639" t="str">
            <v>RESOLUCION</v>
          </cell>
          <cell r="O1639">
            <v>589</v>
          </cell>
          <cell r="P1639">
            <v>43140</v>
          </cell>
          <cell r="Q1639" t="str">
            <v>AYUDA TEMPORAL A LAS FAMILIAS DE VARIAS LOCALIDADES, PARA RELOCALIZACIÓN DE HOGARES LOCALIZADOS EN ZONAS DE ALTO RIESGO NO MITIGABLE ID:2014-Q20-01253, LOCALIDAD:04 SAN CRISTÓBAL, UPZ:50 LA GLORIA, SECTOR:LA CHIGUAZA</v>
          </cell>
          <cell r="R1639">
            <v>2992227</v>
          </cell>
          <cell r="S1639">
            <v>427461</v>
          </cell>
          <cell r="T1639">
            <v>0</v>
          </cell>
          <cell r="U1639">
            <v>2564766</v>
          </cell>
          <cell r="V1639">
            <v>2564766</v>
          </cell>
        </row>
        <row r="1640">
          <cell r="J1640">
            <v>1002</v>
          </cell>
          <cell r="K1640">
            <v>43140</v>
          </cell>
          <cell r="L1640" t="str">
            <v>EDGAR  FRANCO GAONA</v>
          </cell>
          <cell r="M1640">
            <v>31</v>
          </cell>
          <cell r="N1640" t="str">
            <v>RESOLUCION</v>
          </cell>
          <cell r="O1640">
            <v>590</v>
          </cell>
          <cell r="P1640">
            <v>43140</v>
          </cell>
          <cell r="Q1640" t="str">
            <v>AYUDA TEMPORAL A LAS FAMILIAS DE VARIAS LOCALIDADES, PARA RELOCALIZACIÓN DE HOGARES LOCALIZADOS EN ZONAS DE ALTO RIESGO NO MITIGABLE ID:2013-19-14624, LOCALIDAD:19 CIUDAD BOLÍVAR, UPZ:68 EL TESORO</v>
          </cell>
          <cell r="R1640">
            <v>2661659</v>
          </cell>
          <cell r="S1640">
            <v>380237</v>
          </cell>
          <cell r="T1640">
            <v>0</v>
          </cell>
          <cell r="U1640">
            <v>2281422</v>
          </cell>
          <cell r="V1640">
            <v>2281422</v>
          </cell>
        </row>
        <row r="1641">
          <cell r="J1641">
            <v>1003</v>
          </cell>
          <cell r="K1641">
            <v>43140</v>
          </cell>
          <cell r="L1641" t="str">
            <v>GLADYS  OCAMPO ESPINOSA</v>
          </cell>
          <cell r="M1641">
            <v>31</v>
          </cell>
          <cell r="N1641" t="str">
            <v>RESOLUCION</v>
          </cell>
          <cell r="O1641">
            <v>591</v>
          </cell>
          <cell r="P1641">
            <v>43140</v>
          </cell>
          <cell r="Q1641" t="str">
            <v>AYUDA TEMPORAL A LAS FAMILIAS DE VARIAS LOCALIDADES, PARA RELOCALIZACIÓN DE HOGARES LOCALIZADOS EN ZONAS DE ALTO RIESGO NO MITIGABLE ID:2014-Q01-01064, LOCALIDAD:05 USME, UPZ:56 DANUBIO, SECTOR:HOYA DEL RAMO</v>
          </cell>
          <cell r="R1641">
            <v>4131218</v>
          </cell>
          <cell r="S1641">
            <v>590174</v>
          </cell>
          <cell r="T1641">
            <v>0</v>
          </cell>
          <cell r="U1641">
            <v>3541044</v>
          </cell>
          <cell r="V1641">
            <v>3541044</v>
          </cell>
        </row>
        <row r="1642">
          <cell r="J1642">
            <v>1004</v>
          </cell>
          <cell r="K1642">
            <v>43140</v>
          </cell>
          <cell r="L1642" t="str">
            <v>LEIDI VIVIANA MARTINEZ AMEZQUITA</v>
          </cell>
          <cell r="M1642">
            <v>31</v>
          </cell>
          <cell r="N1642" t="str">
            <v>RESOLUCION</v>
          </cell>
          <cell r="O1642">
            <v>592</v>
          </cell>
          <cell r="P1642">
            <v>43140</v>
          </cell>
          <cell r="Q1642" t="str">
            <v>AYUDA TEMPORAL A LAS FAMILIAS DE VARIAS LOCALIDADES, PARA RELOCALIZACIÓN DE HOGARES LOCALIZADOS EN ZONAS DE ALTO RIESGO NO MITIGABLE ID:2016-08-14802, LOCALIDAD:08 KENNEDY, UPZ:82 PATIO BONITO, SECTOR:PALMITAS</v>
          </cell>
          <cell r="R1642">
            <v>5825885</v>
          </cell>
          <cell r="S1642">
            <v>0</v>
          </cell>
          <cell r="T1642">
            <v>0</v>
          </cell>
          <cell r="U1642">
            <v>5825885</v>
          </cell>
          <cell r="V1642">
            <v>896290</v>
          </cell>
        </row>
        <row r="1643">
          <cell r="J1643">
            <v>1005</v>
          </cell>
          <cell r="K1643">
            <v>43140</v>
          </cell>
          <cell r="L1643" t="str">
            <v>PILAR  RIVERA PELAEZ</v>
          </cell>
          <cell r="M1643">
            <v>31</v>
          </cell>
          <cell r="N1643" t="str">
            <v>RESOLUCION</v>
          </cell>
          <cell r="O1643">
            <v>593</v>
          </cell>
          <cell r="P1643">
            <v>43140</v>
          </cell>
          <cell r="Q1643" t="str">
            <v>AYUDA TEMPORAL A LAS FAMILIAS DE VARIAS LOCALIDADES, PARA RELOCALIZACIÓN DE HOGARES LOCALIZADOS EN ZONAS DE ALTO RIESGO NO MITIGABLE ID:2016-08-14836, LOCALIDAD:08 KENNEDY, UPZ:82 PATIO BONITO, SECTOR:PALMITAS</v>
          </cell>
          <cell r="R1643">
            <v>3873016</v>
          </cell>
          <cell r="S1643">
            <v>2213152</v>
          </cell>
          <cell r="T1643">
            <v>0</v>
          </cell>
          <cell r="U1643">
            <v>1659864</v>
          </cell>
          <cell r="V1643">
            <v>1659864</v>
          </cell>
        </row>
        <row r="1644">
          <cell r="J1644">
            <v>1006</v>
          </cell>
          <cell r="K1644">
            <v>43140</v>
          </cell>
          <cell r="L1644" t="str">
            <v>BEYANIRA  GRACIA BARRAGAN</v>
          </cell>
          <cell r="M1644">
            <v>31</v>
          </cell>
          <cell r="N1644" t="str">
            <v>RESOLUCION</v>
          </cell>
          <cell r="O1644">
            <v>594</v>
          </cell>
          <cell r="P1644">
            <v>43140</v>
          </cell>
          <cell r="Q1644" t="str">
            <v>AYUDA TEMPORAL A LAS FAMILIAS DE VARIAS LOCALIDADES, PARA RELOCALIZACIÓN DE HOGARES LOCALIZADOS EN ZONAS DE ALTO RIESGO NO MITIGABLE ID:2013-Q04-00310, LOCALIDAD:04 SAN CRISTÓBAL, UPZ:51 LOS LIBERTADORES, SECTOR:QUEBRADA VEREJONES</v>
          </cell>
          <cell r="R1644">
            <v>7036302</v>
          </cell>
          <cell r="S1644">
            <v>0</v>
          </cell>
          <cell r="T1644">
            <v>0</v>
          </cell>
          <cell r="U1644">
            <v>7036302</v>
          </cell>
          <cell r="V1644">
            <v>4330032</v>
          </cell>
        </row>
        <row r="1645">
          <cell r="J1645">
            <v>1007</v>
          </cell>
          <cell r="K1645">
            <v>43140</v>
          </cell>
          <cell r="L1645" t="str">
            <v>ANA BEATRIZ PEÑA TOVAR</v>
          </cell>
          <cell r="M1645">
            <v>31</v>
          </cell>
          <cell r="N1645" t="str">
            <v>RESOLUCION</v>
          </cell>
          <cell r="O1645">
            <v>595</v>
          </cell>
          <cell r="P1645">
            <v>43140</v>
          </cell>
          <cell r="Q1645" t="str">
            <v>AYUDA TEMPORAL A LAS FAMILIAS DE VARIAS LOCALIDADES, PARA RELOCALIZACIÓN DE HOGARES LOCALIZADOS EN ZONAS DE ALTO RIESGO NO MITIGABLE ID:2014-OTR-00905, LOCALIDAD:03 SANTA FE, UPZ:96 LOURDES, SECTOR:CASA 3</v>
          </cell>
          <cell r="R1645">
            <v>2975525</v>
          </cell>
          <cell r="S1645">
            <v>425075</v>
          </cell>
          <cell r="T1645">
            <v>0</v>
          </cell>
          <cell r="U1645">
            <v>2550450</v>
          </cell>
          <cell r="V1645">
            <v>2550450</v>
          </cell>
        </row>
        <row r="1646">
          <cell r="J1646">
            <v>1008</v>
          </cell>
          <cell r="K1646">
            <v>43140</v>
          </cell>
          <cell r="L1646" t="str">
            <v>MARIA EVANGELINA HERRERA HERRERA</v>
          </cell>
          <cell r="M1646">
            <v>31</v>
          </cell>
          <cell r="N1646" t="str">
            <v>RESOLUCION</v>
          </cell>
          <cell r="O1646">
            <v>596</v>
          </cell>
          <cell r="P1646">
            <v>43443</v>
          </cell>
          <cell r="Q1646" t="str">
            <v>AYUDA TEMPORAL A LAS FAMILIAS DE VARIAS LOCALIDADES, PARA RELOCALIZACIÓN DE HOGARES LOCALIZADOS EN ZONAS DE ALTO RIESGO NO MITIGABLE ID:2013000553, LOCALIDAD:19 CIUDAD BOLÍVAR, UPZ:67 LUCERO, SECTOR:QUEBRADA TROMPETA</v>
          </cell>
          <cell r="R1646">
            <v>3619637</v>
          </cell>
          <cell r="S1646">
            <v>0</v>
          </cell>
          <cell r="T1646">
            <v>0</v>
          </cell>
          <cell r="U1646">
            <v>3619637</v>
          </cell>
          <cell r="V1646">
            <v>1551273</v>
          </cell>
        </row>
        <row r="1647">
          <cell r="J1647">
            <v>1009</v>
          </cell>
          <cell r="K1647">
            <v>43140</v>
          </cell>
          <cell r="L1647" t="str">
            <v>BLANCA LUCIA GIRON ROSERO</v>
          </cell>
          <cell r="M1647">
            <v>31</v>
          </cell>
          <cell r="N1647" t="str">
            <v>RESOLUCION</v>
          </cell>
          <cell r="O1647">
            <v>602</v>
          </cell>
          <cell r="P1647">
            <v>43139</v>
          </cell>
          <cell r="Q1647" t="str">
            <v>AYUDA TEMPORAL A LAS FAMILIAS DE VARIAS LOCALIDADES, PARA RELOCALIZACIÓN DE HOGARES LOCALIZADOS EN ZONAS DE ALTO RIESGO NO MITIGABLE ID:2011-19-13373, LOCALIDAD:19 CIUDAD BOLÍVAR, UPZ:3 UPR RIO TUNJUELO</v>
          </cell>
          <cell r="R1647">
            <v>4027933</v>
          </cell>
          <cell r="S1647">
            <v>0</v>
          </cell>
          <cell r="T1647">
            <v>0</v>
          </cell>
          <cell r="U1647">
            <v>4027933</v>
          </cell>
          <cell r="V1647">
            <v>1726257</v>
          </cell>
        </row>
        <row r="1648">
          <cell r="J1648">
            <v>1010</v>
          </cell>
          <cell r="K1648">
            <v>43140</v>
          </cell>
          <cell r="L1648" t="str">
            <v>ESNEDA  LASSO MACHADO</v>
          </cell>
          <cell r="M1648">
            <v>31</v>
          </cell>
          <cell r="N1648" t="str">
            <v>RESOLUCION</v>
          </cell>
          <cell r="O1648">
            <v>603</v>
          </cell>
          <cell r="P1648">
            <v>43140</v>
          </cell>
          <cell r="Q1648" t="str">
            <v>AYUDA TEMPORAL A LAS FAMILIAS DE VARIAS LOCALIDADES, PARA RELOCALIZACIÓN DE HOGARES LOCALIZADOS EN ZONAS DE ALTO RIESGO NO MITIGABLE ID:2011-19-12866, LOCALIDAD:19 CIUDAD BOLÍVAR, UPZ:67 LUCERO</v>
          </cell>
          <cell r="R1648">
            <v>4795154</v>
          </cell>
          <cell r="S1648">
            <v>0</v>
          </cell>
          <cell r="T1648">
            <v>0</v>
          </cell>
          <cell r="U1648">
            <v>4795154</v>
          </cell>
          <cell r="V1648">
            <v>2582006</v>
          </cell>
        </row>
        <row r="1649">
          <cell r="J1649">
            <v>1011</v>
          </cell>
          <cell r="K1649">
            <v>43140</v>
          </cell>
          <cell r="L1649" t="str">
            <v>JOSE ANTONIO CASTEBLANCO CAMARGO</v>
          </cell>
          <cell r="M1649">
            <v>31</v>
          </cell>
          <cell r="N1649" t="str">
            <v>RESOLUCION</v>
          </cell>
          <cell r="O1649">
            <v>604</v>
          </cell>
          <cell r="P1649">
            <v>43140</v>
          </cell>
          <cell r="Q1649" t="str">
            <v>AYUDA TEMPORAL A LAS FAMILIAS DE VARIAS LOCALIDADES, PARA RELOCALIZACIÓN DE HOGARES LOCALIZADOS EN ZONAS DE ALTO RIESGO NO MITIGABLE ID:2013000167, LOCALIDAD:19 CIUDAD BOLÍVAR, UPZ:67 LUCERO, SECTOR:QUEBRADA TROMPETA</v>
          </cell>
          <cell r="R1649">
            <v>7077200</v>
          </cell>
          <cell r="S1649">
            <v>0</v>
          </cell>
          <cell r="T1649">
            <v>0</v>
          </cell>
          <cell r="U1649">
            <v>7077200</v>
          </cell>
          <cell r="V1649">
            <v>4355200</v>
          </cell>
        </row>
        <row r="1650">
          <cell r="J1650">
            <v>1012</v>
          </cell>
          <cell r="K1650">
            <v>43140</v>
          </cell>
          <cell r="L1650" t="str">
            <v>MARIELA  CHARRY PINTO</v>
          </cell>
          <cell r="M1650">
            <v>31</v>
          </cell>
          <cell r="N1650" t="str">
            <v>RESOLUCION</v>
          </cell>
          <cell r="O1650">
            <v>584</v>
          </cell>
          <cell r="P1650">
            <v>43140</v>
          </cell>
          <cell r="Q1650" t="str">
            <v>AYUDA TEMPORAL A LAS FAMILIAS DE VARIAS LOCALIDADES, PARA RELOCALIZACIÓN DE HOGARES LOCALIZADOS EN ZONAS DE ALTO RIESGO NO MITIGABLE ID:2012-18-14360, LOCALIDAD:18 RAFAEL URIBE URIBE, UPZ:55 DIANA TURBAY</v>
          </cell>
          <cell r="R1650">
            <v>3752413</v>
          </cell>
          <cell r="S1650">
            <v>536059</v>
          </cell>
          <cell r="T1650">
            <v>0</v>
          </cell>
          <cell r="U1650">
            <v>3216354</v>
          </cell>
          <cell r="V1650">
            <v>3216354</v>
          </cell>
        </row>
        <row r="1651">
          <cell r="J1651">
            <v>1013</v>
          </cell>
          <cell r="K1651">
            <v>43140</v>
          </cell>
          <cell r="L1651" t="str">
            <v>MARIA FANNY PERDOMO AMAYA</v>
          </cell>
          <cell r="M1651">
            <v>31</v>
          </cell>
          <cell r="N1651" t="str">
            <v>RESOLUCION</v>
          </cell>
          <cell r="O1651">
            <v>883</v>
          </cell>
          <cell r="P1651">
            <v>43140</v>
          </cell>
          <cell r="Q1651" t="str">
            <v>VUR de la actual vigencia de acuerdo con el Decreto 255 de 2013. LOCALIDAD: CIUDAD BOLIVAR; BARRIO: PARAISO QUIBA; ID: 2015-Q04-03692</v>
          </cell>
          <cell r="R1651">
            <v>39062100</v>
          </cell>
          <cell r="S1651">
            <v>0</v>
          </cell>
          <cell r="T1651">
            <v>0</v>
          </cell>
          <cell r="U1651">
            <v>39062100</v>
          </cell>
          <cell r="V1651">
            <v>39062100</v>
          </cell>
        </row>
        <row r="1652">
          <cell r="J1652">
            <v>1016</v>
          </cell>
          <cell r="K1652">
            <v>43140</v>
          </cell>
          <cell r="L1652" t="str">
            <v>ANGGIE JULIETH MARENTE BUSTOS</v>
          </cell>
          <cell r="M1652">
            <v>31</v>
          </cell>
          <cell r="N1652" t="str">
            <v>RESOLUCION</v>
          </cell>
          <cell r="O1652">
            <v>767</v>
          </cell>
          <cell r="P1652">
            <v>43140</v>
          </cell>
          <cell r="Q1652" t="str">
            <v>Asignacion del instrumento financiero a las familias ocupantes del predio que hayan superado la fase de verificacion dentro  del marco del Decreto 457 de 2017. LOCALIDAD: KENNEDY; BARRIO: VEREDITAS; ID: 2018-8-15017</v>
          </cell>
          <cell r="R1652">
            <v>54686940</v>
          </cell>
          <cell r="S1652">
            <v>0</v>
          </cell>
          <cell r="T1652">
            <v>0</v>
          </cell>
          <cell r="U1652">
            <v>54686940</v>
          </cell>
          <cell r="V1652">
            <v>54686940</v>
          </cell>
        </row>
        <row r="1653">
          <cell r="J1653">
            <v>1017</v>
          </cell>
          <cell r="K1653">
            <v>43140</v>
          </cell>
          <cell r="L1653" t="str">
            <v>BLANCA LEONOR AREVALO CAICEDO</v>
          </cell>
          <cell r="M1653">
            <v>31</v>
          </cell>
          <cell r="N1653" t="str">
            <v>RESOLUCION</v>
          </cell>
          <cell r="O1653">
            <v>766</v>
          </cell>
          <cell r="P1653">
            <v>43140</v>
          </cell>
          <cell r="Q1653" t="str">
            <v>Asignacion del instrumento financiero a las familias ocupantes del predio que hayan superado la fase de verificacion dentro  del marco del Decreto 457 de 2017. LOCALIDAD: KENNEDY; BARRIO: VEREDITAS; ID: 2018-8-383906</v>
          </cell>
          <cell r="R1653">
            <v>54686940</v>
          </cell>
          <cell r="S1653">
            <v>0</v>
          </cell>
          <cell r="T1653">
            <v>0</v>
          </cell>
          <cell r="U1653">
            <v>54686940</v>
          </cell>
          <cell r="V1653">
            <v>54686940</v>
          </cell>
        </row>
        <row r="1654">
          <cell r="J1654">
            <v>1018</v>
          </cell>
          <cell r="K1654">
            <v>43140</v>
          </cell>
          <cell r="L1654" t="str">
            <v>ANGELICA  CARO BERMUDEZ</v>
          </cell>
          <cell r="M1654">
            <v>31</v>
          </cell>
          <cell r="N1654" t="str">
            <v>RESOLUCION</v>
          </cell>
          <cell r="O1654">
            <v>765</v>
          </cell>
          <cell r="P1654">
            <v>43140</v>
          </cell>
          <cell r="Q1654" t="str">
            <v>Asignacion del instrumento financiero a las familias ocupantes del predio que hayan superado la fase de verificacion dentro  del marco del Decreto 457 de 2017. LOCALIDAD: KENNEDY; BARRIO: VEREDITAS; ID: 2018-8-383899</v>
          </cell>
          <cell r="R1654">
            <v>54686940</v>
          </cell>
          <cell r="S1654">
            <v>0</v>
          </cell>
          <cell r="T1654">
            <v>0</v>
          </cell>
          <cell r="U1654">
            <v>54686940</v>
          </cell>
          <cell r="V1654">
            <v>54686940</v>
          </cell>
        </row>
        <row r="1655">
          <cell r="J1655">
            <v>1020</v>
          </cell>
          <cell r="K1655">
            <v>43140</v>
          </cell>
          <cell r="L1655" t="str">
            <v>MARIA INES GALINDO CASTEBLANCO</v>
          </cell>
          <cell r="M1655">
            <v>31</v>
          </cell>
          <cell r="N1655" t="str">
            <v>RESOLUCION</v>
          </cell>
          <cell r="O1655">
            <v>764</v>
          </cell>
          <cell r="P1655">
            <v>43140</v>
          </cell>
          <cell r="Q1655" t="str">
            <v>Asignacion del instrumento financiero a las familias ocupantes del predio que hayan superado la fase de verificacion dentro  del marco del Decreto 457 de 2017. LOCALIDAD: KENNEDY; BARRIO: VEREDITAS; ID: 2017-8-383639</v>
          </cell>
          <cell r="R1655">
            <v>54686940</v>
          </cell>
          <cell r="S1655">
            <v>0</v>
          </cell>
          <cell r="T1655">
            <v>0</v>
          </cell>
          <cell r="U1655">
            <v>54686940</v>
          </cell>
          <cell r="V1655">
            <v>54686940</v>
          </cell>
        </row>
        <row r="1656">
          <cell r="J1656">
            <v>1023</v>
          </cell>
          <cell r="K1656">
            <v>43140</v>
          </cell>
          <cell r="L1656" t="str">
            <v>OLGA LUCIA MORALES RICO</v>
          </cell>
          <cell r="M1656">
            <v>31</v>
          </cell>
          <cell r="N1656" t="str">
            <v>RESOLUCION</v>
          </cell>
          <cell r="O1656">
            <v>763</v>
          </cell>
          <cell r="P1656">
            <v>43140</v>
          </cell>
          <cell r="Q1656" t="str">
            <v>Asignacion del instrumento financiero a las familias ocupantes del predio que hayan superado la fase de verificacion dentro  del marco del Decreto 457 de 2017. LOCALIDAD: KENNEDY; BARRIO: VEREDITAS; ID: 2017-8-383717</v>
          </cell>
          <cell r="R1656">
            <v>54686940</v>
          </cell>
          <cell r="S1656">
            <v>0</v>
          </cell>
          <cell r="T1656">
            <v>0</v>
          </cell>
          <cell r="U1656">
            <v>54686940</v>
          </cell>
          <cell r="V1656">
            <v>0</v>
          </cell>
        </row>
        <row r="1657">
          <cell r="J1657">
            <v>1024</v>
          </cell>
          <cell r="K1657">
            <v>43140</v>
          </cell>
          <cell r="L1657" t="str">
            <v>EDINSON  LOPEZ RODRIGUEZ</v>
          </cell>
          <cell r="M1657">
            <v>31</v>
          </cell>
          <cell r="N1657" t="str">
            <v>RESOLUCION</v>
          </cell>
          <cell r="O1657">
            <v>760</v>
          </cell>
          <cell r="P1657">
            <v>43140</v>
          </cell>
          <cell r="Q1657" t="str">
            <v>Asignacion del instrumento financiero a las familias ocupantes del predio que hayan superado la fase de verificacion dentro  del marco del Decreto 457 de 2017. LOCALIDAD: KENNEDY; BARRIO: VEREDITAS; ID: 2017-8-383895</v>
          </cell>
          <cell r="R1657">
            <v>54686940</v>
          </cell>
          <cell r="S1657">
            <v>0</v>
          </cell>
          <cell r="T1657">
            <v>0</v>
          </cell>
          <cell r="U1657">
            <v>54686940</v>
          </cell>
          <cell r="V1657">
            <v>54686940</v>
          </cell>
        </row>
        <row r="1658">
          <cell r="J1658">
            <v>1025</v>
          </cell>
          <cell r="K1658">
            <v>43140</v>
          </cell>
          <cell r="L1658" t="str">
            <v>EDWARD ANDRES MARENTE BUSTOS</v>
          </cell>
          <cell r="M1658">
            <v>31</v>
          </cell>
          <cell r="N1658" t="str">
            <v>RESOLUCION</v>
          </cell>
          <cell r="O1658">
            <v>761</v>
          </cell>
          <cell r="P1658">
            <v>43140</v>
          </cell>
          <cell r="Q1658" t="str">
            <v>Asignacion del instrumento financiero a las familias ocupantes del predio que hayan superado la fase de verificacion dentro  del marco del Decreto 457 de 2017. LOCALIDAD: KENNEDY; BARRIO: VEREDITAS; ID: 2018-8-15015</v>
          </cell>
          <cell r="R1658">
            <v>54686940</v>
          </cell>
          <cell r="S1658">
            <v>0</v>
          </cell>
          <cell r="T1658">
            <v>0</v>
          </cell>
          <cell r="U1658">
            <v>54686940</v>
          </cell>
          <cell r="V1658">
            <v>54686940</v>
          </cell>
        </row>
        <row r="1659">
          <cell r="J1659">
            <v>1026</v>
          </cell>
          <cell r="K1659">
            <v>43140</v>
          </cell>
          <cell r="L1659" t="str">
            <v>LIZETH PAOLA VILLA YAGUARA</v>
          </cell>
          <cell r="M1659">
            <v>31</v>
          </cell>
          <cell r="N1659" t="str">
            <v>RESOLUCION</v>
          </cell>
          <cell r="O1659">
            <v>759</v>
          </cell>
          <cell r="P1659">
            <v>43140</v>
          </cell>
          <cell r="Q1659" t="str">
            <v>Asignacion del instrumento financiero a las familias ocupantes del predio que hayan superado la fase de verificacion dentro  del marco del Decreto 457 de 2017. LOCALIDAD: KENNEDY; BARRIO: VEREDITAS; ID: 2017-8-383839</v>
          </cell>
          <cell r="R1659">
            <v>54686940</v>
          </cell>
          <cell r="S1659">
            <v>0</v>
          </cell>
          <cell r="T1659">
            <v>0</v>
          </cell>
          <cell r="U1659">
            <v>54686940</v>
          </cell>
          <cell r="V1659">
            <v>54686940</v>
          </cell>
        </row>
        <row r="1660">
          <cell r="J1660">
            <v>1027</v>
          </cell>
          <cell r="K1660">
            <v>43140</v>
          </cell>
          <cell r="L1660" t="str">
            <v>DOLORES  MUNAR DE LOMBANA</v>
          </cell>
          <cell r="M1660">
            <v>31</v>
          </cell>
          <cell r="N1660" t="str">
            <v>RESOLUCION</v>
          </cell>
          <cell r="O1660">
            <v>757</v>
          </cell>
          <cell r="P1660">
            <v>43140</v>
          </cell>
          <cell r="Q1660" t="str">
            <v>VUR de la actual vigencia de acuerdo con el Decreto 255 de 2013. LOCALIDAD: USAQUEN; BARRIO:CERRO NORTE; ID: 2006-1-9146</v>
          </cell>
          <cell r="R1660">
            <v>39062100</v>
          </cell>
          <cell r="S1660">
            <v>0</v>
          </cell>
          <cell r="T1660">
            <v>0</v>
          </cell>
          <cell r="U1660">
            <v>39062100</v>
          </cell>
          <cell r="V1660">
            <v>39062100</v>
          </cell>
        </row>
        <row r="1661">
          <cell r="J1661">
            <v>1030</v>
          </cell>
          <cell r="K1661">
            <v>43143</v>
          </cell>
          <cell r="L1661" t="str">
            <v>VICTOR JAVIER RODRIGUEZ GARZON</v>
          </cell>
          <cell r="M1661">
            <v>31</v>
          </cell>
          <cell r="N1661" t="str">
            <v>RESOLUCION</v>
          </cell>
          <cell r="O1661">
            <v>680</v>
          </cell>
          <cell r="P1661">
            <v>43143</v>
          </cell>
          <cell r="Q1661" t="str">
            <v>AYUDA TEMPORAL A LAS FAMILIAS DE VARIAS LOCALIDADES, PARA RELOCALIZACIÓN DE HOGARES LOCALIZADOS EN ZONAS DE ALTO RIESGO NO MITIGABLE ID:2012-18-14327, LOCALIDAD:18 RAFAEL URIBE URIBE, UPZ:55 DIANA TURBAY</v>
          </cell>
          <cell r="R1661">
            <v>4986969</v>
          </cell>
          <cell r="S1661">
            <v>0</v>
          </cell>
          <cell r="T1661">
            <v>0</v>
          </cell>
          <cell r="U1661">
            <v>4986969</v>
          </cell>
          <cell r="V1661">
            <v>3068904</v>
          </cell>
        </row>
        <row r="1662">
          <cell r="J1662">
            <v>1031</v>
          </cell>
          <cell r="K1662">
            <v>43143</v>
          </cell>
          <cell r="L1662" t="str">
            <v>ANA GLORIA GIRALDO ROJAS</v>
          </cell>
          <cell r="M1662">
            <v>31</v>
          </cell>
          <cell r="N1662" t="str">
            <v>RESOLUCION</v>
          </cell>
          <cell r="O1662">
            <v>681</v>
          </cell>
          <cell r="P1662">
            <v>43143</v>
          </cell>
          <cell r="Q1662" t="str">
            <v>AYUDA TEMPORAL A LAS FAMILIAS DE VARIAS LOCALIDADES, PARA RELOCALIZACIÓN DE HOGARES LOCALIZADOS EN ZONAS DE ALTO RIESGO NO MITIGABLE ID:2012-5-14149, LOCALIDAD:05 USME, UPZ:56 DANUBIO</v>
          </cell>
          <cell r="R1662">
            <v>3094182</v>
          </cell>
          <cell r="S1662">
            <v>0</v>
          </cell>
          <cell r="T1662">
            <v>0</v>
          </cell>
          <cell r="U1662">
            <v>3094182</v>
          </cell>
          <cell r="V1662">
            <v>1326078</v>
          </cell>
        </row>
        <row r="1663">
          <cell r="J1663">
            <v>1032</v>
          </cell>
          <cell r="K1663">
            <v>43143</v>
          </cell>
          <cell r="L1663" t="str">
            <v>GLORIA INES RICO BERNAL</v>
          </cell>
          <cell r="M1663">
            <v>31</v>
          </cell>
          <cell r="N1663" t="str">
            <v>RESOLUCION</v>
          </cell>
          <cell r="O1663">
            <v>649</v>
          </cell>
          <cell r="P1663">
            <v>43143</v>
          </cell>
          <cell r="Q1663" t="str">
            <v>AYUDA TEMPORAL A LAS FAMILIAS DE VARIAS LOCALIDADES, PARA RELOCALIZACIÓN DE HOGARES LOCALIZADOS EN ZONAS DE ALTO RIESGO NO MITIGABLE ID:2012-4-14203, LOCALIDAD:04 SAN CRISTÓBAL, UPZ:32 SAN BLAS, SECTOR:</v>
          </cell>
          <cell r="R1663">
            <v>5598996</v>
          </cell>
          <cell r="S1663">
            <v>0</v>
          </cell>
          <cell r="T1663">
            <v>0</v>
          </cell>
          <cell r="U1663">
            <v>5598996</v>
          </cell>
          <cell r="V1663">
            <v>3445536</v>
          </cell>
        </row>
        <row r="1664">
          <cell r="J1664">
            <v>1033</v>
          </cell>
          <cell r="K1664">
            <v>43143</v>
          </cell>
          <cell r="L1664" t="str">
            <v>MARTHA CECILIA LASSO MACHADO</v>
          </cell>
          <cell r="M1664">
            <v>31</v>
          </cell>
          <cell r="N1664" t="str">
            <v>RESOLUCION</v>
          </cell>
          <cell r="O1664">
            <v>648</v>
          </cell>
          <cell r="P1664">
            <v>43143</v>
          </cell>
          <cell r="Q1664" t="str">
            <v>AYUDA TEMPORAL A LAS FAMILIAS DE VARIAS LOCALIDADES, PARA RELOCALIZACIÓN DE HOGARES LOCALIZADOS EN ZONAS DE ALTO RIESGO NO MITIGABLE ID:2011-19-12867, LOCALIDAD:19 CIUDAD BOLÍVAR, UPZ:67 LUCERO, SECTOR:</v>
          </cell>
          <cell r="R1664">
            <v>2924376</v>
          </cell>
          <cell r="S1664">
            <v>417768</v>
          </cell>
          <cell r="T1664">
            <v>0</v>
          </cell>
          <cell r="U1664">
            <v>2506608</v>
          </cell>
          <cell r="V1664">
            <v>2506608</v>
          </cell>
        </row>
        <row r="1665">
          <cell r="J1665">
            <v>1034</v>
          </cell>
          <cell r="K1665">
            <v>43143</v>
          </cell>
          <cell r="L1665" t="str">
            <v>FIDELIA  OTAVO</v>
          </cell>
          <cell r="M1665">
            <v>31</v>
          </cell>
          <cell r="N1665" t="str">
            <v>RESOLUCION</v>
          </cell>
          <cell r="O1665">
            <v>682</v>
          </cell>
          <cell r="P1665">
            <v>43143</v>
          </cell>
          <cell r="Q1665" t="str">
            <v>AYUDA TEMPORAL A LAS FAMILIAS DE VARIAS LOCALIDADES, PARA RELOCALIZACIÓN DE HOGARES LOCALIZADOS EN ZONAS DE ALTO RIESGO NO MITIGABLE ID:2011-19-13704, LOCALIDAD:19 CIUDAD BOLÍVAR, UPZ:67 LUCERO,</v>
          </cell>
          <cell r="R1665">
            <v>2924376</v>
          </cell>
          <cell r="S1665">
            <v>835536</v>
          </cell>
          <cell r="T1665">
            <v>0</v>
          </cell>
          <cell r="U1665">
            <v>2088840</v>
          </cell>
          <cell r="V1665">
            <v>2088840</v>
          </cell>
        </row>
        <row r="1666">
          <cell r="J1666">
            <v>1035</v>
          </cell>
          <cell r="K1666">
            <v>43143</v>
          </cell>
          <cell r="L1666" t="str">
            <v>PEDRO ISMAEL RICO BERNAL</v>
          </cell>
          <cell r="M1666">
            <v>31</v>
          </cell>
          <cell r="N1666" t="str">
            <v>RESOLUCION</v>
          </cell>
          <cell r="O1666">
            <v>620</v>
          </cell>
          <cell r="P1666">
            <v>43143</v>
          </cell>
          <cell r="Q1666" t="str">
            <v>AYUDA TEMPORAL A LAS FAMILIAS DE VARIAS LOCALIDADES, PARA RELOCALIZACIÓN DE HOGARES LOCALIZADOS EN ZONAS DE ALTO RIESGO NO MITIGABLE ID:2012-4-14205, LOCALIDAD:04 SAN CRISTÓBAL, UPZ:32 SAN BLAS, SECTOR:</v>
          </cell>
          <cell r="R1666">
            <v>4795154</v>
          </cell>
          <cell r="S1666">
            <v>0</v>
          </cell>
          <cell r="T1666">
            <v>0</v>
          </cell>
          <cell r="U1666">
            <v>4795154</v>
          </cell>
          <cell r="V1666">
            <v>1475432</v>
          </cell>
        </row>
        <row r="1667">
          <cell r="J1667">
            <v>1036</v>
          </cell>
          <cell r="K1667">
            <v>43143</v>
          </cell>
          <cell r="L1667" t="str">
            <v>DIANA PAOLA ARIAS CASTILLO</v>
          </cell>
          <cell r="M1667">
            <v>31</v>
          </cell>
          <cell r="N1667" t="str">
            <v>RESOLUCION</v>
          </cell>
          <cell r="O1667">
            <v>683</v>
          </cell>
          <cell r="P1667">
            <v>43143</v>
          </cell>
          <cell r="Q1667" t="str">
            <v>AYUDA TEMPORAL A LAS FAMILIAS DE VARIAS LOCALIDADES, PARA RELOCALIZACIÓN DE HOGARES LOCALIZADOS EN ZONAS DE ALTO RIESGO NO MITIGABLE ID:2012-ALES-231, LOCALIDAD:19 CIUDAD BOLÍVAR, UPZ:69 ISMAEL PERDOMO</v>
          </cell>
          <cell r="R1667">
            <v>3157315</v>
          </cell>
          <cell r="S1667">
            <v>451045</v>
          </cell>
          <cell r="T1667">
            <v>0</v>
          </cell>
          <cell r="U1667">
            <v>2706270</v>
          </cell>
          <cell r="V1667">
            <v>2706270</v>
          </cell>
        </row>
        <row r="1668">
          <cell r="J1668">
            <v>1037</v>
          </cell>
          <cell r="K1668">
            <v>43143</v>
          </cell>
          <cell r="L1668" t="str">
            <v>OLGA LUCIA GONZALEZ AREVALO</v>
          </cell>
          <cell r="M1668">
            <v>31</v>
          </cell>
          <cell r="N1668" t="str">
            <v>RESOLUCION</v>
          </cell>
          <cell r="O1668">
            <v>621</v>
          </cell>
          <cell r="P1668">
            <v>43143</v>
          </cell>
          <cell r="Q1668" t="str">
            <v>AYUDA TEMPORAL A LAS FAMILIAS DE VARIAS LOCALIDADES, PARA RELOCALIZACIÓN DE HOGARES LOCALIZADOS EN ZONAS DE ALTO RIESGO NO MITIGABLE ID:2003-19-5062, LOCALIDAD:19 CIUDAD BOLÍVAR, UPZ:69 ISMAEL PERDOMO, SECTOR:ALTOS DE LA ESTANCIA</v>
          </cell>
          <cell r="R1668">
            <v>3383254</v>
          </cell>
          <cell r="S1668">
            <v>0</v>
          </cell>
          <cell r="T1668">
            <v>0</v>
          </cell>
          <cell r="U1668">
            <v>3383254</v>
          </cell>
          <cell r="V1668">
            <v>1449966</v>
          </cell>
        </row>
        <row r="1669">
          <cell r="J1669">
            <v>1038</v>
          </cell>
          <cell r="K1669">
            <v>43143</v>
          </cell>
          <cell r="L1669" t="str">
            <v>ANA CRISTINA GONZALEZ ESTRADA</v>
          </cell>
          <cell r="M1669">
            <v>31</v>
          </cell>
          <cell r="N1669" t="str">
            <v>RESOLUCION</v>
          </cell>
          <cell r="O1669">
            <v>622</v>
          </cell>
          <cell r="P1669">
            <v>43143</v>
          </cell>
          <cell r="Q1669" t="str">
            <v>AYUDA TEMPORAL A LAS FAMILIAS DE VARIAS LOCALIDADES, PARA RELOCALIZACIÓN DE HOGARES LOCALIZADOS EN ZONAS DE ALTO RIESGO NO MITIGABLE ID:2011-4-12696, LOCALIDAD:04 SAN CRISTÓBAL, UPZ:32 SAN BLAS, SECTOR:</v>
          </cell>
          <cell r="R1669">
            <v>2582006</v>
          </cell>
          <cell r="S1669">
            <v>368858</v>
          </cell>
          <cell r="T1669">
            <v>0</v>
          </cell>
          <cell r="U1669">
            <v>2213148</v>
          </cell>
          <cell r="V1669">
            <v>2213148</v>
          </cell>
        </row>
        <row r="1670">
          <cell r="J1670">
            <v>1039</v>
          </cell>
          <cell r="K1670">
            <v>43143</v>
          </cell>
          <cell r="L1670" t="str">
            <v>MARIA STELLA PEÑA VELOSA</v>
          </cell>
          <cell r="M1670">
            <v>31</v>
          </cell>
          <cell r="N1670" t="str">
            <v>RESOLUCION</v>
          </cell>
          <cell r="O1670">
            <v>684</v>
          </cell>
          <cell r="P1670">
            <v>43143</v>
          </cell>
          <cell r="Q1670" t="str">
            <v>AYUDA TEMPORAL A LAS FAMILIAS DE VARIAS LOCALIDADES, PARA RELOCALIZACIÓN DE HOGARES LOCALIZADOS EN ZONAS DE ALTO RIESGO NO MITIGABLE ID:2011-4-12659, LOCALIDAD:04 SAN CRISTÓBAL, UPZ:32 SAN BLAS.</v>
          </cell>
          <cell r="R1670">
            <v>6233708</v>
          </cell>
          <cell r="S1670">
            <v>0</v>
          </cell>
          <cell r="T1670">
            <v>0</v>
          </cell>
          <cell r="U1670">
            <v>6233708</v>
          </cell>
          <cell r="V1670">
            <v>3836128</v>
          </cell>
        </row>
        <row r="1671">
          <cell r="J1671">
            <v>1040</v>
          </cell>
          <cell r="K1671">
            <v>43143</v>
          </cell>
          <cell r="L1671" t="str">
            <v>MARTHA CECILIA RUBIO ALVIS</v>
          </cell>
          <cell r="M1671">
            <v>31</v>
          </cell>
          <cell r="N1671" t="str">
            <v>RESOLUCION</v>
          </cell>
          <cell r="O1671">
            <v>623</v>
          </cell>
          <cell r="P1671">
            <v>43143</v>
          </cell>
          <cell r="Q1671" t="str">
            <v>AYUDA TEMPORAL A LAS FAMILIAS DE VARIAS LOCALIDADES, PARA RELOCALIZACIÓN DE HOGARES LOCALIZADOS EN ZONAS DE ALTO RIESGO NO MITIGABLE ID:2015-Q09-03181, LOCALIDAD:19 CIUDAD BOLÍVAR, UPZ:68 EL TESORO, SECTOR:QUEBRADA TROMPETA</v>
          </cell>
          <cell r="R1671">
            <v>6713226</v>
          </cell>
          <cell r="S1671">
            <v>0</v>
          </cell>
          <cell r="T1671">
            <v>0</v>
          </cell>
          <cell r="U1671">
            <v>6713226</v>
          </cell>
          <cell r="V1671">
            <v>4131216</v>
          </cell>
        </row>
        <row r="1672">
          <cell r="J1672">
            <v>1041</v>
          </cell>
          <cell r="K1672">
            <v>43143</v>
          </cell>
          <cell r="L1672" t="str">
            <v>SANDRA MILENA LESMES RODRIGUEZ</v>
          </cell>
          <cell r="M1672">
            <v>31</v>
          </cell>
          <cell r="N1672" t="str">
            <v>RESOLUCION</v>
          </cell>
          <cell r="O1672">
            <v>685</v>
          </cell>
          <cell r="P1672">
            <v>43143</v>
          </cell>
          <cell r="Q1672" t="str">
            <v>AYUDA TEMPORAL A LAS FAMILIAS DE VARIAS LOCALIDADES, PARA RELOCALIZACIÓN DE HOGARES LOCALIZADOS EN ZONAS DE ALTO RIESGO NO MITIGABLE ID:2011-19-12628, LOCALIDAD:19 CIUDAD BOLÍVAR, UPZ:68 EL TESORO, SECTOR:OLA INVERNAL 2010 FOPAE</v>
          </cell>
          <cell r="R1672">
            <v>2845920</v>
          </cell>
          <cell r="S1672">
            <v>406560</v>
          </cell>
          <cell r="T1672">
            <v>0</v>
          </cell>
          <cell r="U1672">
            <v>2439360</v>
          </cell>
          <cell r="V1672">
            <v>2439360</v>
          </cell>
        </row>
        <row r="1673">
          <cell r="J1673">
            <v>1042</v>
          </cell>
          <cell r="K1673">
            <v>43143</v>
          </cell>
          <cell r="L1673" t="str">
            <v>ADELA  BERMUDEZ FORERO</v>
          </cell>
          <cell r="M1673">
            <v>31</v>
          </cell>
          <cell r="N1673" t="str">
            <v>RESOLUCION</v>
          </cell>
          <cell r="O1673">
            <v>686</v>
          </cell>
          <cell r="P1673">
            <v>43143</v>
          </cell>
          <cell r="Q1673" t="str">
            <v>AYUDA TEMPORAL A LAS FAMILIAS DE VARIAS LOCALIDADES, PARA RELOCALIZACIÓN DE HOGARES LOCALIZADOS EN ZONAS DE ALTO RIESGO NO MITIGABLE ID:2016-08-14824, LOCALIDAD:08 KENNEDY, UPZ:82 PATIO BONITO, SECTOR:PALMITAS</v>
          </cell>
          <cell r="R1673">
            <v>4986969</v>
          </cell>
          <cell r="S1673">
            <v>0</v>
          </cell>
          <cell r="T1673">
            <v>0</v>
          </cell>
          <cell r="U1673">
            <v>4986969</v>
          </cell>
          <cell r="V1673">
            <v>3068904</v>
          </cell>
        </row>
        <row r="1674">
          <cell r="J1674">
            <v>1043</v>
          </cell>
          <cell r="K1674">
            <v>43143</v>
          </cell>
          <cell r="L1674" t="str">
            <v>HUMBERTO  LOZANO SILVA</v>
          </cell>
          <cell r="M1674">
            <v>31</v>
          </cell>
          <cell r="N1674" t="str">
            <v>RESOLUCION</v>
          </cell>
          <cell r="O1674">
            <v>687</v>
          </cell>
          <cell r="P1674">
            <v>43143</v>
          </cell>
          <cell r="Q1674" t="str">
            <v>AYUDA TEMPORAL A LAS FAMILIAS DE VARIAS LOCALIDADES, PARA RELOCALIZACIÓN DE HOGARES LOCALIZADOS EN ZONAS DE ALTO RIESGO NO MITIGABLE ID:2015-Q03-03386, LOCALIDAD:19 CIUDAD BOLÍVAR, UPZ:67 LUCERO, SECTOR:LIMAS</v>
          </cell>
          <cell r="R1674">
            <v>5612594</v>
          </cell>
          <cell r="S1674">
            <v>0</v>
          </cell>
          <cell r="T1674">
            <v>0</v>
          </cell>
          <cell r="U1674">
            <v>5612594</v>
          </cell>
          <cell r="V1674">
            <v>3453904</v>
          </cell>
        </row>
        <row r="1675">
          <cell r="J1675">
            <v>1044</v>
          </cell>
          <cell r="K1675">
            <v>43143</v>
          </cell>
          <cell r="L1675" t="str">
            <v>LUZ MARINA DIOSA RENDON</v>
          </cell>
          <cell r="M1675">
            <v>31</v>
          </cell>
          <cell r="N1675" t="str">
            <v>RESOLUCION</v>
          </cell>
          <cell r="O1675">
            <v>624</v>
          </cell>
          <cell r="P1675">
            <v>43143</v>
          </cell>
          <cell r="Q1675" t="str">
            <v>AYUDA TEMPORAL A LAS FAMILIAS DE VARIAS LOCALIDADES, PARA RELOCALIZACIÓN DE HOGARES LOCALIZADOS EN ZONAS DE ALTO RIESGO NO MITIGABLE ID:2014-Q21-00704, LOCALIDAD:19 CIUDAD BOLÍVAR, UPZ:67 LUCERO, SECTOR:PEÑA COLORADA</v>
          </cell>
          <cell r="R1675">
            <v>920976</v>
          </cell>
          <cell r="S1675">
            <v>460488</v>
          </cell>
          <cell r="T1675">
            <v>0</v>
          </cell>
          <cell r="U1675">
            <v>460488</v>
          </cell>
          <cell r="V1675">
            <v>460488</v>
          </cell>
        </row>
        <row r="1676">
          <cell r="J1676">
            <v>1045</v>
          </cell>
          <cell r="K1676">
            <v>43143</v>
          </cell>
          <cell r="L1676" t="str">
            <v>MARIA INES MARTINEZ PINTO</v>
          </cell>
          <cell r="M1676">
            <v>31</v>
          </cell>
          <cell r="N1676" t="str">
            <v>RESOLUCION</v>
          </cell>
          <cell r="O1676">
            <v>688</v>
          </cell>
          <cell r="P1676">
            <v>43143</v>
          </cell>
          <cell r="Q1676" t="str">
            <v>AYUDA TEMPORAL A LAS FAMILIAS DE VARIAS LOCALIDADES, PARA RELOCALIZACIÓN DE HOGARES LOCALIZADOS EN ZONAS DE ALTO RIESGO NO MITIGABLE ID:2013000530, LOCALIDAD:19 CIUDAD BOLÍVAR, UPZ:67 LUCERO, SECTOR:QUEBRADA TROMPETA</v>
          </cell>
          <cell r="R1676">
            <v>6721000</v>
          </cell>
          <cell r="S1676">
            <v>0</v>
          </cell>
          <cell r="T1676">
            <v>0</v>
          </cell>
          <cell r="U1676">
            <v>6721000</v>
          </cell>
          <cell r="V1676">
            <v>4136000</v>
          </cell>
        </row>
        <row r="1677">
          <cell r="J1677">
            <v>1046</v>
          </cell>
          <cell r="K1677">
            <v>43143</v>
          </cell>
          <cell r="L1677" t="str">
            <v>ANADELIA  MELO JOYA</v>
          </cell>
          <cell r="M1677">
            <v>31</v>
          </cell>
          <cell r="N1677" t="str">
            <v>RESOLUCION</v>
          </cell>
          <cell r="O1677">
            <v>652</v>
          </cell>
          <cell r="P1677">
            <v>43143</v>
          </cell>
          <cell r="Q1677" t="str">
            <v>AYUDA TEMPORAL A LAS FAMILIAS DE VARIAS LOCALIDADES, PARA RELOCALIZACIÓN DE HOGARES LOCALIZADOS EN ZONAS DE ALTO RIESGO NO MITIGABLE ID:2003-19-5220, LOCALIDAD:19 CIUDAD BOLÍVAR, UPZ:69 ISMAEL PERDOMO, SECTOR:ALTOS DE LA ESTANCIA</v>
          </cell>
          <cell r="R1677">
            <v>3363507</v>
          </cell>
          <cell r="S1677">
            <v>480501</v>
          </cell>
          <cell r="T1677">
            <v>0</v>
          </cell>
          <cell r="U1677">
            <v>2883006</v>
          </cell>
          <cell r="V1677">
            <v>2883006</v>
          </cell>
        </row>
        <row r="1678">
          <cell r="J1678">
            <v>1047</v>
          </cell>
          <cell r="K1678">
            <v>43143</v>
          </cell>
          <cell r="L1678" t="str">
            <v>LUZ MARINA DIOSA RENDON</v>
          </cell>
          <cell r="M1678">
            <v>31</v>
          </cell>
          <cell r="N1678" t="str">
            <v>RESOLUCION</v>
          </cell>
          <cell r="O1678">
            <v>625</v>
          </cell>
          <cell r="P1678">
            <v>43143</v>
          </cell>
          <cell r="Q1678" t="str">
            <v>AYUDA TEMPORAL A LAS FAMILIAS DE VARIAS LOCALIDADES, PARA RELOCALIZACIÓN DE HOGARES LOCALIZADOS EN ZONAS DE ALTO RIESGO NO MITIGABLE ID:2014-Q21-00704, LOCALIDAD:19 CIUDAD BOLÍVAR, UPZ:67 LUCERO, SECTOR:PEÑA COLORADA</v>
          </cell>
          <cell r="R1678">
            <v>5525856</v>
          </cell>
          <cell r="S1678">
            <v>0</v>
          </cell>
          <cell r="T1678">
            <v>0</v>
          </cell>
          <cell r="U1678">
            <v>5525856</v>
          </cell>
          <cell r="V1678">
            <v>3223416</v>
          </cell>
        </row>
        <row r="1679">
          <cell r="J1679">
            <v>1048</v>
          </cell>
          <cell r="K1679">
            <v>43143</v>
          </cell>
          <cell r="L1679" t="str">
            <v>BARBARA  BOHORQUEZ CABALLERO</v>
          </cell>
          <cell r="M1679">
            <v>31</v>
          </cell>
          <cell r="N1679" t="str">
            <v>RESOLUCION</v>
          </cell>
          <cell r="O1679">
            <v>689</v>
          </cell>
          <cell r="P1679">
            <v>43143</v>
          </cell>
          <cell r="Q1679" t="str">
            <v>AYUDA TEMPORAL A LAS FAMILIAS DE VARIAS LOCALIDADES, PARA RELOCALIZACIÓN DE HOGARES LOCALIZADOS EN ZONAS DE ALTO RIESGO NO MITIGABLE ID:2004-5-5564, LOCALIDAD:05 USME, UPZ:57 GRAN YOMASA,</v>
          </cell>
          <cell r="R1679">
            <v>3523107</v>
          </cell>
          <cell r="S1679">
            <v>2516505</v>
          </cell>
          <cell r="T1679">
            <v>0</v>
          </cell>
          <cell r="U1679">
            <v>1006602</v>
          </cell>
          <cell r="V1679">
            <v>1006602</v>
          </cell>
        </row>
        <row r="1680">
          <cell r="J1680">
            <v>1049</v>
          </cell>
          <cell r="K1680">
            <v>43143</v>
          </cell>
          <cell r="L1680" t="str">
            <v>ARACELY  ARCE AGUDELO</v>
          </cell>
          <cell r="M1680">
            <v>31</v>
          </cell>
          <cell r="N1680" t="str">
            <v>RESOLUCION</v>
          </cell>
          <cell r="O1680">
            <v>653</v>
          </cell>
          <cell r="P1680">
            <v>43143</v>
          </cell>
          <cell r="Q1680" t="str">
            <v>AYUDA TEMPORAL A LAS FAMILIAS DE VARIAS LOCALIDADES, PARA RELOCALIZACIÓN DE HOGARES LOCALIZADOS EN ZONAS DE ALTO RIESGO NO MITIGABLE ID:2013000473, LOCALIDAD:19 CIUDAD BOLÍVAR, UPZ:67 LUCERO, SECTOR:QUEBRADA TROMPETA</v>
          </cell>
          <cell r="R1680">
            <v>3017000</v>
          </cell>
          <cell r="S1680">
            <v>862000</v>
          </cell>
          <cell r="T1680">
            <v>0</v>
          </cell>
          <cell r="U1680">
            <v>2155000</v>
          </cell>
          <cell r="V1680">
            <v>2155000</v>
          </cell>
        </row>
        <row r="1681">
          <cell r="J1681">
            <v>1050</v>
          </cell>
          <cell r="K1681">
            <v>43143</v>
          </cell>
          <cell r="L1681" t="str">
            <v>ALBERTO  CARDONA</v>
          </cell>
          <cell r="M1681">
            <v>31</v>
          </cell>
          <cell r="N1681" t="str">
            <v>RESOLUCION</v>
          </cell>
          <cell r="O1681">
            <v>626</v>
          </cell>
          <cell r="P1681">
            <v>43143</v>
          </cell>
          <cell r="Q1681" t="str">
            <v>AYUDA TEMPORAL A LAS FAMILIAS DE VARIAS LOCALIDADES, PARA RELOCALIZACIÓN DE HOGARES LOCALIZADOS EN ZONAS DE ALTO RIESGO NO MITIGABLE ID:2007-4-9373, LOCALIDAD:04 SAN CRISTÓBAL, UPZ:32 SAN BLAS, SECTOR:</v>
          </cell>
          <cell r="R1681">
            <v>2582006</v>
          </cell>
          <cell r="S1681">
            <v>368858</v>
          </cell>
          <cell r="T1681">
            <v>0</v>
          </cell>
          <cell r="U1681">
            <v>2213148</v>
          </cell>
          <cell r="V1681">
            <v>2213148</v>
          </cell>
        </row>
        <row r="1682">
          <cell r="J1682">
            <v>1051</v>
          </cell>
          <cell r="K1682">
            <v>43143</v>
          </cell>
          <cell r="L1682" t="str">
            <v>HILDA MARLENY PEREZ</v>
          </cell>
          <cell r="M1682">
            <v>31</v>
          </cell>
          <cell r="N1682" t="str">
            <v>RESOLUCION</v>
          </cell>
          <cell r="O1682">
            <v>654</v>
          </cell>
          <cell r="P1682">
            <v>43143</v>
          </cell>
          <cell r="Q1682" t="str">
            <v>AYUDA TEMPORAL A LAS FAMILIAS DE VARIAS LOCALIDADES, PARA RELOCALIZACIÓN DE HOGARES LOCALIZADOS EN ZONAS DE ALTO RIESGO NO MITIGABLE ID:2013000267, LOCALIDAD:04 SAN CRISTÓBAL, UPZ:51 LOS LIBERTADORES, SECTOR:QUEBRADA VEREJONES</v>
          </cell>
          <cell r="R1682">
            <v>5780541</v>
          </cell>
          <cell r="S1682">
            <v>0</v>
          </cell>
          <cell r="T1682">
            <v>0</v>
          </cell>
          <cell r="U1682">
            <v>5780541</v>
          </cell>
          <cell r="V1682">
            <v>3112599</v>
          </cell>
        </row>
        <row r="1683">
          <cell r="J1683">
            <v>1052</v>
          </cell>
          <cell r="K1683">
            <v>43143</v>
          </cell>
          <cell r="L1683" t="str">
            <v>YURY GISELL BERMUDEZ FORERO</v>
          </cell>
          <cell r="M1683">
            <v>31</v>
          </cell>
          <cell r="N1683" t="str">
            <v>RESOLUCION</v>
          </cell>
          <cell r="O1683">
            <v>690</v>
          </cell>
          <cell r="P1683">
            <v>43143</v>
          </cell>
          <cell r="Q1683" t="str">
            <v>AYUDA TEMPORAL A LAS FAMILIAS DE VARIAS LOCALIDADES, PARA RELOCALIZACIÓN DE HOGARES LOCALIZADOS EN ZONAS DE ALTO RIESGO NO MITIGABLE ID:2016-08-14813, LOCALIDAD:08 KENNEDY, UPZ:82 PATIO BONITO, SECTOR:PALMITAS</v>
          </cell>
          <cell r="R1683">
            <v>4929600</v>
          </cell>
          <cell r="S1683">
            <v>0</v>
          </cell>
          <cell r="T1683">
            <v>0</v>
          </cell>
          <cell r="U1683">
            <v>4929600</v>
          </cell>
          <cell r="V1683">
            <v>3033600</v>
          </cell>
        </row>
        <row r="1684">
          <cell r="J1684">
            <v>1053</v>
          </cell>
          <cell r="K1684">
            <v>43143</v>
          </cell>
          <cell r="L1684" t="str">
            <v>ALEXANDER JOAQUIN RODRIGUEZ LOPEZ</v>
          </cell>
          <cell r="M1684">
            <v>31</v>
          </cell>
          <cell r="N1684" t="str">
            <v>RESOLUCION</v>
          </cell>
          <cell r="O1684">
            <v>627</v>
          </cell>
          <cell r="P1684">
            <v>43143</v>
          </cell>
          <cell r="Q1684" t="str">
            <v>AYUDA TEMPORAL A LAS FAMILIAS DE VARIAS LOCALIDADES, PARA RELOCALIZACIÓN DE HOGARES LOCALIZADOS EN ZONAS DE ALTO RIESGO NO MITIGABLE ID:2014-Q03-01109, LOCALIDAD:19 CIUDAD BOLÍVAR, UPZ:66 SAN FRANCISCO, SECTOR:LIMAS</v>
          </cell>
          <cell r="R1684">
            <v>3157315</v>
          </cell>
          <cell r="S1684">
            <v>451045</v>
          </cell>
          <cell r="T1684">
            <v>0</v>
          </cell>
          <cell r="U1684">
            <v>2706270</v>
          </cell>
          <cell r="V1684">
            <v>2706270</v>
          </cell>
        </row>
        <row r="1685">
          <cell r="J1685">
            <v>1054</v>
          </cell>
          <cell r="K1685">
            <v>43143</v>
          </cell>
          <cell r="L1685" t="str">
            <v>JESUS LIBORIO GONZALEZ GALEANO</v>
          </cell>
          <cell r="M1685">
            <v>31</v>
          </cell>
          <cell r="N1685" t="str">
            <v>RESOLUCION</v>
          </cell>
          <cell r="O1685">
            <v>655</v>
          </cell>
          <cell r="P1685">
            <v>43143</v>
          </cell>
          <cell r="Q1685" t="str">
            <v>AYUDA TEMPORAL A LAS FAMILIAS DE VARIAS LOCALIDADES, PARA RELOCALIZACIÓN DE HOGARES LOCALIZADOS EN ZONAS DE ALTO RIESGO NO MITIGABLE ID:2012-ALES-65, LOCALIDAD:19 CIUDAD BOLÍVAR, UPZ:69 ISMAEL PERDOMO, SECTOR:ALTOS DE LA ESTANCIA</v>
          </cell>
          <cell r="R1685">
            <v>4329855</v>
          </cell>
          <cell r="S1685">
            <v>0</v>
          </cell>
          <cell r="T1685">
            <v>0</v>
          </cell>
          <cell r="U1685">
            <v>4329855</v>
          </cell>
          <cell r="V1685">
            <v>3848760</v>
          </cell>
        </row>
        <row r="1686">
          <cell r="J1686">
            <v>1055</v>
          </cell>
          <cell r="K1686">
            <v>43143</v>
          </cell>
          <cell r="L1686" t="str">
            <v>ALVARO  GUTIERREZ ARTUNDUAGA</v>
          </cell>
          <cell r="M1686">
            <v>31</v>
          </cell>
          <cell r="N1686" t="str">
            <v>RESOLUCION</v>
          </cell>
          <cell r="O1686">
            <v>628</v>
          </cell>
          <cell r="P1686">
            <v>43143</v>
          </cell>
          <cell r="Q1686" t="str">
            <v>AYUDA TEMPORAL A LAS FAMILIAS DE VARIAS LOCALIDADES, PARA RELOCALIZACIÓN DE HOGARES LOCALIZADOS EN ZONAS DE ALTO RIESGO NO MITIGABLE ID:2013000411, LOCALIDAD:04 SAN CRISTÓBAL, UPZ:51 LOS LIBERTADORES, SECTOR:QUEBRADA VEREJONES</v>
          </cell>
          <cell r="R1686">
            <v>3038112</v>
          </cell>
          <cell r="S1686">
            <v>434016</v>
          </cell>
          <cell r="T1686">
            <v>0</v>
          </cell>
          <cell r="U1686">
            <v>2604096</v>
          </cell>
          <cell r="V1686">
            <v>2604096</v>
          </cell>
        </row>
        <row r="1687">
          <cell r="J1687">
            <v>1056</v>
          </cell>
          <cell r="K1687">
            <v>43143</v>
          </cell>
          <cell r="L1687" t="str">
            <v>ELIZABETH  VEGA PARRA</v>
          </cell>
          <cell r="M1687">
            <v>31</v>
          </cell>
          <cell r="N1687" t="str">
            <v>RESOLUCION</v>
          </cell>
          <cell r="O1687">
            <v>691</v>
          </cell>
          <cell r="P1687">
            <v>43143</v>
          </cell>
          <cell r="Q1687" t="str">
            <v>AYUDA TEMPORAL A LAS FAMILIAS DE VARIAS LOCALIDADES, PARA RELOCALIZACIÓN DE HOGARES LOCALIZADOS EN ZONAS DE ALTO RIESGO NO MITIGABLE ID:2012-18-14356, LOCALIDAD:18 RAFAEL URIBE URIBE, UPZ:55 DIANA TURBAY, SECTOR:</v>
          </cell>
          <cell r="R1687">
            <v>6713226</v>
          </cell>
          <cell r="S1687">
            <v>0</v>
          </cell>
          <cell r="T1687">
            <v>0</v>
          </cell>
          <cell r="U1687">
            <v>6713226</v>
          </cell>
          <cell r="V1687">
            <v>4131216</v>
          </cell>
        </row>
        <row r="1688">
          <cell r="J1688">
            <v>1057</v>
          </cell>
          <cell r="K1688">
            <v>43143</v>
          </cell>
          <cell r="L1688" t="str">
            <v>YUDI KATERINE RAMIREZ RODRIGUEZ</v>
          </cell>
          <cell r="M1688">
            <v>31</v>
          </cell>
          <cell r="N1688" t="str">
            <v>RESOLUCION</v>
          </cell>
          <cell r="O1688">
            <v>656</v>
          </cell>
          <cell r="P1688">
            <v>43143</v>
          </cell>
          <cell r="Q1688" t="str">
            <v>AYUDA TEMPORAL A LAS FAMILIAS DE VARIAS LOCALIDADES, PARA RELOCALIZACIÓN DE HOGARES LOCALIZADOS EN ZONAS DE ALTO RIESGO NO MITIGABLE ID:2014-OTR-00882, LOCALIDAD:03 SANTA FE, UPZ:96 LOURDES, SECTOR:CASA 2</v>
          </cell>
          <cell r="R1688">
            <v>3518186</v>
          </cell>
          <cell r="S1688">
            <v>502598</v>
          </cell>
          <cell r="T1688">
            <v>0</v>
          </cell>
          <cell r="U1688">
            <v>3015588</v>
          </cell>
          <cell r="V1688">
            <v>3015588</v>
          </cell>
        </row>
        <row r="1689">
          <cell r="J1689">
            <v>1058</v>
          </cell>
          <cell r="K1689">
            <v>43143</v>
          </cell>
          <cell r="L1689" t="str">
            <v>MARINELA  GAONA GONZALEZ</v>
          </cell>
          <cell r="M1689">
            <v>31</v>
          </cell>
          <cell r="N1689" t="str">
            <v>RESOLUCION</v>
          </cell>
          <cell r="O1689">
            <v>629</v>
          </cell>
          <cell r="P1689">
            <v>43143</v>
          </cell>
          <cell r="Q1689" t="str">
            <v>AYUDA TEMPORAL A LAS FAMILIAS DE VARIAS LOCALIDADES, PARA RELOCALIZACIÓN DE HOGARES LOCALIZADOS EN ZONAS DE ALTO RIESGO NO MITIGABLE ID:2012-4-14293, LOCALIDAD:04 SAN CRISTÓBAL, UPZ:50 LA GLORIA, SECTOR:</v>
          </cell>
          <cell r="R1689">
            <v>3017000</v>
          </cell>
          <cell r="S1689">
            <v>431000</v>
          </cell>
          <cell r="T1689">
            <v>0</v>
          </cell>
          <cell r="U1689">
            <v>2586000</v>
          </cell>
          <cell r="V1689">
            <v>2586000</v>
          </cell>
        </row>
        <row r="1690">
          <cell r="J1690">
            <v>1059</v>
          </cell>
          <cell r="K1690">
            <v>43143</v>
          </cell>
          <cell r="L1690" t="str">
            <v>VICTORIA EUGENIA BENITEZ BASTIDAS</v>
          </cell>
          <cell r="M1690">
            <v>31</v>
          </cell>
          <cell r="N1690" t="str">
            <v>RESOLUCION</v>
          </cell>
          <cell r="O1690">
            <v>657</v>
          </cell>
          <cell r="P1690">
            <v>43143</v>
          </cell>
          <cell r="Q1690" t="str">
            <v>AYUDA TEMPORAL A LAS FAMILIAS DE VARIAS LOCALIDADES, PARA RELOCALIZACIÓN DE HOGARES LOCALIZADOS EN ZONAS DE ALTO RIESGO NO MITIGABLE ID:2012-19-14380, LOCALIDAD:19 CIUDAD BOLÍVAR, UPZ:68 EL TESORO</v>
          </cell>
          <cell r="R1690">
            <v>3698947</v>
          </cell>
          <cell r="S1690">
            <v>528421</v>
          </cell>
          <cell r="T1690">
            <v>0</v>
          </cell>
          <cell r="U1690">
            <v>3170526</v>
          </cell>
          <cell r="V1690">
            <v>3170526</v>
          </cell>
        </row>
        <row r="1691">
          <cell r="J1691">
            <v>1060</v>
          </cell>
          <cell r="K1691">
            <v>43143</v>
          </cell>
          <cell r="L1691" t="str">
            <v>MYRIAM JACQUELINE ABRIL CRUZ</v>
          </cell>
          <cell r="M1691">
            <v>31</v>
          </cell>
          <cell r="N1691" t="str">
            <v>RESOLUCION</v>
          </cell>
          <cell r="O1691">
            <v>692</v>
          </cell>
          <cell r="P1691">
            <v>43143</v>
          </cell>
          <cell r="Q1691" t="str">
            <v>AYUDA TEMPORAL A LAS FAMILIAS DE VARIAS LOCALIDADES, PARA RELOCALIZACIÓN DE HOGARES LOCALIZADOS EN ZONAS DE ALTO RIESGO NO MITIGABLE ID:2012-18-14319, LOCALIDAD:18 RAFAEL URIBE URIBE, UPZ:55 DIANA TURBAY,</v>
          </cell>
          <cell r="R1691">
            <v>3094182</v>
          </cell>
          <cell r="S1691">
            <v>442026</v>
          </cell>
          <cell r="T1691">
            <v>0</v>
          </cell>
          <cell r="U1691">
            <v>2652156</v>
          </cell>
          <cell r="V1691">
            <v>2652156</v>
          </cell>
        </row>
        <row r="1692">
          <cell r="J1692">
            <v>1061</v>
          </cell>
          <cell r="K1692">
            <v>43143</v>
          </cell>
          <cell r="L1692" t="str">
            <v>ERIKA STELLA RIOS WILCHES</v>
          </cell>
          <cell r="M1692">
            <v>31</v>
          </cell>
          <cell r="N1692" t="str">
            <v>RESOLUCION</v>
          </cell>
          <cell r="O1692">
            <v>658</v>
          </cell>
          <cell r="P1692">
            <v>43143</v>
          </cell>
          <cell r="Q1692" t="str">
            <v>AYUDA TEMPORAL A LAS FAMILIAS DE VARIAS LOCALIDADES, PARA RELOCALIZACIÓN DE HOGARES LOCALIZADOS EN ZONAS DE ALTO RIESGO NO MITIGABLE ID:2011-19-13384, LOCALIDAD:19 CIUDAD BOLÍVAR, UPZ:68 EL TESORO.</v>
          </cell>
          <cell r="R1692">
            <v>5754190</v>
          </cell>
          <cell r="S1692">
            <v>0</v>
          </cell>
          <cell r="T1692">
            <v>0</v>
          </cell>
          <cell r="U1692">
            <v>5754190</v>
          </cell>
          <cell r="V1692">
            <v>3541040</v>
          </cell>
        </row>
        <row r="1693">
          <cell r="J1693">
            <v>1062</v>
          </cell>
          <cell r="K1693">
            <v>43143</v>
          </cell>
          <cell r="L1693" t="str">
            <v>ALBA MARINA ARIAS DIAZ</v>
          </cell>
          <cell r="M1693">
            <v>31</v>
          </cell>
          <cell r="N1693" t="str">
            <v>RESOLUCION</v>
          </cell>
          <cell r="O1693">
            <v>693</v>
          </cell>
          <cell r="P1693">
            <v>43143</v>
          </cell>
          <cell r="Q1693" t="str">
            <v>AYUDA TEMPORAL A LAS FAMILIAS DE VARIAS LOCALIDADES, PARA RELOCALIZACIÓN DE HOGARES LOCALIZADOS EN ZONAS DE ALTO RIESGO NO MITIGABLE ID:2016-08-14804, LOCALIDAD:08 KENNEDY, UPZ:82 PATIO BONITO, SECTOR:PALMITAS</v>
          </cell>
          <cell r="R1693">
            <v>7480447</v>
          </cell>
          <cell r="S1693">
            <v>0</v>
          </cell>
          <cell r="T1693">
            <v>0</v>
          </cell>
          <cell r="U1693">
            <v>7480447</v>
          </cell>
          <cell r="V1693">
            <v>4603352</v>
          </cell>
        </row>
        <row r="1694">
          <cell r="J1694">
            <v>1063</v>
          </cell>
          <cell r="K1694">
            <v>43143</v>
          </cell>
          <cell r="L1694" t="str">
            <v>LUIS ALBERTO URREA LEMUS</v>
          </cell>
          <cell r="M1694">
            <v>31</v>
          </cell>
          <cell r="N1694" t="str">
            <v>RESOLUCION</v>
          </cell>
          <cell r="O1694">
            <v>650</v>
          </cell>
          <cell r="P1694">
            <v>43143</v>
          </cell>
          <cell r="Q1694" t="str">
            <v>AYUDA TEMPORAL A LAS FAMILIAS DE VARIAS LOCALIDADES, PARA RELOCALIZACIÓN DE HOGARES LOCALIZADOS EN ZONAS DE ALTO RIESGO NO MITIGABLE ID:2013-Q21-00354, LOCALIDAD:19 CIUDAD BOLÍVAR, UPZ:67 LUCERO, SECTOR:BRAZO DERECHO DE LIMAS</v>
          </cell>
          <cell r="R1694">
            <v>2586752</v>
          </cell>
          <cell r="S1694">
            <v>369536</v>
          </cell>
          <cell r="T1694">
            <v>0</v>
          </cell>
          <cell r="U1694">
            <v>2217216</v>
          </cell>
          <cell r="V1694">
            <v>2217216</v>
          </cell>
        </row>
        <row r="1695">
          <cell r="J1695">
            <v>1064</v>
          </cell>
          <cell r="K1695">
            <v>43143</v>
          </cell>
          <cell r="L1695" t="str">
            <v>JOSE BERCELI MOSUCHA MOYA</v>
          </cell>
          <cell r="M1695">
            <v>31</v>
          </cell>
          <cell r="N1695" t="str">
            <v>RESOLUCION</v>
          </cell>
          <cell r="O1695">
            <v>651</v>
          </cell>
          <cell r="P1695">
            <v>43143</v>
          </cell>
          <cell r="Q1695" t="str">
            <v>AYUDA TEMPORAL A LAS FAMILIAS DE VARIAS LOCALIDADES, PARA RELOCALIZACIÓN DE HOGARES LOCALIZADOS EN ZONAS DE ALTO RIESGO NO MITIGABLE ID:2013-Q22-00622, LOCALIDAD:04 SAN CRISTÓBAL, UPZ:32 SAN BLAS, SECTOR:FUCHA</v>
          </cell>
          <cell r="R1695">
            <v>3713850</v>
          </cell>
          <cell r="S1695">
            <v>0</v>
          </cell>
          <cell r="T1695">
            <v>0</v>
          </cell>
          <cell r="U1695">
            <v>3713850</v>
          </cell>
          <cell r="V1695">
            <v>1591650</v>
          </cell>
        </row>
        <row r="1696">
          <cell r="J1696">
            <v>1065</v>
          </cell>
          <cell r="K1696">
            <v>43143</v>
          </cell>
          <cell r="L1696" t="str">
            <v>JOSE LEONARDO LOZANO GUTIERREZ</v>
          </cell>
          <cell r="M1696">
            <v>31</v>
          </cell>
          <cell r="N1696" t="str">
            <v>RESOLUCION</v>
          </cell>
          <cell r="O1696">
            <v>659</v>
          </cell>
          <cell r="P1696">
            <v>43143</v>
          </cell>
          <cell r="Q1696" t="str">
            <v>AYUDA TEMPORAL A LAS FAMILIAS DE VARIAS LOCALIDADES, PARA RELOCALIZACIÓN DE HOGARES LOCALIZADOS EN ZONAS DE ALTO RIESGO NO MITIGABLE ID:2013000321, LOCALIDAD:19 CIUDAD BOLÍVAR, UPZ:67 LUCERO, SECTOR:PEÑA COLORADA</v>
          </cell>
          <cell r="R1696">
            <v>3463215</v>
          </cell>
          <cell r="S1696">
            <v>989490</v>
          </cell>
          <cell r="T1696">
            <v>0</v>
          </cell>
          <cell r="U1696">
            <v>2473725</v>
          </cell>
          <cell r="V1696">
            <v>2473725</v>
          </cell>
        </row>
        <row r="1697">
          <cell r="J1697">
            <v>1066</v>
          </cell>
          <cell r="K1697">
            <v>43143</v>
          </cell>
          <cell r="L1697" t="str">
            <v>JEINNY ANDREA NAVARRETE</v>
          </cell>
          <cell r="M1697">
            <v>31</v>
          </cell>
          <cell r="N1697" t="str">
            <v>RESOLUCION</v>
          </cell>
          <cell r="O1697">
            <v>694</v>
          </cell>
          <cell r="P1697">
            <v>43143</v>
          </cell>
          <cell r="Q1697" t="str">
            <v>AYUDA TEMPORAL A LAS FAMILIAS DE VARIAS LOCALIDADES, PARA RELOCALIZACIÓN DE HOGARES LOCALIZADOS EN ZONAS DE ALTO RIESGO NO MITIGABLE ID:2014-OTR-00898, LOCALIDAD:03 SANTA FE, UPZ:96 LOURDES, SECTOR:CASA 3</v>
          </cell>
          <cell r="R1697">
            <v>2582006</v>
          </cell>
          <cell r="S1697">
            <v>368858</v>
          </cell>
          <cell r="T1697">
            <v>0</v>
          </cell>
          <cell r="U1697">
            <v>2213148</v>
          </cell>
          <cell r="V1697">
            <v>2213148</v>
          </cell>
        </row>
        <row r="1698">
          <cell r="J1698">
            <v>1067</v>
          </cell>
          <cell r="K1698">
            <v>43143</v>
          </cell>
          <cell r="L1698" t="str">
            <v>DIEGO LEONARDO PEÑA PEÑA</v>
          </cell>
          <cell r="M1698">
            <v>31</v>
          </cell>
          <cell r="N1698" t="str">
            <v>RESOLUCION</v>
          </cell>
          <cell r="O1698">
            <v>708</v>
          </cell>
          <cell r="P1698">
            <v>43143</v>
          </cell>
          <cell r="Q1698" t="str">
            <v>AYUDA TEMPORAL A LAS FAMILIAS DE VARIAS LOCALIDADES, PARA RELOCALIZACIÓN DE HOGARES LOCALIZADOS EN ZONAS DE ALTO RIESGO NO MITIGABLE ID:2016-08-14791, LOCALIDAD:08 KENNEDY, UPZ:82 PATIO BONITO, SECTOR:PALMITAS</v>
          </cell>
          <cell r="R1698">
            <v>3201695</v>
          </cell>
          <cell r="S1698">
            <v>1372155</v>
          </cell>
          <cell r="T1698">
            <v>0</v>
          </cell>
          <cell r="U1698">
            <v>1829540</v>
          </cell>
          <cell r="V1698">
            <v>1829540</v>
          </cell>
        </row>
        <row r="1699">
          <cell r="J1699">
            <v>1068</v>
          </cell>
          <cell r="K1699">
            <v>43143</v>
          </cell>
          <cell r="L1699" t="str">
            <v>SANDRA CEILIA ZAMUDIO VARGAS</v>
          </cell>
          <cell r="M1699">
            <v>31</v>
          </cell>
          <cell r="N1699" t="str">
            <v>RESOLUCION</v>
          </cell>
          <cell r="O1699">
            <v>630</v>
          </cell>
          <cell r="P1699">
            <v>43143</v>
          </cell>
          <cell r="Q1699" t="str">
            <v>AYUDA TEMPORAL A LAS FAMILIAS DE VARIAS LOCALIDADES, PARA RELOCALIZACIÓN DE HOGARES LOCALIZADOS EN ZONAS DE ALTO RIESGO NO MITIGABLE ID:2015-Q03-01306, LOCALIDAD:19 CIUDAD BOLÍVAR, UPZ:67 LUCERO, SECTOR:LIMAS</v>
          </cell>
          <cell r="R1699">
            <v>6041906</v>
          </cell>
          <cell r="S1699">
            <v>0</v>
          </cell>
          <cell r="T1699">
            <v>0</v>
          </cell>
          <cell r="U1699">
            <v>6041906</v>
          </cell>
          <cell r="V1699">
            <v>2323810</v>
          </cell>
        </row>
        <row r="1700">
          <cell r="J1700">
            <v>1069</v>
          </cell>
          <cell r="K1700">
            <v>43143</v>
          </cell>
          <cell r="L1700" t="str">
            <v>MARIA ISABEL CUELLAR GOMEZ</v>
          </cell>
          <cell r="M1700">
            <v>31</v>
          </cell>
          <cell r="N1700" t="str">
            <v>RESOLUCION</v>
          </cell>
          <cell r="O1700">
            <v>660</v>
          </cell>
          <cell r="P1700">
            <v>43143</v>
          </cell>
          <cell r="Q1700" t="str">
            <v>AYUDA TEMPORAL A LAS FAMILIAS DE VARIAS LOCALIDADES, PARA RELOCALIZACIÓN DE HOGARES LOCALIZADOS EN ZONAS DE ALTO RIESGO NO MITIGABLE ID:2013-Q09-00152, LOCALIDAD:19 CIUDAD BOLÍVAR, UPZ:67 LUCERO, SECTOR:QUEBRADA TROMPETA</v>
          </cell>
          <cell r="R1700">
            <v>2685291</v>
          </cell>
          <cell r="S1700">
            <v>0</v>
          </cell>
          <cell r="T1700">
            <v>0</v>
          </cell>
          <cell r="U1700">
            <v>2685291</v>
          </cell>
          <cell r="V1700">
            <v>1150839</v>
          </cell>
        </row>
        <row r="1701">
          <cell r="J1701">
            <v>1070</v>
          </cell>
          <cell r="K1701">
            <v>43143</v>
          </cell>
          <cell r="L1701" t="str">
            <v>GLORIA INES SANCHEZ RODRIGUEZ</v>
          </cell>
          <cell r="M1701">
            <v>31</v>
          </cell>
          <cell r="N1701" t="str">
            <v>RESOLUCION</v>
          </cell>
          <cell r="O1701">
            <v>631</v>
          </cell>
          <cell r="P1701">
            <v>43143</v>
          </cell>
          <cell r="Q1701" t="str">
            <v>AYUDA TEMPORAL A LAS FAMILIAS DE VARIAS LOCALIDADES, PARA RELOCALIZACIÓN DE HOGARES LOCALIZADOS EN ZONAS DE ALTO RIESGO NO MITIGABLE ID:2010-5-11596, LOCALIDAD:05 USME, UPZ:57 GRAN YOMASA, SECTOR:OLA INVERNAL 2010 FOPAE</v>
          </cell>
          <cell r="R1701">
            <v>3374280</v>
          </cell>
          <cell r="S1701">
            <v>482040</v>
          </cell>
          <cell r="T1701">
            <v>0</v>
          </cell>
          <cell r="U1701">
            <v>2892240</v>
          </cell>
          <cell r="V1701">
            <v>2892240</v>
          </cell>
        </row>
        <row r="1702">
          <cell r="J1702">
            <v>1071</v>
          </cell>
          <cell r="K1702">
            <v>43143</v>
          </cell>
          <cell r="L1702" t="str">
            <v>YOLANDA  VELASQUEZ SIERRA</v>
          </cell>
          <cell r="M1702">
            <v>31</v>
          </cell>
          <cell r="N1702" t="str">
            <v>RESOLUCION</v>
          </cell>
          <cell r="O1702">
            <v>661</v>
          </cell>
          <cell r="P1702">
            <v>43143</v>
          </cell>
          <cell r="Q1702" t="str">
            <v>AYUDA TEMPORAL A LAS FAMILIAS DE VARIAS LOCALIDADES, PARA RELOCALIZACIÓN DE HOGARES LOCALIZADOS EN ZONAS DE ALTO RIESGO NO MITIGABLE ID:2013-Q21-00478, LOCALIDAD:19 CIUDAD BOLÍVAR, UPZ:67 LUCERO, SECTOR:BRAZO DERECHO DE LIMAS</v>
          </cell>
          <cell r="R1702">
            <v>2582006</v>
          </cell>
          <cell r="S1702">
            <v>368858</v>
          </cell>
          <cell r="T1702">
            <v>0</v>
          </cell>
          <cell r="U1702">
            <v>2213148</v>
          </cell>
          <cell r="V1702">
            <v>2213148</v>
          </cell>
        </row>
        <row r="1703">
          <cell r="J1703">
            <v>1072</v>
          </cell>
          <cell r="K1703">
            <v>43143</v>
          </cell>
          <cell r="L1703" t="str">
            <v>JAIME ALBERTO MOLINA</v>
          </cell>
          <cell r="M1703">
            <v>31</v>
          </cell>
          <cell r="N1703" t="str">
            <v>RESOLUCION</v>
          </cell>
          <cell r="O1703">
            <v>696</v>
          </cell>
          <cell r="P1703">
            <v>43143</v>
          </cell>
          <cell r="Q1703" t="str">
            <v>AYUDA TEMPORAL A LAS FAMILIAS DE VARIAS LOCALIDADES, PARA RELOCALIZACIÓN DE HOGARES LOCALIZADOS EN ZONAS DE ALTO RIESGO NO MITIGABLE ID:2002-4-2657, LOCALIDAD:04 SAN CRISTÓBAL, UPZ:32 SAN BLAS,</v>
          </cell>
          <cell r="R1703">
            <v>5430984</v>
          </cell>
          <cell r="S1703">
            <v>0</v>
          </cell>
          <cell r="T1703">
            <v>0</v>
          </cell>
          <cell r="U1703">
            <v>5430984</v>
          </cell>
          <cell r="V1703">
            <v>3342144</v>
          </cell>
        </row>
        <row r="1704">
          <cell r="J1704">
            <v>1073</v>
          </cell>
          <cell r="K1704">
            <v>43143</v>
          </cell>
          <cell r="L1704" t="str">
            <v>JOSE MIGUEL VILLALOBOS HIGUERA</v>
          </cell>
          <cell r="M1704">
            <v>31</v>
          </cell>
          <cell r="N1704" t="str">
            <v>RESOLUCION</v>
          </cell>
          <cell r="O1704">
            <v>632</v>
          </cell>
          <cell r="P1704">
            <v>43143</v>
          </cell>
          <cell r="Q1704" t="str">
            <v>AYUDA TEMPORAL A LAS FAMILIAS DE VARIAS LOCALIDADES, PARA RELOCALIZACIÓN DE HOGARES LOCALIZADOS EN ZONAS DE ALTO RIESGO NO MITIGABLE ID:2016-08-14794, LOCALIDAD:08 KENNEDY, UPZ:82 PATIO BONITO, SECTOR:PALMITAS</v>
          </cell>
          <cell r="R1704">
            <v>6901440</v>
          </cell>
          <cell r="S1704">
            <v>0</v>
          </cell>
          <cell r="T1704">
            <v>0</v>
          </cell>
          <cell r="U1704">
            <v>6901440</v>
          </cell>
          <cell r="V1704">
            <v>4247040</v>
          </cell>
        </row>
        <row r="1705">
          <cell r="J1705">
            <v>1074</v>
          </cell>
          <cell r="K1705">
            <v>43143</v>
          </cell>
          <cell r="L1705" t="str">
            <v>LUIS AUDICEL MELO MARTIN</v>
          </cell>
          <cell r="M1705">
            <v>31</v>
          </cell>
          <cell r="N1705" t="str">
            <v>RESOLUCION</v>
          </cell>
          <cell r="O1705">
            <v>662</v>
          </cell>
          <cell r="P1705">
            <v>43143</v>
          </cell>
          <cell r="Q1705" t="str">
            <v>AYUDA TEMPORAL A LAS FAMILIAS DE VARIAS LOCALIDADES, PARA RELOCALIZACIÓN DE HOGARES LOCALIZADOS EN ZONAS DE ALTO RIESGO NO MITIGABLE ID:2017-19-14969, LOCALIDAD:19 CIUDAD BOLÍVAR, UPZ:67 LUCERO, SECTOR:LAS MANITAS II</v>
          </cell>
          <cell r="R1705">
            <v>4131218</v>
          </cell>
          <cell r="S1705">
            <v>590174</v>
          </cell>
          <cell r="T1705">
            <v>0</v>
          </cell>
          <cell r="U1705">
            <v>3541044</v>
          </cell>
          <cell r="V1705">
            <v>3541044</v>
          </cell>
        </row>
        <row r="1706">
          <cell r="J1706">
            <v>1075</v>
          </cell>
          <cell r="K1706">
            <v>43143</v>
          </cell>
          <cell r="L1706" t="str">
            <v>CARLOS ALBERTO MARTINEZ MORENO</v>
          </cell>
          <cell r="M1706">
            <v>31</v>
          </cell>
          <cell r="N1706" t="str">
            <v>RESOLUCION</v>
          </cell>
          <cell r="O1706">
            <v>697</v>
          </cell>
          <cell r="P1706">
            <v>43143</v>
          </cell>
          <cell r="Q1706" t="str">
            <v>AYUDA TEMPORAL A LAS FAMILIAS DE VARIAS LOCALIDADES, PARA RELOCALIZACIÓN DE HOGARES LOCALIZADOS EN ZONAS DE ALTO RIESGO NO MITIGABLE ID:2014-Q06-01006, LOCALIDAD:19 CIUDAD BOLÍVAR, UPZ:67 LUCERO, SECTOR:QUEBRADA EL INFIERNO</v>
          </cell>
          <cell r="R1706">
            <v>5612893</v>
          </cell>
          <cell r="S1706">
            <v>0</v>
          </cell>
          <cell r="T1706">
            <v>0</v>
          </cell>
          <cell r="U1706">
            <v>5612893</v>
          </cell>
          <cell r="V1706">
            <v>2158805</v>
          </cell>
        </row>
        <row r="1707">
          <cell r="J1707">
            <v>1076</v>
          </cell>
          <cell r="K1707">
            <v>43143</v>
          </cell>
          <cell r="L1707" t="str">
            <v>EDITH  MALAGON RINCON</v>
          </cell>
          <cell r="M1707">
            <v>31</v>
          </cell>
          <cell r="N1707" t="str">
            <v>RESOLUCION</v>
          </cell>
          <cell r="O1707">
            <v>663</v>
          </cell>
          <cell r="P1707">
            <v>43143</v>
          </cell>
          <cell r="Q1707" t="str">
            <v>AYUDA TEMPORAL A LAS FAMILIAS DE VARIAS LOCALIDADES, PARA RELOCALIZACIÓN DE HOGARES LOCALIZADOS EN ZONAS DE ALTO RIESGO NO MITIGABLE ID:2016-08-14829, LOCALIDAD:08 KENNEDY, UPZ:82 PATIO BONITO, SECTOR:PALMITAS</v>
          </cell>
          <cell r="R1707">
            <v>3098410</v>
          </cell>
          <cell r="S1707">
            <v>442630</v>
          </cell>
          <cell r="T1707">
            <v>0</v>
          </cell>
          <cell r="U1707">
            <v>2655780</v>
          </cell>
          <cell r="V1707">
            <v>2655780</v>
          </cell>
        </row>
        <row r="1708">
          <cell r="J1708">
            <v>1077</v>
          </cell>
          <cell r="K1708">
            <v>43143</v>
          </cell>
          <cell r="L1708" t="str">
            <v>UBERTO GABRIEL SERPA JIMENEZ</v>
          </cell>
          <cell r="M1708">
            <v>31</v>
          </cell>
          <cell r="N1708" t="str">
            <v>RESOLUCION</v>
          </cell>
          <cell r="O1708">
            <v>633</v>
          </cell>
          <cell r="P1708">
            <v>43143</v>
          </cell>
          <cell r="Q1708" t="str">
            <v>AYUDA TEMPORAL A LAS FAMILIAS DE VARIAS LOCALIDADES, PARA RELOCALIZACIÓN DE HOGARES LOCALIZADOS EN ZONAS DE ALTO RIESGO NO MITIGABLE ID:2016-08-14872, LOCALIDAD:08 KENNEDY, UPZ:82 PATIO BONITO, SECTOR:PALMITAS</v>
          </cell>
          <cell r="R1708">
            <v>5311566</v>
          </cell>
          <cell r="S1708">
            <v>0</v>
          </cell>
          <cell r="T1708">
            <v>0</v>
          </cell>
          <cell r="U1708">
            <v>5311566</v>
          </cell>
          <cell r="V1708">
            <v>4721392</v>
          </cell>
        </row>
        <row r="1709">
          <cell r="J1709">
            <v>1078</v>
          </cell>
          <cell r="K1709">
            <v>43143</v>
          </cell>
          <cell r="L1709" t="str">
            <v>ABELARDO  CHOCO CHIRIVIRO</v>
          </cell>
          <cell r="M1709">
            <v>31</v>
          </cell>
          <cell r="N1709" t="str">
            <v>RESOLUCION</v>
          </cell>
          <cell r="O1709">
            <v>709</v>
          </cell>
          <cell r="P1709">
            <v>43143</v>
          </cell>
          <cell r="Q1709" t="str">
            <v>AYUDA TEMPORAL A LAS FAMILIAS DE VARIAS LOCALIDADES, PARA RELOCALIZACIÓN DE HOGARES LOCALIZADOS EN ZONAS DE ALTO RIESGO NO MITIGABLE ID:2014-W166-046, LOCALIDAD:19 CIUDAD BOLÍVAR, UPZ:68 EL TESORO, SECTOR:WOUNAAN</v>
          </cell>
          <cell r="R1709">
            <v>7202000</v>
          </cell>
          <cell r="S1709">
            <v>0</v>
          </cell>
          <cell r="T1709">
            <v>0</v>
          </cell>
          <cell r="U1709">
            <v>7202000</v>
          </cell>
          <cell r="V1709">
            <v>4432000</v>
          </cell>
        </row>
        <row r="1710">
          <cell r="J1710">
            <v>1079</v>
          </cell>
          <cell r="K1710">
            <v>43143</v>
          </cell>
          <cell r="L1710" t="str">
            <v>ADONAY  ESCALANTE DOMINGUEZ</v>
          </cell>
          <cell r="M1710">
            <v>31</v>
          </cell>
          <cell r="N1710" t="str">
            <v>RESOLUCION</v>
          </cell>
          <cell r="O1710">
            <v>664</v>
          </cell>
          <cell r="P1710">
            <v>43143</v>
          </cell>
          <cell r="Q1710" t="str">
            <v>AYUDA TEMPORAL A LAS FAMILIAS DE VARIAS LOCALIDADES, PARA RELOCALIZACIÓN DE HOGARES LOCALIZADOS EN ZONAS DE ALTO RIESGO NO MITIGABLE ID:2011-19-12824, LOCALIDAD:19 CIUDAD BOLÍVAR, UPZ:68 EL TESORO, SECTOR:QUEBRADA TROMPETA</v>
          </cell>
          <cell r="R1710">
            <v>5291728</v>
          </cell>
          <cell r="S1710">
            <v>0</v>
          </cell>
          <cell r="T1710">
            <v>0</v>
          </cell>
          <cell r="U1710">
            <v>5291728</v>
          </cell>
          <cell r="V1710">
            <v>3256448</v>
          </cell>
        </row>
        <row r="1711">
          <cell r="J1711">
            <v>1080</v>
          </cell>
          <cell r="K1711">
            <v>43143</v>
          </cell>
          <cell r="L1711" t="str">
            <v>AMANDA  GONZALEZ</v>
          </cell>
          <cell r="M1711">
            <v>31</v>
          </cell>
          <cell r="N1711" t="str">
            <v>RESOLUCION</v>
          </cell>
          <cell r="O1711">
            <v>710</v>
          </cell>
          <cell r="P1711">
            <v>43143</v>
          </cell>
          <cell r="Q1711" t="str">
            <v>AYUDA TEMPORAL A LAS FAMILIAS DE VARIAS LOCALIDADES, PARA RELOCALIZACIÓN DE HOGARES LOCALIZADOS EN ZONAS DE ALTO RIESGO NO MITIGABLE ID:2014-Q09-01206, LOCALIDAD:19 CIUDAD BOLÍVAR, UPZ:67 LUCERO, SECTOR:QUEBRADA TROMPETA</v>
          </cell>
          <cell r="R1711">
            <v>3157315</v>
          </cell>
          <cell r="S1711">
            <v>451045</v>
          </cell>
          <cell r="T1711">
            <v>0</v>
          </cell>
          <cell r="U1711">
            <v>2706270</v>
          </cell>
          <cell r="V1711">
            <v>2706270</v>
          </cell>
        </row>
        <row r="1712">
          <cell r="J1712">
            <v>1081</v>
          </cell>
          <cell r="K1712">
            <v>43143</v>
          </cell>
          <cell r="L1712" t="str">
            <v>MATILDE  HERREÑO SUAREZ</v>
          </cell>
          <cell r="M1712">
            <v>31</v>
          </cell>
          <cell r="N1712" t="str">
            <v>RESOLUCION</v>
          </cell>
          <cell r="O1712">
            <v>634</v>
          </cell>
          <cell r="P1712">
            <v>43143</v>
          </cell>
          <cell r="Q1712" t="str">
            <v>AYUDA TEMPORAL A LAS FAMILIAS DE VARIAS LOCALIDADES, PARA RELOCALIZACIÓN DE HOGARES LOCALIZADOS EN ZONAS DE ALTO RIESGO NO MITIGABLE ID:2010-19-12001, LOCALIDAD:19 CIUDAD BOLÍVAR, UPZ:68 EL TESORO, SECTOR:OLA INVERNAL 2010 FOPAE</v>
          </cell>
          <cell r="R1712">
            <v>2582006</v>
          </cell>
          <cell r="S1712">
            <v>0</v>
          </cell>
          <cell r="T1712">
            <v>0</v>
          </cell>
          <cell r="U1712">
            <v>2582006</v>
          </cell>
          <cell r="V1712">
            <v>1475432</v>
          </cell>
        </row>
        <row r="1713">
          <cell r="J1713">
            <v>1082</v>
          </cell>
          <cell r="K1713">
            <v>43143</v>
          </cell>
          <cell r="L1713" t="str">
            <v>YOLANDA  DAZA RAMIREZ</v>
          </cell>
          <cell r="M1713">
            <v>31</v>
          </cell>
          <cell r="N1713" t="str">
            <v>RESOLUCION</v>
          </cell>
          <cell r="O1713">
            <v>698</v>
          </cell>
          <cell r="P1713">
            <v>43143</v>
          </cell>
          <cell r="Q1713" t="str">
            <v>AYUDA TEMPORAL A LAS FAMILIAS DE VARIAS LOCALIDADES, PARA RELOCALIZACIÓN DE HOGARES LOCALIZADOS EN ZONAS DE ALTO RIESGO NO MITIGABLE ID:2016-08-14849, LOCALIDAD:08 KENNEDY, UPZ:82 PATIO BONITO, SECTOR:PALMITAS</v>
          </cell>
          <cell r="R1713">
            <v>7192744</v>
          </cell>
          <cell r="S1713">
            <v>0</v>
          </cell>
          <cell r="T1713">
            <v>0</v>
          </cell>
          <cell r="U1713">
            <v>7192744</v>
          </cell>
          <cell r="V1713">
            <v>2766440</v>
          </cell>
        </row>
        <row r="1714">
          <cell r="J1714">
            <v>1083</v>
          </cell>
          <cell r="K1714">
            <v>43143</v>
          </cell>
          <cell r="L1714" t="str">
            <v>PEDRO MIGUEL GONZALEZ</v>
          </cell>
          <cell r="M1714">
            <v>31</v>
          </cell>
          <cell r="N1714" t="str">
            <v>RESOLUCION</v>
          </cell>
          <cell r="O1714">
            <v>711</v>
          </cell>
          <cell r="P1714">
            <v>43143</v>
          </cell>
          <cell r="Q1714" t="str">
            <v>AYUDA TEMPORAL A LAS FAMILIAS DE VARIAS LOCALIDADES, PARA RELOCALIZACIÓN DE HOGARES LOCALIZADOS EN ZONAS DE ALTO RIESGO NO MITIGABLE ID:2013-Q04-00107, LOCALIDAD:04 SAN CRISTÓBAL, UPZ:51 LOS LIBERTADORES, SECTOR:QUEBRADA VEREJONES</v>
          </cell>
          <cell r="R1714">
            <v>5285280</v>
          </cell>
          <cell r="S1714">
            <v>0</v>
          </cell>
          <cell r="T1714">
            <v>0</v>
          </cell>
          <cell r="U1714">
            <v>5285280</v>
          </cell>
          <cell r="V1714">
            <v>3252480</v>
          </cell>
        </row>
        <row r="1715">
          <cell r="J1715">
            <v>1084</v>
          </cell>
          <cell r="K1715">
            <v>43143</v>
          </cell>
          <cell r="L1715" t="str">
            <v>LUZ GIOVANNA HERNANDEZ GUTIERREZ</v>
          </cell>
          <cell r="M1715">
            <v>31</v>
          </cell>
          <cell r="N1715" t="str">
            <v>RESOLUCION</v>
          </cell>
          <cell r="O1715">
            <v>665</v>
          </cell>
          <cell r="P1715">
            <v>43143</v>
          </cell>
          <cell r="Q1715" t="str">
            <v>AYUDA TEMPORAL A LAS FAMILIAS DE VARIAS LOCALIDADES, PARA RELOCALIZACIÓN DE HOGARES LOCALIZADOS EN ZONAS DE ALTO RIESGO NO MITIGABLE ID:2014-OTR-00951, LOCALIDAD:19 CIUDAD BOLÍVAR, UPZ:67 LUCERO, SECTOR:TABOR ALTALOMA</v>
          </cell>
          <cell r="R1715">
            <v>3112599</v>
          </cell>
          <cell r="S1715">
            <v>444657</v>
          </cell>
          <cell r="T1715">
            <v>0</v>
          </cell>
          <cell r="U1715">
            <v>2667942</v>
          </cell>
          <cell r="V1715">
            <v>2667942</v>
          </cell>
        </row>
        <row r="1716">
          <cell r="J1716">
            <v>1085</v>
          </cell>
          <cell r="K1716">
            <v>43143</v>
          </cell>
          <cell r="L1716" t="str">
            <v>EDGAR GERMAN LEON HERNANDEZ</v>
          </cell>
          <cell r="M1716">
            <v>31</v>
          </cell>
          <cell r="N1716" t="str">
            <v>RESOLUCION</v>
          </cell>
          <cell r="O1716">
            <v>635</v>
          </cell>
          <cell r="P1716">
            <v>43143</v>
          </cell>
          <cell r="Q1716" t="str">
            <v>AYUDA TEMPORAL A LAS FAMILIAS DE VARIAS LOCALIDADES, PARA RELOCALIZACIÓN DE HOGARES LOCALIZADOS EN ZONAS DE ALTO RIESGO NO MITIGABLE ID:2011-19-13539, LOCALIDAD:19 CIUDAD BOLÍVAR, UPZ:68 EL TESORO, SECTOR:</v>
          </cell>
          <cell r="R1716">
            <v>2582006</v>
          </cell>
          <cell r="S1716">
            <v>368858</v>
          </cell>
          <cell r="T1716">
            <v>0</v>
          </cell>
          <cell r="U1716">
            <v>2213148</v>
          </cell>
          <cell r="V1716">
            <v>2213148</v>
          </cell>
        </row>
        <row r="1717">
          <cell r="J1717">
            <v>1086</v>
          </cell>
          <cell r="K1717">
            <v>43143</v>
          </cell>
          <cell r="L1717" t="str">
            <v>JOSE HERESMILDO CRUZ AVILA</v>
          </cell>
          <cell r="M1717">
            <v>31</v>
          </cell>
          <cell r="N1717" t="str">
            <v>RESOLUCION</v>
          </cell>
          <cell r="O1717">
            <v>712</v>
          </cell>
          <cell r="P1717">
            <v>43143</v>
          </cell>
          <cell r="Q1717" t="str">
            <v>AYUDA TEMPORAL A LAS FAMILIAS DE VARIAS LOCALIDADES, PARA RELOCALIZACIÓN DE HOGARES LOCALIZADOS EN ZONAS DE ALTO RIESGO NO MITIGABLE ID:2013000378, LOCALIDAD:19 CIUDAD BOLÍVAR, UPZ:67 LUCERO, SECTOR:PEÑA COLORADA</v>
          </cell>
          <cell r="R1717">
            <v>7170319</v>
          </cell>
          <cell r="S1717">
            <v>0</v>
          </cell>
          <cell r="T1717">
            <v>0</v>
          </cell>
          <cell r="U1717">
            <v>7170319</v>
          </cell>
          <cell r="V1717">
            <v>4412504</v>
          </cell>
        </row>
        <row r="1718">
          <cell r="J1718">
            <v>1087</v>
          </cell>
          <cell r="K1718">
            <v>43143</v>
          </cell>
          <cell r="L1718" t="str">
            <v>LUZ ADRIANA LAGUNA CUELLAR</v>
          </cell>
          <cell r="M1718">
            <v>31</v>
          </cell>
          <cell r="N1718" t="str">
            <v>RESOLUCION</v>
          </cell>
          <cell r="O1718">
            <v>666</v>
          </cell>
          <cell r="P1718">
            <v>43143</v>
          </cell>
          <cell r="Q1718" t="str">
            <v>AYUDA TEMPORAL A LAS FAMILIAS DE VARIAS LOCALIDADES, PARA RELOCALIZACIÓN DE HOGARES LOCALIZADOS EN ZONAS DE ALTO RIESGO NO MITIGABLE ID:2016-Q09-14768, LOCALIDAD:19 CIUDAD BOLÍVAR, UPZ:67 LUCERO, SECTOR:QUEBRADA TROMPETA</v>
          </cell>
          <cell r="R1718">
            <v>5754190</v>
          </cell>
          <cell r="S1718">
            <v>0</v>
          </cell>
          <cell r="T1718">
            <v>0</v>
          </cell>
          <cell r="U1718">
            <v>5754190</v>
          </cell>
          <cell r="V1718">
            <v>3541040</v>
          </cell>
        </row>
        <row r="1719">
          <cell r="J1719">
            <v>1088</v>
          </cell>
          <cell r="K1719">
            <v>43143</v>
          </cell>
          <cell r="L1719" t="str">
            <v>AYDA LUZ PIAMBA MAJIN</v>
          </cell>
          <cell r="M1719">
            <v>31</v>
          </cell>
          <cell r="N1719" t="str">
            <v>RESOLUCION</v>
          </cell>
          <cell r="O1719">
            <v>636</v>
          </cell>
          <cell r="P1719">
            <v>43143</v>
          </cell>
          <cell r="Q1719" t="str">
            <v>AYUDA TEMPORAL A LAS FAMILIAS DE VARIAS LOCALIDADES, PARA RELOCALIZACIÓN DE HOGARES LOCALIZADOS EN ZONAS DE ALTO RIESGO NO MITIGABLE ID:2011-4-13076, LOCALIDAD:04 SAN CRISTÓBAL, UPZ:51 LOS LIBERTADORES, SECTOR:QUEBRADA VEREJONES</v>
          </cell>
          <cell r="R1719">
            <v>2924376</v>
          </cell>
          <cell r="S1719">
            <v>417768</v>
          </cell>
          <cell r="T1719">
            <v>0</v>
          </cell>
          <cell r="U1719">
            <v>2506608</v>
          </cell>
          <cell r="V1719">
            <v>2506608</v>
          </cell>
        </row>
        <row r="1720">
          <cell r="J1720">
            <v>1089</v>
          </cell>
          <cell r="K1720">
            <v>43143</v>
          </cell>
          <cell r="L1720" t="str">
            <v>ARAMINTA  PIÑEROS MARTIN</v>
          </cell>
          <cell r="M1720">
            <v>31</v>
          </cell>
          <cell r="N1720" t="str">
            <v>RESOLUCION</v>
          </cell>
          <cell r="O1720">
            <v>713</v>
          </cell>
          <cell r="P1720">
            <v>43143</v>
          </cell>
          <cell r="Q1720" t="str">
            <v>AYUDA TEMPORAL A LAS FAMILIAS DE VARIAS LOCALIDADES, PARA RELOCALIZACIÓN DE HOGARES LOCALIZADOS EN ZONAS DE ALTO RIESGO NO MITIGABLE ID:2011-5-13039, LOCALIDAD:05 USME, UPZ:56 DANUBIO, SECTOR:</v>
          </cell>
          <cell r="R1720">
            <v>3201695</v>
          </cell>
          <cell r="S1720">
            <v>457385</v>
          </cell>
          <cell r="T1720">
            <v>0</v>
          </cell>
          <cell r="U1720">
            <v>2744310</v>
          </cell>
          <cell r="V1720">
            <v>2744310</v>
          </cell>
        </row>
        <row r="1721">
          <cell r="J1721">
            <v>1090</v>
          </cell>
          <cell r="K1721">
            <v>43143</v>
          </cell>
          <cell r="L1721" t="str">
            <v>FRANCISCO ALBERTO BANDERA MARTINEZ</v>
          </cell>
          <cell r="M1721">
            <v>31</v>
          </cell>
          <cell r="N1721" t="str">
            <v>RESOLUCION</v>
          </cell>
          <cell r="O1721">
            <v>637</v>
          </cell>
          <cell r="P1721">
            <v>43143</v>
          </cell>
          <cell r="Q1721" t="str">
            <v>AYUDA TEMPORAL A LAS FAMILIAS DE VARIAS LOCALIDADES, PARA RELOCALIZACIÓN DE HOGARES LOCALIZADOS EN ZONAS DE ALTO RIESGO NO MITIGABLE ID:2011-4-13552, LOCALIDAD:04 SAN CRISTÓBAL, UPZ:51 LOS LIBERTADORES, SECTOR:QUEBRADA VEREJONES</v>
          </cell>
          <cell r="R1721">
            <v>2582006</v>
          </cell>
          <cell r="S1721">
            <v>368858</v>
          </cell>
          <cell r="T1721">
            <v>0</v>
          </cell>
          <cell r="U1721">
            <v>2213148</v>
          </cell>
          <cell r="V1721">
            <v>2213148</v>
          </cell>
        </row>
        <row r="1722">
          <cell r="J1722">
            <v>1091</v>
          </cell>
          <cell r="K1722">
            <v>43143</v>
          </cell>
          <cell r="L1722" t="str">
            <v>MARLENY  GUTIERREZ SANCHEZ</v>
          </cell>
          <cell r="M1722">
            <v>31</v>
          </cell>
          <cell r="N1722" t="str">
            <v>RESOLUCION</v>
          </cell>
          <cell r="O1722">
            <v>667</v>
          </cell>
          <cell r="P1722">
            <v>43143</v>
          </cell>
          <cell r="Q1722" t="str">
            <v>AYUDA TEMPORAL A LAS FAMILIAS DE VARIAS LOCALIDADES, PARA RELOCALIZACIÓN DE HOGARES LOCALIZADOS EN ZONAS DE ALTO RIESGO NO MITIGABLE ID:2014-OTR-00953, LOCALIDAD:19 CIUDAD BOLÍVAR, UPZ:67 LUCERO, SECTOR:TABOR ALTALOMA</v>
          </cell>
          <cell r="R1722">
            <v>6721000</v>
          </cell>
          <cell r="S1722">
            <v>0</v>
          </cell>
          <cell r="T1722">
            <v>0</v>
          </cell>
          <cell r="U1722">
            <v>6721000</v>
          </cell>
          <cell r="V1722">
            <v>4136000</v>
          </cell>
        </row>
        <row r="1723">
          <cell r="J1723">
            <v>1092</v>
          </cell>
          <cell r="K1723">
            <v>43143</v>
          </cell>
          <cell r="L1723" t="str">
            <v>MIGUEL ANGEL BELTRAN CASTRO</v>
          </cell>
          <cell r="M1723">
            <v>86</v>
          </cell>
          <cell r="N1723" t="str">
            <v>ESCRITURA PUBLICA</v>
          </cell>
          <cell r="O1723">
            <v>714</v>
          </cell>
          <cell r="P1723">
            <v>43143</v>
          </cell>
          <cell r="Q1723" t="str">
            <v>AYUDA TEMPORAL A LAS FAMILIAS DE VARIAS LOCALIDADES, PARA RELOCALIZACIÓN DE HOGARES LOCALIZADOS EN ZONAS DE ALTO RIESGO NO MITIGABLE ID:2014-OTR-01026, LOCALIDAD:19 CIUDAD BOLÍVAR, UPZ:67 LUCERO, SECTOR:TABOR ALTALOMA</v>
          </cell>
          <cell r="R1723">
            <v>3157315</v>
          </cell>
          <cell r="S1723">
            <v>3157315</v>
          </cell>
          <cell r="T1723">
            <v>0</v>
          </cell>
          <cell r="U1723">
            <v>0</v>
          </cell>
          <cell r="V1723">
            <v>0</v>
          </cell>
        </row>
        <row r="1724">
          <cell r="J1724">
            <v>1093</v>
          </cell>
          <cell r="K1724">
            <v>43143</v>
          </cell>
          <cell r="L1724" t="str">
            <v>RUTH  PEREIRA CAMACHO</v>
          </cell>
          <cell r="M1724">
            <v>31</v>
          </cell>
          <cell r="N1724" t="str">
            <v>RESOLUCION</v>
          </cell>
          <cell r="O1724">
            <v>638</v>
          </cell>
          <cell r="P1724">
            <v>43143</v>
          </cell>
          <cell r="Q1724" t="str">
            <v>AYUDA TEMPORAL A LAS FAMILIAS DE VARIAS LOCALIDADES, PARA RELOCALIZACIÓN DE HOGARES LOCALIZADOS EN ZONAS DE ALTO RIESGO NO MITIGABLE ID:2015-Q10-01506, LOCALIDAD:04 SAN CRISTÓBAL, UPZ:51 LOS LIBERTADORES, SECTOR:QUEBRADA VEREJONES</v>
          </cell>
          <cell r="R1724">
            <v>5361707</v>
          </cell>
          <cell r="S1724">
            <v>0</v>
          </cell>
          <cell r="T1724">
            <v>0</v>
          </cell>
          <cell r="U1724">
            <v>5361707</v>
          </cell>
          <cell r="V1724">
            <v>3299512</v>
          </cell>
        </row>
        <row r="1725">
          <cell r="J1725">
            <v>1094</v>
          </cell>
          <cell r="K1725">
            <v>43143</v>
          </cell>
          <cell r="L1725" t="str">
            <v>BLANCA NUBIA RODRIGUEZ CABRERA</v>
          </cell>
          <cell r="M1725">
            <v>31</v>
          </cell>
          <cell r="N1725" t="str">
            <v>RESOLUCION</v>
          </cell>
          <cell r="O1725">
            <v>668</v>
          </cell>
          <cell r="P1725">
            <v>43143</v>
          </cell>
          <cell r="Q1725" t="str">
            <v>AYUDA TEMPORAL A LAS FAMILIAS DE VARIAS LOCALIDADES, PARA RELOCALIZACIÓN DE HOGARES LOCALIZADOS EN ZONAS DE ALTO RIESGO NO MITIGABLE ID:2006-4-8967, LOCALIDAD:04 SAN CRISTÓBAL, UPZ:32 SAN BLAS</v>
          </cell>
          <cell r="R1725">
            <v>5612893</v>
          </cell>
          <cell r="S1725">
            <v>0</v>
          </cell>
          <cell r="T1725">
            <v>0</v>
          </cell>
          <cell r="U1725">
            <v>5612893</v>
          </cell>
          <cell r="V1725">
            <v>3454088</v>
          </cell>
        </row>
        <row r="1726">
          <cell r="J1726">
            <v>1095</v>
          </cell>
          <cell r="K1726">
            <v>43143</v>
          </cell>
          <cell r="L1726" t="str">
            <v>MARIA LUCRECIA LOPEZ TORRES</v>
          </cell>
          <cell r="M1726">
            <v>31</v>
          </cell>
          <cell r="N1726" t="str">
            <v>RESOLUCION</v>
          </cell>
          <cell r="O1726">
            <v>639</v>
          </cell>
          <cell r="P1726">
            <v>43143</v>
          </cell>
          <cell r="Q1726" t="str">
            <v>AYUDA TEMPORAL A LAS FAMILIAS DE VARIAS LOCALIDADES, PARA RELOCALIZACIÓN DE HOGARES LOCALIZADOS EN ZONAS DE ALTO RIESGO NO MITIGABLE ID:2014-Q09-00913, LOCALIDAD:19 CIUDAD BOLÍVAR, UPZ:67 LUCERO, SECTOR:QUEBRADA TROMPETA</v>
          </cell>
          <cell r="R1726">
            <v>3463222</v>
          </cell>
          <cell r="S1726">
            <v>494746</v>
          </cell>
          <cell r="T1726">
            <v>0</v>
          </cell>
          <cell r="U1726">
            <v>2968476</v>
          </cell>
          <cell r="V1726">
            <v>2968476</v>
          </cell>
        </row>
        <row r="1727">
          <cell r="J1727">
            <v>1096</v>
          </cell>
          <cell r="K1727">
            <v>43143</v>
          </cell>
          <cell r="L1727" t="str">
            <v>ADRIANA  ALARCON GIRON</v>
          </cell>
          <cell r="M1727">
            <v>31</v>
          </cell>
          <cell r="N1727" t="str">
            <v>RESOLUCION</v>
          </cell>
          <cell r="O1727">
            <v>699</v>
          </cell>
          <cell r="P1727">
            <v>43143</v>
          </cell>
          <cell r="Q1727" t="str">
            <v>AYUDA TEMPORAL A LAS FAMILIAS DE VARIAS LOCALIDADES, PARA RELOCALIZACIÓN DE HOGARES LOCALIZADOS EN ZONAS DE ALTO RIESGO NO MITIGABLE ID:2012-19-13841, LOCALIDAD:19 CIUDAD BOLÍVAR, UPZ:67 LUCERO,</v>
          </cell>
          <cell r="R1727">
            <v>2887073</v>
          </cell>
          <cell r="S1727">
            <v>0</v>
          </cell>
          <cell r="T1727">
            <v>0</v>
          </cell>
          <cell r="U1727">
            <v>2887073</v>
          </cell>
          <cell r="V1727">
            <v>2062195</v>
          </cell>
        </row>
        <row r="1728">
          <cell r="J1728">
            <v>1097</v>
          </cell>
          <cell r="K1728">
            <v>43143</v>
          </cell>
          <cell r="L1728" t="str">
            <v>OMAR  PRIETO DIAZ</v>
          </cell>
          <cell r="M1728">
            <v>31</v>
          </cell>
          <cell r="N1728" t="str">
            <v>RESOLUCION</v>
          </cell>
          <cell r="O1728">
            <v>669</v>
          </cell>
          <cell r="P1728">
            <v>43143</v>
          </cell>
          <cell r="Q1728" t="str">
            <v>AYUDA TEMPORAL A LAS FAMILIAS DE VARIAS LOCALIDADES, PARA RELOCALIZACIÓN DE HOGARES LOCALIZADOS EN ZONAS DE ALTO RIESGO NO MITIGABLE ID:2013000209, LOCALIDAD:19 CIUDAD BOLÍVAR, UPZ:67 LUCERO, SECTOR:QUEBRADA EL INFIERNO</v>
          </cell>
          <cell r="R1728">
            <v>6713226</v>
          </cell>
          <cell r="S1728">
            <v>0</v>
          </cell>
          <cell r="T1728">
            <v>0</v>
          </cell>
          <cell r="U1728">
            <v>6713226</v>
          </cell>
          <cell r="V1728">
            <v>4131216</v>
          </cell>
        </row>
        <row r="1729">
          <cell r="J1729">
            <v>1098</v>
          </cell>
          <cell r="K1729">
            <v>43143</v>
          </cell>
          <cell r="L1729" t="str">
            <v>MIGUEL ANGEL BELTRAN CASTRO</v>
          </cell>
          <cell r="M1729">
            <v>31</v>
          </cell>
          <cell r="N1729" t="str">
            <v>RESOLUCION</v>
          </cell>
          <cell r="O1729">
            <v>714</v>
          </cell>
          <cell r="P1729">
            <v>43143</v>
          </cell>
          <cell r="Q1729" t="str">
            <v>AYUDA TEMPORAL A LAS FAMILIAS DE VARIAS LOCALIDADES, PARA RELOCALIZACIÓN DE HOGARES LOCALIZADOS EN ZONAS DE ALTO RIESGO NO MITIGABLE ID:2014-OTR-01026, LOCALIDAD:19 CIUDAD BOLÍVAR, UPZ:67 LUCERO, SECTOR:TABOR ALTALOMA</v>
          </cell>
          <cell r="R1729">
            <v>3157315</v>
          </cell>
          <cell r="S1729">
            <v>451045</v>
          </cell>
          <cell r="T1729">
            <v>0</v>
          </cell>
          <cell r="U1729">
            <v>2706270</v>
          </cell>
          <cell r="V1729">
            <v>2706270</v>
          </cell>
        </row>
        <row r="1730">
          <cell r="J1730">
            <v>1099</v>
          </cell>
          <cell r="K1730">
            <v>43143</v>
          </cell>
          <cell r="L1730" t="str">
            <v>LURENCITA  CHAMAPURO PEÑA</v>
          </cell>
          <cell r="M1730">
            <v>31</v>
          </cell>
          <cell r="N1730" t="str">
            <v>RESOLUCION</v>
          </cell>
          <cell r="O1730">
            <v>640</v>
          </cell>
          <cell r="P1730">
            <v>43143</v>
          </cell>
          <cell r="Q1730" t="str">
            <v>AYUDA TEMPORAL A LAS FAMILIAS DE VARIAS LOCALIDADES, PARA RELOCALIZACIÓN DE HOGARES LOCALIZADOS EN ZONAS DE ALTO RIESGO NO MITIGABLE ID:2015-W166-414, LOCALIDAD:19 CIUDAD BOLÍVAR, UPZ:67 LUCERO, SECTOR:WOUNAAN</v>
          </cell>
          <cell r="R1730">
            <v>7706738</v>
          </cell>
          <cell r="S1730">
            <v>0</v>
          </cell>
          <cell r="T1730">
            <v>0</v>
          </cell>
          <cell r="U1730">
            <v>7706738</v>
          </cell>
          <cell r="V1730">
            <v>4742608</v>
          </cell>
        </row>
        <row r="1731">
          <cell r="J1731">
            <v>1100</v>
          </cell>
          <cell r="K1731">
            <v>43143</v>
          </cell>
          <cell r="L1731" t="str">
            <v>MABEL  MONTOYA RAMIREZ</v>
          </cell>
          <cell r="M1731">
            <v>31</v>
          </cell>
          <cell r="N1731" t="str">
            <v>RESOLUCION</v>
          </cell>
          <cell r="O1731">
            <v>670</v>
          </cell>
          <cell r="P1731">
            <v>43143</v>
          </cell>
          <cell r="Q1731" t="str">
            <v>AYUDA TEMPORAL A LAS FAMILIAS DE VARIAS LOCALIDADES, PARA RELOCALIZACIÓN DE HOGARES LOCALIZADOS EN ZONAS DE ALTO RIESGO NO MITIGABLE ID:2007-4-10216, LOCALIDAD:04 SAN CRISTÓBAL, UPZ:32 SAN BLAS</v>
          </cell>
          <cell r="R1731">
            <v>5430984</v>
          </cell>
          <cell r="S1731">
            <v>0</v>
          </cell>
          <cell r="T1731">
            <v>0</v>
          </cell>
          <cell r="U1731">
            <v>5430984</v>
          </cell>
          <cell r="V1731">
            <v>3342144</v>
          </cell>
        </row>
        <row r="1732">
          <cell r="J1732">
            <v>1101</v>
          </cell>
          <cell r="K1732">
            <v>43143</v>
          </cell>
          <cell r="L1732" t="str">
            <v>FRANCY  QUEVEDO DAZA</v>
          </cell>
          <cell r="M1732">
            <v>31</v>
          </cell>
          <cell r="N1732" t="str">
            <v>RESOLUCION</v>
          </cell>
          <cell r="O1732">
            <v>700</v>
          </cell>
          <cell r="P1732">
            <v>43143</v>
          </cell>
          <cell r="Q1732" t="str">
            <v>AYUDA TEMPORAL A LAS FAMILIAS DE VARIAS LOCALIDADES, PARA RELOCALIZACIÓN DE HOGARES LOCALIZADOS EN ZONAS DE ALTO RIESGO NO MITIGABLE ID:2016-08-14852, LOCALIDAD:08 KENNEDY, UPZ:82 PATIO BONITO, SECTOR:PALMITAS</v>
          </cell>
          <cell r="R1732">
            <v>5466487</v>
          </cell>
          <cell r="S1732">
            <v>0</v>
          </cell>
          <cell r="T1732">
            <v>0</v>
          </cell>
          <cell r="U1732">
            <v>5466487</v>
          </cell>
          <cell r="V1732">
            <v>3363992</v>
          </cell>
        </row>
        <row r="1733">
          <cell r="J1733">
            <v>1102</v>
          </cell>
          <cell r="K1733">
            <v>43143</v>
          </cell>
          <cell r="L1733" t="str">
            <v>FLOR MARINA MARTIN PIÑEROS</v>
          </cell>
          <cell r="M1733">
            <v>31</v>
          </cell>
          <cell r="N1733" t="str">
            <v>RESOLUCION</v>
          </cell>
          <cell r="O1733">
            <v>715</v>
          </cell>
          <cell r="P1733">
            <v>43143</v>
          </cell>
          <cell r="Q1733" t="str">
            <v>AYUDA TEMPORAL A LAS FAMILIAS DE VARIAS LOCALIDADES, PARA RELOCALIZACIÓN DE HOGARES LOCALIZADOS EN ZONAS DE ALTO RIESGO NO MITIGABLE ID:2011-5-13083, LOCALIDAD:05 USME, UPZ:56 DANUBIO</v>
          </cell>
          <cell r="R1733">
            <v>3718092</v>
          </cell>
          <cell r="S1733">
            <v>0</v>
          </cell>
          <cell r="T1733">
            <v>0</v>
          </cell>
          <cell r="U1733">
            <v>3718092</v>
          </cell>
          <cell r="V1733">
            <v>1593468</v>
          </cell>
        </row>
        <row r="1734">
          <cell r="J1734">
            <v>1103</v>
          </cell>
          <cell r="K1734">
            <v>43143</v>
          </cell>
          <cell r="L1734" t="str">
            <v>YURY TATIANA VILLALOBOS HIGUERA</v>
          </cell>
          <cell r="M1734">
            <v>31</v>
          </cell>
          <cell r="N1734" t="str">
            <v>RESOLUCION</v>
          </cell>
          <cell r="O1734">
            <v>641</v>
          </cell>
          <cell r="P1734">
            <v>43143</v>
          </cell>
          <cell r="Q1734" t="str">
            <v>AYUDA TEMPORAL A LAS FAMILIAS DE VARIAS LOCALIDADES, PARA RELOCALIZACIÓN DE HOGARES LOCALIZADOS EN ZONAS DE ALTO RIESGO NO MITIGABLE ID:2016-08-14785, LOCALIDAD:08 KENNEDY, UPZ:82 PATIO BONITO, SECTOR:PALMITAS</v>
          </cell>
          <cell r="R1734">
            <v>5946005</v>
          </cell>
          <cell r="S1734">
            <v>0</v>
          </cell>
          <cell r="T1734">
            <v>0</v>
          </cell>
          <cell r="U1734">
            <v>5946005</v>
          </cell>
          <cell r="V1734">
            <v>3659080</v>
          </cell>
        </row>
        <row r="1735">
          <cell r="J1735">
            <v>1104</v>
          </cell>
          <cell r="K1735">
            <v>43143</v>
          </cell>
          <cell r="L1735" t="str">
            <v>GEORGINA  HERNANDEZ</v>
          </cell>
          <cell r="M1735">
            <v>31</v>
          </cell>
          <cell r="N1735" t="str">
            <v>RESOLUCION</v>
          </cell>
          <cell r="O1735">
            <v>716</v>
          </cell>
          <cell r="P1735">
            <v>43143</v>
          </cell>
          <cell r="Q1735" t="str">
            <v>AYUDA TEMPORAL A LAS FAMILIAS DE VARIAS LOCALIDADES, PARA RELOCALIZACIÓN DE HOGARES LOCALIZADOS EN ZONAS DE ALTO RIESGO NO MITIGABLE ID:2013000463, LOCALIDAD:04 SAN CRISTÓBAL, UPZ:51 LOS LIBERTADORES, SECTOR:QUEBRADA VEREJONES</v>
          </cell>
          <cell r="R1735">
            <v>6030557</v>
          </cell>
          <cell r="S1735">
            <v>0</v>
          </cell>
          <cell r="T1735">
            <v>0</v>
          </cell>
          <cell r="U1735">
            <v>6030557</v>
          </cell>
          <cell r="V1735">
            <v>3711112</v>
          </cell>
        </row>
        <row r="1736">
          <cell r="J1736">
            <v>1105</v>
          </cell>
          <cell r="K1736">
            <v>43143</v>
          </cell>
          <cell r="L1736" t="str">
            <v>MARIBEL  GONZALEZ CUBILLOS</v>
          </cell>
          <cell r="M1736">
            <v>31</v>
          </cell>
          <cell r="N1736" t="str">
            <v>RESOLUCION</v>
          </cell>
          <cell r="O1736">
            <v>671</v>
          </cell>
          <cell r="P1736">
            <v>43143</v>
          </cell>
          <cell r="Q1736" t="str">
            <v>AYUDA TEMPORAL A LAS FAMILIAS DE VARIAS LOCALIDADES, PARA RELOCALIZACIÓN DE HOGARES LOCALIZADOS EN ZONAS DE ALTO RIESGO NO MITIGABLE ID:2012-19-13820, LOCALIDAD:19 CIUDAD BOLÍVAR, UPZ:67 LUCERO.</v>
          </cell>
          <cell r="R1736">
            <v>4795154</v>
          </cell>
          <cell r="S1736">
            <v>0</v>
          </cell>
          <cell r="T1736">
            <v>0</v>
          </cell>
          <cell r="U1736">
            <v>4795154</v>
          </cell>
          <cell r="V1736">
            <v>2582006</v>
          </cell>
        </row>
        <row r="1737">
          <cell r="J1737">
            <v>1106</v>
          </cell>
          <cell r="K1737">
            <v>43143</v>
          </cell>
          <cell r="L1737" t="str">
            <v>DIANA DEL PILAR GALINDO GONZALEZ</v>
          </cell>
          <cell r="M1737">
            <v>31</v>
          </cell>
          <cell r="N1737" t="str">
            <v>RESOLUCION</v>
          </cell>
          <cell r="O1737">
            <v>717</v>
          </cell>
          <cell r="P1737">
            <v>43143</v>
          </cell>
          <cell r="Q1737" t="str">
            <v>AYUDA TEMPORAL A LAS FAMILIAS DE VARIAS LOCALIDADES, PARA RELOCALIZACIÓN DE HOGARES LOCALIZADOS EN ZONAS DE ALTO RIESGO NO MITIGABLE ID:2014-OTR-00946, LOCALIDAD:19 CIUDAD BOLÍVAR, UPZ:67 LUCERO, SECTOR:TABOR ALTALOMA</v>
          </cell>
          <cell r="R1737">
            <v>3248007</v>
          </cell>
          <cell r="S1737">
            <v>464001</v>
          </cell>
          <cell r="T1737">
            <v>0</v>
          </cell>
          <cell r="U1737">
            <v>2784006</v>
          </cell>
          <cell r="V1737">
            <v>2784006</v>
          </cell>
        </row>
        <row r="1738">
          <cell r="J1738">
            <v>1107</v>
          </cell>
          <cell r="K1738">
            <v>43143</v>
          </cell>
          <cell r="L1738" t="str">
            <v>JOSUE  MERCAZA PIRAZA</v>
          </cell>
          <cell r="M1738">
            <v>31</v>
          </cell>
          <cell r="N1738" t="str">
            <v>RESOLUCION</v>
          </cell>
          <cell r="O1738">
            <v>642</v>
          </cell>
          <cell r="P1738">
            <v>43143</v>
          </cell>
          <cell r="Q1738" t="str">
            <v>AYUDA TEMPORAL A LAS FAMILIAS DE VARIAS LOCALIDADES, PARA RELOCALIZACIÓN DE HOGARES LOCALIZADOS EN ZONAS DE ALTO RIESGO NO MITIGABLE ID:2014-W166-074, LOCALIDAD:19 CIUDAD BOLÍVAR, UPZ:68 EL TESORO, SECTOR:WOUNAAN</v>
          </cell>
          <cell r="R1738">
            <v>7000929</v>
          </cell>
          <cell r="S1738">
            <v>0</v>
          </cell>
          <cell r="T1738">
            <v>0</v>
          </cell>
          <cell r="U1738">
            <v>7000929</v>
          </cell>
          <cell r="V1738">
            <v>4308264</v>
          </cell>
        </row>
        <row r="1739">
          <cell r="J1739">
            <v>1108</v>
          </cell>
          <cell r="K1739">
            <v>43143</v>
          </cell>
          <cell r="L1739" t="str">
            <v>ANA LIBIA GORDILLO LEON</v>
          </cell>
          <cell r="M1739">
            <v>31</v>
          </cell>
          <cell r="N1739" t="str">
            <v>RESOLUCION</v>
          </cell>
          <cell r="O1739">
            <v>701</v>
          </cell>
          <cell r="P1739">
            <v>43143</v>
          </cell>
          <cell r="Q1739" t="str">
            <v>AYUDA TEMPORAL A LAS FAMILIAS DE VARIAS LOCALIDADES, PARA RELOCALIZACIÓN DE HOGARES LOCALIZADOS EN ZONAS DE ALTO RIESGO NO MITIGABLE ID:2011-4-12719, LOCALIDAD:04 SAN CRISTÓBAL, UPZ:32 SAN BLAS, SECTOR:</v>
          </cell>
          <cell r="R1739">
            <v>3022327</v>
          </cell>
          <cell r="S1739">
            <v>431761</v>
          </cell>
          <cell r="T1739">
            <v>0</v>
          </cell>
          <cell r="U1739">
            <v>2590566</v>
          </cell>
          <cell r="V1739">
            <v>2590566</v>
          </cell>
        </row>
        <row r="1740">
          <cell r="J1740">
            <v>1109</v>
          </cell>
          <cell r="K1740">
            <v>43143</v>
          </cell>
          <cell r="L1740" t="str">
            <v>LUZ MARINA GONZALEZ JUZGA</v>
          </cell>
          <cell r="M1740">
            <v>31</v>
          </cell>
          <cell r="N1740" t="str">
            <v>RESOLUCION</v>
          </cell>
          <cell r="O1740">
            <v>672</v>
          </cell>
          <cell r="P1740">
            <v>43143</v>
          </cell>
          <cell r="Q1740" t="str">
            <v>AYUDA TEMPORAL A LAS FAMILIAS DE VARIAS LOCALIDADES, PARA RELOCALIZACIÓN DE HOGARES LOCALIZADOS EN ZONAS DE ALTO RIESGO NO MITIGABLE ID:2014-Q05-01096, LOCALIDAD:19 CIUDAD BOLÍVAR, UPZ:67 LUCERO, SECTOR:QUEBRADA CAÑO BAÚL</v>
          </cell>
          <cell r="R1740">
            <v>5946005</v>
          </cell>
          <cell r="S1740">
            <v>0</v>
          </cell>
          <cell r="T1740">
            <v>0</v>
          </cell>
          <cell r="U1740">
            <v>5946005</v>
          </cell>
          <cell r="V1740">
            <v>3659080</v>
          </cell>
        </row>
        <row r="1741">
          <cell r="J1741">
            <v>1110</v>
          </cell>
          <cell r="K1741">
            <v>43143</v>
          </cell>
          <cell r="L1741" t="str">
            <v>JULIO CESAR MORENO VARGAS</v>
          </cell>
          <cell r="M1741">
            <v>31</v>
          </cell>
          <cell r="N1741" t="str">
            <v>RESOLUCION</v>
          </cell>
          <cell r="O1741">
            <v>718</v>
          </cell>
          <cell r="P1741">
            <v>43143</v>
          </cell>
          <cell r="Q1741" t="str">
            <v>AYUDA TEMPORAL A LAS FAMILIAS DE VARIAS LOCALIDADES, PARA RELOCALIZACIÓN DE HOGARES LOCALIZADOS EN ZONAS DE ALTO RIESGO NO MITIGABLE ID:2011-4-12664, LOCALIDAD:04 SAN CRISTÓBAL, UPZ:32 SAN BLAS</v>
          </cell>
          <cell r="R1741">
            <v>4795154</v>
          </cell>
          <cell r="S1741">
            <v>0</v>
          </cell>
          <cell r="T1741">
            <v>0</v>
          </cell>
          <cell r="U1741">
            <v>4795154</v>
          </cell>
          <cell r="V1741">
            <v>2950864</v>
          </cell>
        </row>
        <row r="1742">
          <cell r="J1742">
            <v>1111</v>
          </cell>
          <cell r="K1742">
            <v>43143</v>
          </cell>
          <cell r="L1742" t="str">
            <v>LUIS ALEJANDRO ARIAS VANEGAS</v>
          </cell>
          <cell r="M1742">
            <v>31</v>
          </cell>
          <cell r="N1742" t="str">
            <v>RESOLUCION</v>
          </cell>
          <cell r="O1742">
            <v>643</v>
          </cell>
          <cell r="P1742">
            <v>43143</v>
          </cell>
          <cell r="Q1742" t="str">
            <v>AYUDA TEMPORAL A LAS FAMILIAS DE VARIAS LOCALIDADES, PARA RELOCALIZACIÓN DE HOGARES LOCALIZADOS EN ZONAS DE ALTO RIESGO NO MITIGABLE ID:2013-Q10-00668, LOCALIDAD:04 SAN CRISTÓBAL, UPZ:51 LOS LIBERTADORES, SECTOR:QUEBRADA VEREJONES</v>
          </cell>
          <cell r="R1742">
            <v>6530693</v>
          </cell>
          <cell r="S1742">
            <v>0</v>
          </cell>
          <cell r="T1742">
            <v>0</v>
          </cell>
          <cell r="U1742">
            <v>6530693</v>
          </cell>
          <cell r="V1742">
            <v>4018888</v>
          </cell>
        </row>
        <row r="1743">
          <cell r="J1743">
            <v>1112</v>
          </cell>
          <cell r="K1743">
            <v>43143</v>
          </cell>
          <cell r="L1743" t="str">
            <v>GLORIA PATRICIA TANGARIFE GOMEZ</v>
          </cell>
          <cell r="M1743">
            <v>31</v>
          </cell>
          <cell r="N1743" t="str">
            <v>RESOLUCION</v>
          </cell>
          <cell r="O1743">
            <v>673</v>
          </cell>
          <cell r="P1743">
            <v>43143</v>
          </cell>
          <cell r="Q1743" t="str">
            <v>AYUDA TEMPORAL A LAS FAMILIAS DE VARIAS LOCALIDADES, PARA RELOCALIZACIÓN DE HOGARES LOCALIZADOS EN ZONAS DE ALTO RIESGO NO MITIGABLE ID:2015-D227-00027, LOCALIDAD:04 SAN CRISTÓBAL, UPZ:51 LOS LIBERTADORES, SECTOR:SANTA TERESITA</v>
          </cell>
          <cell r="R1743">
            <v>5529355</v>
          </cell>
          <cell r="S1743">
            <v>0</v>
          </cell>
          <cell r="T1743">
            <v>0</v>
          </cell>
          <cell r="U1743">
            <v>5529355</v>
          </cell>
          <cell r="V1743">
            <v>3402680</v>
          </cell>
        </row>
        <row r="1744">
          <cell r="J1744">
            <v>1113</v>
          </cell>
          <cell r="K1744">
            <v>43143</v>
          </cell>
          <cell r="L1744" t="str">
            <v>GLADYS  TRIANA BASTO</v>
          </cell>
          <cell r="M1744">
            <v>31</v>
          </cell>
          <cell r="N1744" t="str">
            <v>RESOLUCION</v>
          </cell>
          <cell r="O1744">
            <v>719</v>
          </cell>
          <cell r="P1744">
            <v>43143</v>
          </cell>
          <cell r="Q1744" t="str">
            <v>AYUDA TEMPORAL A LAS FAMILIAS DE VARIAS LOCALIDADES, PARA RELOCALIZACIÓN DE HOGARES LOCALIZADOS EN ZONAS DE ALTO RIESGO NO MITIGABLE ID:2010-19-12064, LOCALIDAD:19 CIUDAD BOLÍVAR, UPZ:69 ISMAEL PERDOMO, SECTOR:ALTOS DE LA ESTANCIA - OLA INVERNAL 2010 FOPAE</v>
          </cell>
          <cell r="R1744">
            <v>6991062</v>
          </cell>
          <cell r="S1744">
            <v>3226644</v>
          </cell>
          <cell r="T1744">
            <v>0</v>
          </cell>
          <cell r="U1744">
            <v>3764418</v>
          </cell>
          <cell r="V1744">
            <v>3764418</v>
          </cell>
        </row>
        <row r="1745">
          <cell r="J1745">
            <v>1114</v>
          </cell>
          <cell r="K1745">
            <v>43143</v>
          </cell>
          <cell r="L1745" t="str">
            <v>MARIA CIELITO RINCON GONZALEZ</v>
          </cell>
          <cell r="M1745">
            <v>31</v>
          </cell>
          <cell r="N1745" t="str">
            <v>RESOLUCION</v>
          </cell>
          <cell r="O1745">
            <v>702</v>
          </cell>
          <cell r="P1745">
            <v>43143</v>
          </cell>
          <cell r="Q1745" t="str">
            <v>AYUDA TEMPORAL A LAS FAMILIAS DE VARIAS LOCALIDADES, PARA RELOCALIZACIÓN DE HOGARES LOCALIZADOS EN ZONAS DE ALTO RIESGO NO MITIGABLE ID:2011-4-12663, LOCALIDAD:04 SAN CRISTÓBAL, UPZ:32 SAN BLAS, SECTOR:</v>
          </cell>
          <cell r="R1745">
            <v>5612893</v>
          </cell>
          <cell r="S1745">
            <v>0</v>
          </cell>
          <cell r="T1745">
            <v>0</v>
          </cell>
          <cell r="U1745">
            <v>5612893</v>
          </cell>
          <cell r="V1745">
            <v>3454088</v>
          </cell>
        </row>
        <row r="1746">
          <cell r="J1746">
            <v>1115</v>
          </cell>
          <cell r="K1746">
            <v>43143</v>
          </cell>
          <cell r="L1746" t="str">
            <v>CLAUDIA YANETH GONZALEZ MOYA</v>
          </cell>
          <cell r="M1746">
            <v>31</v>
          </cell>
          <cell r="N1746" t="str">
            <v>RESOLUCION</v>
          </cell>
          <cell r="O1746">
            <v>644</v>
          </cell>
          <cell r="P1746">
            <v>43143</v>
          </cell>
          <cell r="Q1746" t="str">
            <v>AYUDA TEMPORAL A LAS FAMILIAS DE VARIAS LOCALIDADES, PARA RELOCALIZACIÓN DE HOGARES LOCALIZADOS EN ZONAS DE ALTO RIESGO NO MITIGABLE ID:2013-Q10-00574, LOCALIDAD:04 SAN CRISTÓBAL, UPZ:51 LOS LIBERTADORES, SECTOR:QUEBRADA VEREJONES</v>
          </cell>
          <cell r="R1746">
            <v>5285280</v>
          </cell>
          <cell r="S1746">
            <v>0</v>
          </cell>
          <cell r="T1746">
            <v>0</v>
          </cell>
          <cell r="U1746">
            <v>5285280</v>
          </cell>
          <cell r="V1746">
            <v>3252480</v>
          </cell>
        </row>
        <row r="1747">
          <cell r="J1747">
            <v>1116</v>
          </cell>
          <cell r="K1747">
            <v>43143</v>
          </cell>
          <cell r="L1747" t="str">
            <v>ELOINA  NIÑO CARREÑO</v>
          </cell>
          <cell r="M1747">
            <v>31</v>
          </cell>
          <cell r="N1747" t="str">
            <v>RESOLUCION</v>
          </cell>
          <cell r="O1747">
            <v>720</v>
          </cell>
          <cell r="P1747">
            <v>43143</v>
          </cell>
          <cell r="Q1747" t="str">
            <v>AYUDA TEMPORAL A LAS FAMILIAS DE VARIAS LOCALIDADES, PARA RELOCALIZACIÓN DE HOGARES LOCALIZADOS EN ZONAS DE ALTO RIESGO NO MITIGABLE ID:2011-19-12876, LOCALIDAD:19 CIUDAD BOLÍVAR, UPZ:67 LUCERO</v>
          </cell>
          <cell r="R1747">
            <v>6127264</v>
          </cell>
          <cell r="S1747">
            <v>0</v>
          </cell>
          <cell r="T1747">
            <v>0</v>
          </cell>
          <cell r="U1747">
            <v>6127264</v>
          </cell>
          <cell r="V1747">
            <v>3770624</v>
          </cell>
        </row>
        <row r="1748">
          <cell r="J1748">
            <v>1117</v>
          </cell>
          <cell r="K1748">
            <v>43143</v>
          </cell>
          <cell r="L1748" t="str">
            <v>GLORIA EMILDA SANCHEZ SUAREZ</v>
          </cell>
          <cell r="M1748">
            <v>31</v>
          </cell>
          <cell r="N1748" t="str">
            <v>RESOLUCION</v>
          </cell>
          <cell r="O1748">
            <v>674</v>
          </cell>
          <cell r="P1748">
            <v>43143</v>
          </cell>
          <cell r="Q1748" t="str">
            <v>AYUDA TEMPORAL A LAS FAMILIAS DE VARIAS LOCALIDADES, PARA RELOCALIZACIÓN DE HOGARES LOCALIZADOS EN ZONAS DE ALTO RIESGO NO MITIGABLE ID:2016-08-14843, LOCALIDAD:08 KENNEDY, UPZ:82 PATIO BONITO, SECTOR:PALMITAS</v>
          </cell>
          <cell r="R1748">
            <v>7000929</v>
          </cell>
          <cell r="S1748">
            <v>0</v>
          </cell>
          <cell r="T1748">
            <v>0</v>
          </cell>
          <cell r="U1748">
            <v>7000929</v>
          </cell>
          <cell r="V1748">
            <v>4308264</v>
          </cell>
        </row>
        <row r="1749">
          <cell r="J1749">
            <v>1118</v>
          </cell>
          <cell r="K1749">
            <v>43143</v>
          </cell>
          <cell r="L1749" t="str">
            <v>ALEXANDER  ROJAS MOSQUERA</v>
          </cell>
          <cell r="M1749">
            <v>31</v>
          </cell>
          <cell r="N1749" t="str">
            <v>RESOLUCION</v>
          </cell>
          <cell r="O1749">
            <v>721</v>
          </cell>
          <cell r="P1749">
            <v>43143</v>
          </cell>
          <cell r="Q1749" t="str">
            <v>AYUDA TEMPORAL A LAS FAMILIAS DE VARIAS LOCALIDADES, PARA RELOCALIZACIÓN DE HOGARES LOCALIZADOS EN ZONAS DE ALTO RIESGO NO MITIGABLE ID:2012-ALES-18, LOCALIDAD:19 CIUDAD BOLÍVAR, UPZ:69 ISMAEL PERDOMO</v>
          </cell>
          <cell r="R1749">
            <v>6431698</v>
          </cell>
          <cell r="S1749">
            <v>0</v>
          </cell>
          <cell r="T1749">
            <v>0</v>
          </cell>
          <cell r="U1749">
            <v>6431698</v>
          </cell>
          <cell r="V1749">
            <v>3957968</v>
          </cell>
        </row>
        <row r="1750">
          <cell r="J1750">
            <v>1119</v>
          </cell>
          <cell r="K1750">
            <v>43143</v>
          </cell>
          <cell r="L1750" t="str">
            <v>LIBARDO  LONDOÑO ZULUAGA</v>
          </cell>
          <cell r="M1750">
            <v>31</v>
          </cell>
          <cell r="N1750" t="str">
            <v>RESOLUCION</v>
          </cell>
          <cell r="O1750">
            <v>645</v>
          </cell>
          <cell r="P1750">
            <v>43143</v>
          </cell>
          <cell r="Q1750" t="str">
            <v>AYUDA TEMPORAL A LAS FAMILIAS DE VARIAS LOCALIDADES, PARA RELOCALIZACIÓN DE HOGARES LOCALIZADOS EN ZONAS DE ALTO RIESGO NO MITIGABLE ID:2013-Q04-00527, LOCALIDAD:19 CIUDAD BOLÍVAR, UPZ:67 LUCERO, SECTOR:PEÑA COLORADA</v>
          </cell>
          <cell r="R1750">
            <v>3157315</v>
          </cell>
          <cell r="S1750">
            <v>0</v>
          </cell>
          <cell r="T1750">
            <v>0</v>
          </cell>
          <cell r="U1750">
            <v>3157315</v>
          </cell>
          <cell r="V1750">
            <v>1353135</v>
          </cell>
        </row>
        <row r="1751">
          <cell r="J1751">
            <v>1120</v>
          </cell>
          <cell r="K1751">
            <v>43143</v>
          </cell>
          <cell r="L1751" t="str">
            <v>CENAIDA  MORALES</v>
          </cell>
          <cell r="M1751">
            <v>31</v>
          </cell>
          <cell r="N1751" t="str">
            <v>RESOLUCION</v>
          </cell>
          <cell r="O1751">
            <v>675</v>
          </cell>
          <cell r="P1751">
            <v>43143</v>
          </cell>
          <cell r="Q1751" t="str">
            <v>AYUDA TEMPORAL A LAS FAMILIAS DE VARIAS LOCALIDADES, PARA RELOCALIZACIÓN DE HOGARES LOCALIZADOS EN ZONAS DE ALTO RIESGO NO MITIGABLE ID:2007-18-10235, LOCALIDAD:18 RAFAEL URIBE URIBE, UPZ:55 DIANA TURBAY</v>
          </cell>
          <cell r="R1751">
            <v>2677031</v>
          </cell>
          <cell r="S1751">
            <v>0</v>
          </cell>
          <cell r="T1751">
            <v>0</v>
          </cell>
          <cell r="U1751">
            <v>2677031</v>
          </cell>
          <cell r="V1751">
            <v>1147299</v>
          </cell>
        </row>
        <row r="1752">
          <cell r="J1752">
            <v>1121</v>
          </cell>
          <cell r="K1752">
            <v>43143</v>
          </cell>
          <cell r="L1752" t="str">
            <v>LUZ MARINA ASTAIZA AGREDO</v>
          </cell>
          <cell r="M1752">
            <v>31</v>
          </cell>
          <cell r="N1752" t="str">
            <v>RESOLUCION</v>
          </cell>
          <cell r="O1752">
            <v>703</v>
          </cell>
          <cell r="P1752">
            <v>43143</v>
          </cell>
          <cell r="Q1752" t="str">
            <v>AYUDA TEMPORAL A LAS FAMILIAS DE VARIAS LOCALIDADES, PARA RELOCALIZACIÓN DE HOGARES LOCALIZADOS EN ZONAS DE ALTO RIESGO NO MITIGABLE ID:2015-Q10-01457, LOCALIDAD:04 SAN CRISTÓBAL, UPZ:51 LOS LIBERTADORES, SECTOR:QUEBRADA VEREJONES</v>
          </cell>
          <cell r="R1752">
            <v>6032013</v>
          </cell>
          <cell r="S1752">
            <v>0</v>
          </cell>
          <cell r="T1752">
            <v>0</v>
          </cell>
          <cell r="U1752">
            <v>6032013</v>
          </cell>
          <cell r="V1752">
            <v>3712008</v>
          </cell>
        </row>
        <row r="1753">
          <cell r="J1753">
            <v>1122</v>
          </cell>
          <cell r="K1753">
            <v>43143</v>
          </cell>
          <cell r="L1753" t="str">
            <v>ALBA CECILIA AGUIRRE LOPEZ</v>
          </cell>
          <cell r="M1753">
            <v>31</v>
          </cell>
          <cell r="N1753" t="str">
            <v>RESOLUCION</v>
          </cell>
          <cell r="O1753">
            <v>722</v>
          </cell>
          <cell r="P1753">
            <v>43143</v>
          </cell>
          <cell r="Q1753" t="str">
            <v>AYUDA TEMPORAL A LAS FAMILIAS DE VARIAS LOCALIDADES, PARA RELOCALIZACIÓN DE HOGARES LOCALIZADOS EN ZONAS DE ALTO RIESGO NO MITIGABLE ID:2007-19-10333, LOCALIDAD:19 CIUDAD BOLÍVAR, UPZ:67 LUCERO, SECTOR:QUEBRADA HONDA</v>
          </cell>
          <cell r="R1753">
            <v>4943562</v>
          </cell>
          <cell r="S1753">
            <v>0</v>
          </cell>
          <cell r="T1753">
            <v>0</v>
          </cell>
          <cell r="U1753">
            <v>4943562</v>
          </cell>
          <cell r="V1753">
            <v>3042192</v>
          </cell>
        </row>
        <row r="1754">
          <cell r="J1754">
            <v>1123</v>
          </cell>
          <cell r="K1754">
            <v>43143</v>
          </cell>
          <cell r="L1754" t="str">
            <v>YENNY PAOLA DAZA MOTTA</v>
          </cell>
          <cell r="M1754">
            <v>31</v>
          </cell>
          <cell r="N1754" t="str">
            <v>RESOLUCION</v>
          </cell>
          <cell r="O1754">
            <v>646</v>
          </cell>
          <cell r="P1754">
            <v>43143</v>
          </cell>
          <cell r="Q1754" t="str">
            <v>AYUDA TEMPORAL A LAS FAMILIAS DE VARIAS LOCALIDADES, PARA RELOCALIZACIÓN DE HOGARES LOCALIZADOS EN ZONAS DE ALTO RIESGO NO MITIGABLE ID:2014-4-14720, LOCALIDAD:04 SAN CRISTÓBAL, UPZ:32 SAN BLAS, SECTOR:</v>
          </cell>
          <cell r="R1754">
            <v>2685291</v>
          </cell>
          <cell r="S1754">
            <v>383613</v>
          </cell>
          <cell r="T1754">
            <v>0</v>
          </cell>
          <cell r="U1754">
            <v>2301678</v>
          </cell>
          <cell r="V1754">
            <v>2301678</v>
          </cell>
        </row>
        <row r="1755">
          <cell r="J1755">
            <v>1124</v>
          </cell>
          <cell r="K1755">
            <v>43143</v>
          </cell>
          <cell r="L1755" t="str">
            <v>ROSA MARIA MUÑOZ QUISABONI</v>
          </cell>
          <cell r="M1755">
            <v>31</v>
          </cell>
          <cell r="N1755" t="str">
            <v>RESOLUCION</v>
          </cell>
          <cell r="O1755">
            <v>676</v>
          </cell>
          <cell r="P1755">
            <v>43143</v>
          </cell>
          <cell r="Q1755" t="str">
            <v>AYUDA TEMPORAL A LAS FAMILIAS DE VARIAS LOCALIDADES, PARA RELOCALIZACIÓN DE HOGARES LOCALIZADOS EN ZONAS DE ALTO RIESGO NO MITIGABLE ID:2012-18-14308, LOCALIDAD:18 RAFAEL URIBE URIBE, UPZ:55 DIANA TURBAY</v>
          </cell>
          <cell r="R1755">
            <v>3094175</v>
          </cell>
          <cell r="S1755">
            <v>442025</v>
          </cell>
          <cell r="T1755">
            <v>0</v>
          </cell>
          <cell r="U1755">
            <v>2652150</v>
          </cell>
          <cell r="V1755">
            <v>2652150</v>
          </cell>
        </row>
        <row r="1756">
          <cell r="J1756">
            <v>1125</v>
          </cell>
          <cell r="K1756">
            <v>43143</v>
          </cell>
          <cell r="L1756" t="str">
            <v>LUZ NEIDA GARCIA MORA</v>
          </cell>
          <cell r="M1756">
            <v>31</v>
          </cell>
          <cell r="N1756" t="str">
            <v>RESOLUCION</v>
          </cell>
          <cell r="O1756">
            <v>704</v>
          </cell>
          <cell r="P1756">
            <v>43143</v>
          </cell>
          <cell r="Q1756" t="str">
            <v>AYUDA TEMPORAL A LAS FAMILIAS DE VARIAS LOCALIDADES, PARA RELOCALIZACIÓN DE HOGARES LOCALIZADOS EN ZONAS DE ALTO RIESGO NO MITIGABLE ID:2016-08-14795, LOCALIDAD:08 KENNEDY, UPZ:82 PATIO BONITO, SECTOR:PALMITAS</v>
          </cell>
          <cell r="R1756">
            <v>7000929</v>
          </cell>
          <cell r="S1756">
            <v>0</v>
          </cell>
          <cell r="T1756">
            <v>0</v>
          </cell>
          <cell r="U1756">
            <v>7000929</v>
          </cell>
          <cell r="V1756">
            <v>3231198</v>
          </cell>
        </row>
        <row r="1757">
          <cell r="J1757">
            <v>1126</v>
          </cell>
          <cell r="K1757">
            <v>43143</v>
          </cell>
          <cell r="L1757" t="str">
            <v>NELSON  DELGADO LOPEZ</v>
          </cell>
          <cell r="M1757">
            <v>31</v>
          </cell>
          <cell r="N1757" t="str">
            <v>RESOLUCION</v>
          </cell>
          <cell r="O1757">
            <v>723</v>
          </cell>
          <cell r="P1757">
            <v>43143</v>
          </cell>
          <cell r="Q1757" t="str">
            <v>AYUDA TEMPORAL A LAS FAMILIAS DE VARIAS LOCALIDADES, PARA RELOCALIZACIÓN DE HOGARES LOCALIZADOS EN ZONAS DE ALTO RIESGO NO MITIGABLE ID:2014-OTR-00884, LOCALIDAD:03 SANTA FE, UPZ:96 LOURDES, SECTOR:CASA 2</v>
          </cell>
          <cell r="R1757">
            <v>3516527</v>
          </cell>
          <cell r="S1757">
            <v>502361</v>
          </cell>
          <cell r="T1757">
            <v>0</v>
          </cell>
          <cell r="U1757">
            <v>3014166</v>
          </cell>
          <cell r="V1757">
            <v>3014166</v>
          </cell>
        </row>
        <row r="1758">
          <cell r="J1758">
            <v>1127</v>
          </cell>
          <cell r="K1758">
            <v>43143</v>
          </cell>
          <cell r="L1758" t="str">
            <v>ANGELICA  PERDIZ ISMARE</v>
          </cell>
          <cell r="M1758">
            <v>31</v>
          </cell>
          <cell r="N1758" t="str">
            <v>RESOLUCION</v>
          </cell>
          <cell r="O1758">
            <v>647</v>
          </cell>
          <cell r="P1758">
            <v>43143</v>
          </cell>
          <cell r="Q1758" t="str">
            <v>AYUDA TEMPORAL A LAS FAMILIAS DE VARIAS LOCALIDADES, PARA RELOCALIZACIÓN DE HOGARES LOCALIZADOS EN ZONAS DE ALTO RIESGO NO MITIGABLE ID:2015-W166-511, LOCALIDAD:19 CIUDAD BOLÍVAR, UPZ:67 LUCERO, SECTOR:WOUNAAN</v>
          </cell>
          <cell r="R1758">
            <v>7539090</v>
          </cell>
          <cell r="S1758">
            <v>0</v>
          </cell>
          <cell r="T1758">
            <v>0</v>
          </cell>
          <cell r="U1758">
            <v>7539090</v>
          </cell>
          <cell r="V1758">
            <v>4639440</v>
          </cell>
        </row>
        <row r="1759">
          <cell r="J1759">
            <v>1128</v>
          </cell>
          <cell r="K1759">
            <v>43143</v>
          </cell>
          <cell r="L1759" t="str">
            <v>LUIS GREGORIO PEÑA MORA</v>
          </cell>
          <cell r="M1759">
            <v>31</v>
          </cell>
          <cell r="N1759" t="str">
            <v>RESOLUCION</v>
          </cell>
          <cell r="O1759">
            <v>677</v>
          </cell>
          <cell r="P1759">
            <v>43143</v>
          </cell>
          <cell r="Q1759" t="str">
            <v>AYUDA TEMPORAL A LAS FAMILIAS DE VARIAS LOCALIDADES, PARA RELOCALIZACIÓN DE HOGARES LOCALIZADOS EN ZONAS DE ALTO RIESGO NO MITIGABLE ID:2012-18-14365, LOCALIDAD:18 RAFAEL URIBE URIBE, UPZ:55 DIANA TURBAY</v>
          </cell>
          <cell r="R1759">
            <v>5612893</v>
          </cell>
          <cell r="S1759">
            <v>0</v>
          </cell>
          <cell r="T1759">
            <v>0</v>
          </cell>
          <cell r="U1759">
            <v>5612893</v>
          </cell>
          <cell r="V1759">
            <v>3454088</v>
          </cell>
        </row>
        <row r="1760">
          <cell r="J1760">
            <v>1129</v>
          </cell>
          <cell r="K1760">
            <v>43143</v>
          </cell>
          <cell r="L1760" t="str">
            <v>GLADYS  CIFUENTES CASTAÑEDA</v>
          </cell>
          <cell r="M1760">
            <v>31</v>
          </cell>
          <cell r="N1760" t="str">
            <v>RESOLUCION</v>
          </cell>
          <cell r="O1760">
            <v>724</v>
          </cell>
          <cell r="P1760">
            <v>43143</v>
          </cell>
          <cell r="Q1760" t="str">
            <v>AYUDA TEMPORAL A LAS FAMILIAS DE VARIAS LOCALIDADES, PARA RELOCALIZACIÓN DE HOGARES LOCALIZADOS EN ZONAS DE ALTO RIESGO NO MITIGABLE ID:2012-19-14088, LOCALIDAD:19 CIUDAD BOLÍVAR, UPZ:68 EL TESORO, SECTOR:QUEBRADA TROMPETA</v>
          </cell>
          <cell r="R1760">
            <v>2788569</v>
          </cell>
          <cell r="S1760">
            <v>398367</v>
          </cell>
          <cell r="T1760">
            <v>0</v>
          </cell>
          <cell r="U1760">
            <v>2390202</v>
          </cell>
          <cell r="V1760">
            <v>2390202</v>
          </cell>
        </row>
        <row r="1761">
          <cell r="J1761">
            <v>1130</v>
          </cell>
          <cell r="K1761">
            <v>43143</v>
          </cell>
          <cell r="L1761" t="str">
            <v>JAIME ORLANDO CHECA MORA</v>
          </cell>
          <cell r="M1761">
            <v>31</v>
          </cell>
          <cell r="N1761" t="str">
            <v>RESOLUCION</v>
          </cell>
          <cell r="O1761">
            <v>678</v>
          </cell>
          <cell r="P1761">
            <v>43143</v>
          </cell>
          <cell r="Q1761" t="str">
            <v>AYUDA TEMPORAL A LAS FAMILIAS DE VARIAS LOCALIDADES, PARA RELOCALIZACIÓN DE HOGARES LOCALIZADOS EN ZONAS DE ALTO RIESGO NO MITIGABLE ID:2011-4-13653, LOCALIDAD:04 SAN CRISTÓBAL, UPZ:34 20 DE JULIO</v>
          </cell>
          <cell r="R1761">
            <v>2943493</v>
          </cell>
          <cell r="S1761">
            <v>420499</v>
          </cell>
          <cell r="T1761">
            <v>0</v>
          </cell>
          <cell r="U1761">
            <v>2522994</v>
          </cell>
          <cell r="V1761">
            <v>2522994</v>
          </cell>
        </row>
        <row r="1762">
          <cell r="J1762">
            <v>1131</v>
          </cell>
          <cell r="K1762">
            <v>43143</v>
          </cell>
          <cell r="L1762" t="str">
            <v>OLIVERIO  VARGAS GONZALEZ</v>
          </cell>
          <cell r="M1762">
            <v>31</v>
          </cell>
          <cell r="N1762" t="str">
            <v>RESOLUCION</v>
          </cell>
          <cell r="O1762">
            <v>725</v>
          </cell>
          <cell r="P1762">
            <v>43143</v>
          </cell>
          <cell r="Q1762" t="str">
            <v>AYUDA TEMPORAL A LAS FAMILIAS DE VARIAS LOCALIDADES, PARA RELOCALIZACIÓN DE HOGARES LOCALIZADOS EN ZONAS DE ALTO RIESGO NO MITIGABLE ID:2014-Q04-00995, LOCALIDAD:19 CIUDAD BOLÍVAR, UPZ:67 LUCERO, SECTOR:PEÑA COLORADA</v>
          </cell>
          <cell r="R1762">
            <v>3614814</v>
          </cell>
          <cell r="S1762">
            <v>0</v>
          </cell>
          <cell r="T1762">
            <v>0</v>
          </cell>
          <cell r="U1762">
            <v>3614814</v>
          </cell>
          <cell r="V1762">
            <v>1032804</v>
          </cell>
        </row>
        <row r="1763">
          <cell r="J1763">
            <v>1132</v>
          </cell>
          <cell r="K1763">
            <v>43143</v>
          </cell>
          <cell r="L1763" t="str">
            <v>FLORENTINO  BARRERA SUAREZ</v>
          </cell>
          <cell r="M1763">
            <v>31</v>
          </cell>
          <cell r="N1763" t="str">
            <v>RESOLUCION</v>
          </cell>
          <cell r="O1763">
            <v>679</v>
          </cell>
          <cell r="P1763">
            <v>43143</v>
          </cell>
          <cell r="Q1763" t="str">
            <v>AYUDA TEMPORAL A LAS FAMILIAS DE VARIAS LOCALIDADES, PARA RELOCALIZACIÓN DE HOGARES LOCALIZADOS EN ZONAS DE ALTO RIESGO NO MITIGABLE ID:2012-3-14351, LOCALIDAD:03 SANTA FE, UPZ:96 LOURDES</v>
          </cell>
          <cell r="R1763">
            <v>3201695</v>
          </cell>
          <cell r="S1763">
            <v>457385</v>
          </cell>
          <cell r="T1763">
            <v>0</v>
          </cell>
          <cell r="U1763">
            <v>2744310</v>
          </cell>
          <cell r="V1763">
            <v>2744310</v>
          </cell>
        </row>
        <row r="1764">
          <cell r="J1764">
            <v>1133</v>
          </cell>
          <cell r="K1764">
            <v>43143</v>
          </cell>
          <cell r="L1764" t="str">
            <v>NATALI  RIVERA PELAEZ</v>
          </cell>
          <cell r="M1764">
            <v>31</v>
          </cell>
          <cell r="N1764" t="str">
            <v>RESOLUCION</v>
          </cell>
          <cell r="O1764">
            <v>726</v>
          </cell>
          <cell r="P1764">
            <v>43143</v>
          </cell>
          <cell r="Q1764" t="str">
            <v>AYUDA TEMPORAL A LAS FAMILIAS DE VARIAS LOCALIDADES, PARA RELOCALIZACIÓN DE HOGARES LOCALIZADOS EN ZONAS DE ALTO RIESGO NO MITIGABLE ID:2016-08-14792, LOCALIDAD:08 KENNEDY, UPZ:82 PATIO BONITO, SECTOR:PALMITAS</v>
          </cell>
          <cell r="R1764">
            <v>3718092</v>
          </cell>
          <cell r="S1764">
            <v>531156</v>
          </cell>
          <cell r="T1764">
            <v>0</v>
          </cell>
          <cell r="U1764">
            <v>3186936</v>
          </cell>
          <cell r="V1764">
            <v>3186936</v>
          </cell>
        </row>
        <row r="1765">
          <cell r="J1765">
            <v>1134</v>
          </cell>
          <cell r="K1765">
            <v>43143</v>
          </cell>
          <cell r="L1765" t="str">
            <v>LINA PAOLA GALINDO ARGUELLO</v>
          </cell>
          <cell r="M1765">
            <v>31</v>
          </cell>
          <cell r="N1765" t="str">
            <v>RESOLUCION</v>
          </cell>
          <cell r="O1765">
            <v>727</v>
          </cell>
          <cell r="P1765">
            <v>43143</v>
          </cell>
          <cell r="Q1765" t="str">
            <v>AYUDA TEMPORAL A LAS FAMILIAS DE VARIAS LOCALIDADES, PARA RELOCALIZACIÓN DE HOGARES LOCALIZADOS EN ZONAS DE ALTO RIESGO NO MITIGABLE ID:2015-4-14738, LOCALIDAD:04 SAN CRISTÓBAL, UPZ:32 SAN BLAS</v>
          </cell>
          <cell r="R1765">
            <v>6533774</v>
          </cell>
          <cell r="S1765">
            <v>0</v>
          </cell>
          <cell r="T1765">
            <v>0</v>
          </cell>
          <cell r="U1765">
            <v>6533774</v>
          </cell>
          <cell r="V1765">
            <v>4020784</v>
          </cell>
        </row>
        <row r="1766">
          <cell r="J1766">
            <v>1135</v>
          </cell>
          <cell r="K1766">
            <v>43143</v>
          </cell>
          <cell r="L1766" t="str">
            <v>FLORENCIO  FORERO ARTEAGA</v>
          </cell>
          <cell r="M1766">
            <v>31</v>
          </cell>
          <cell r="N1766" t="str">
            <v>RESOLUCION</v>
          </cell>
          <cell r="O1766">
            <v>728</v>
          </cell>
          <cell r="P1766">
            <v>43143</v>
          </cell>
          <cell r="Q1766" t="str">
            <v>AYUDA TEMPORAL A LAS FAMILIAS DE VARIAS LOCALIDADES, PARA RELOCALIZACIÓN DE HOGARES LOCALIZADOS EN ZONAS DE ALTO RIESGO NO MITIGABLE ID:2011-19-12836, LOCALIDAD:19 CIUDAD BOLÍVAR, UPZ:67 LUCERO, SECTOR:LIMAS</v>
          </cell>
          <cell r="R1766">
            <v>3873016</v>
          </cell>
          <cell r="S1766">
            <v>0</v>
          </cell>
          <cell r="T1766">
            <v>0</v>
          </cell>
          <cell r="U1766">
            <v>3873016</v>
          </cell>
          <cell r="V1766">
            <v>2766440</v>
          </cell>
        </row>
        <row r="1767">
          <cell r="J1767">
            <v>1136</v>
          </cell>
          <cell r="K1767">
            <v>43143</v>
          </cell>
          <cell r="L1767" t="str">
            <v>ROBERTO  DUQUE ARCIA</v>
          </cell>
          <cell r="M1767">
            <v>31</v>
          </cell>
          <cell r="N1767" t="str">
            <v>RESOLUCION</v>
          </cell>
          <cell r="O1767">
            <v>729</v>
          </cell>
          <cell r="P1767">
            <v>43143</v>
          </cell>
          <cell r="Q1767" t="str">
            <v>AYUDA TEMPORAL A LAS FAMILIAS DE VARIAS LOCALIDADES, PARA RELOCALIZACIÓN DE HOGARES LOCALIZADOS EN ZONAS DE ALTO RIESGO NO MITIGABLE ID:2003-19-5298, LOCALIDAD:19 CIUDAD BOLÍVAR, UPZ:69 ISMAEL PERDOMO, SECTOR:ALTOS DE LA ESTANCIA</v>
          </cell>
          <cell r="R1767">
            <v>2685291</v>
          </cell>
          <cell r="S1767">
            <v>0</v>
          </cell>
          <cell r="T1767">
            <v>0</v>
          </cell>
          <cell r="U1767">
            <v>2685291</v>
          </cell>
          <cell r="V1767">
            <v>1150839</v>
          </cell>
        </row>
        <row r="1768">
          <cell r="J1768">
            <v>1137</v>
          </cell>
          <cell r="K1768">
            <v>43143</v>
          </cell>
          <cell r="L1768" t="str">
            <v>CLAUDIA PATRICIA SANCHEZ ESCOBAR</v>
          </cell>
          <cell r="M1768">
            <v>31</v>
          </cell>
          <cell r="N1768" t="str">
            <v>RESOLUCION</v>
          </cell>
          <cell r="O1768">
            <v>730</v>
          </cell>
          <cell r="P1768">
            <v>43143</v>
          </cell>
          <cell r="Q1768" t="str">
            <v>AYUDA TEMPORAL A LAS FAMILIAS DE VARIAS LOCALIDADES, PARA RELOCALIZACIÓN DE HOGARES LOCALIZADOS EN ZONAS DE ALTO RIESGO NO MITIGABLE ID:2013-Q04-00233, LOCALIDAD:04 SAN CRISTÓBAL, UPZ:51 LOS LIBERTADORES, SECTOR:QUEBRADA VEREJONES</v>
          </cell>
          <cell r="R1768">
            <v>6713226</v>
          </cell>
          <cell r="S1768">
            <v>0</v>
          </cell>
          <cell r="T1768">
            <v>0</v>
          </cell>
          <cell r="U1768">
            <v>6713226</v>
          </cell>
          <cell r="V1768">
            <v>4131216</v>
          </cell>
        </row>
        <row r="1769">
          <cell r="J1769">
            <v>1138</v>
          </cell>
          <cell r="K1769">
            <v>43143</v>
          </cell>
          <cell r="L1769" t="str">
            <v>ANA JOAQUINA PARDO PARDO</v>
          </cell>
          <cell r="M1769">
            <v>31</v>
          </cell>
          <cell r="N1769" t="str">
            <v>RESOLUCION</v>
          </cell>
          <cell r="O1769">
            <v>731</v>
          </cell>
          <cell r="P1769">
            <v>43143</v>
          </cell>
          <cell r="Q1769" t="str">
            <v>AYUDA TEMPORAL A LAS FAMILIAS DE VARIAS LOCALIDADES, PARA RELOCALIZACIÓN DE HOGARES LOCALIZADOS EN ZONAS DE ALTO RIESGO NO MITIGABLE ID:2015-Q20-01330, LOCALIDAD:04 SAN CRISTÓBAL, UPZ:50 LA GLORIA, SECTOR:LA CHIGUAZA</v>
          </cell>
          <cell r="R1769">
            <v>2788569</v>
          </cell>
          <cell r="S1769">
            <v>0</v>
          </cell>
          <cell r="T1769">
            <v>0</v>
          </cell>
          <cell r="U1769">
            <v>2788569</v>
          </cell>
          <cell r="V1769">
            <v>2390202</v>
          </cell>
        </row>
        <row r="1770">
          <cell r="J1770">
            <v>1139</v>
          </cell>
          <cell r="K1770">
            <v>43143</v>
          </cell>
          <cell r="L1770" t="str">
            <v>CARMEN ROSA POVEDA CAMACHO</v>
          </cell>
          <cell r="M1770">
            <v>31</v>
          </cell>
          <cell r="N1770" t="str">
            <v>RESOLUCION</v>
          </cell>
          <cell r="O1770">
            <v>732</v>
          </cell>
          <cell r="P1770">
            <v>43143</v>
          </cell>
          <cell r="Q1770" t="str">
            <v>AYUDA TEMPORAL A LAS FAMILIAS DE VARIAS LOCALIDADES, PARA RELOCALIZACIÓN DE HOGARES LOCALIZADOS EN ZONAS DE ALTO RIESGO NO MITIGABLE ID:2014-Q07-00795, LOCALIDAD:19 CIUDAD BOLÍVAR, UPZ:68 EL TESORO, SECTOR:QUEBRADA GALINDO</v>
          </cell>
          <cell r="R1770">
            <v>3330061</v>
          </cell>
          <cell r="S1770">
            <v>3330061</v>
          </cell>
          <cell r="T1770">
            <v>0</v>
          </cell>
          <cell r="U1770">
            <v>0</v>
          </cell>
          <cell r="V1770">
            <v>0</v>
          </cell>
        </row>
        <row r="1771">
          <cell r="J1771">
            <v>1140</v>
          </cell>
          <cell r="K1771">
            <v>43143</v>
          </cell>
          <cell r="L1771" t="str">
            <v>HILDA LEONOR HIDALGO URREGO</v>
          </cell>
          <cell r="M1771">
            <v>31</v>
          </cell>
          <cell r="N1771" t="str">
            <v>RESOLUCION</v>
          </cell>
          <cell r="O1771">
            <v>733</v>
          </cell>
          <cell r="P1771">
            <v>43143</v>
          </cell>
          <cell r="Q1771" t="str">
            <v>AYUDA TEMPORAL A LAS FAMILIAS DE VARIAS LOCALIDADES, PARA RELOCALIZACIÓN DE HOGARES LOCALIZADOS EN ZONAS DE ALTO RIESGO NO MITIGABLE ID:2012-19-14580, LOCALIDAD:19 CIUDAD BOLÍVAR, UPZ:68 EL TESORO, SECTOR:QUEBRADA TROMPETA</v>
          </cell>
          <cell r="R1771">
            <v>3570210</v>
          </cell>
          <cell r="S1771">
            <v>510030</v>
          </cell>
          <cell r="T1771">
            <v>0</v>
          </cell>
          <cell r="U1771">
            <v>3060180</v>
          </cell>
          <cell r="V1771">
            <v>3060180</v>
          </cell>
        </row>
        <row r="1772">
          <cell r="J1772">
            <v>1141</v>
          </cell>
          <cell r="K1772">
            <v>43143</v>
          </cell>
          <cell r="L1772" t="str">
            <v>EVARISTO  HEREDIA CAMACHO</v>
          </cell>
          <cell r="M1772">
            <v>31</v>
          </cell>
          <cell r="N1772" t="str">
            <v>RESOLUCION</v>
          </cell>
          <cell r="O1772">
            <v>734</v>
          </cell>
          <cell r="P1772">
            <v>43143</v>
          </cell>
          <cell r="Q1772" t="str">
            <v>AYUDA TEMPORAL A LAS FAMILIAS DE VARIAS LOCALIDADES, PARA RELOCALIZACIÓN DE HOGARES LOCALIZADOS EN ZONAS DE ALTO RIESGO NO MITIGABLE ID:2010-18-12318, LOCALIDAD:18 RAFAEL URIBE URIBE, UPZ:55 DIANA TURBAY, SECTOR:OLA INVERNAL 2010 FOPAE</v>
          </cell>
          <cell r="R1772">
            <v>3263008</v>
          </cell>
          <cell r="S1772">
            <v>932288</v>
          </cell>
          <cell r="T1772">
            <v>0</v>
          </cell>
          <cell r="U1772">
            <v>2330720</v>
          </cell>
          <cell r="V1772">
            <v>2330720</v>
          </cell>
        </row>
        <row r="1773">
          <cell r="J1773">
            <v>1142</v>
          </cell>
          <cell r="K1773">
            <v>43143</v>
          </cell>
          <cell r="L1773" t="str">
            <v>EVANGELISTA  ARDILA QUIROGA</v>
          </cell>
          <cell r="M1773">
            <v>31</v>
          </cell>
          <cell r="N1773" t="str">
            <v>RESOLUCION</v>
          </cell>
          <cell r="O1773">
            <v>705</v>
          </cell>
          <cell r="P1773">
            <v>43143</v>
          </cell>
          <cell r="Q1773" t="str">
            <v>AYUDA TEMPORAL A LAS FAMILIAS DE VARIAS LOCALIDADES, PARA RELOCALIZACIÓN DE HOGARES LOCALIZADOS EN ZONAS DE ALTO RIESGO NO MITIGABLE ID:2012-19-14220, LOCALIDAD:19 CIUDAD BOLÍVAR, UPZ:68 EL TESORO, SECTOR:QUEBRADA TROMPETA</v>
          </cell>
          <cell r="R1773">
            <v>2685291</v>
          </cell>
          <cell r="S1773">
            <v>383613</v>
          </cell>
          <cell r="T1773">
            <v>0</v>
          </cell>
          <cell r="U1773">
            <v>2301678</v>
          </cell>
          <cell r="V1773">
            <v>2301678</v>
          </cell>
        </row>
        <row r="1774">
          <cell r="J1774">
            <v>1143</v>
          </cell>
          <cell r="K1774">
            <v>43143</v>
          </cell>
          <cell r="L1774" t="str">
            <v>MARIA DEL CARMEN CEPEDA DE MORENO</v>
          </cell>
          <cell r="M1774">
            <v>31</v>
          </cell>
          <cell r="N1774" t="str">
            <v>RESOLUCION</v>
          </cell>
          <cell r="O1774">
            <v>735</v>
          </cell>
          <cell r="P1774">
            <v>43143</v>
          </cell>
          <cell r="Q1774" t="str">
            <v>AYUDA TEMPORAL A LAS FAMILIAS DE VARIAS LOCALIDADES, PARA RELOCALIZACIÓN DE HOGARES LOCALIZADOS EN ZONAS DE ALTO RIESGO NO MITIGABLE ID:2015-D227-00052, LOCALIDAD:04 SAN CRISTÓBAL, UPZ:51 LOS LIBERTADORES, SECTOR:SANTA TERESITA</v>
          </cell>
          <cell r="R1774">
            <v>3041416</v>
          </cell>
          <cell r="S1774">
            <v>0</v>
          </cell>
          <cell r="T1774">
            <v>0</v>
          </cell>
          <cell r="U1774">
            <v>3041416</v>
          </cell>
          <cell r="V1774">
            <v>2661239</v>
          </cell>
        </row>
        <row r="1775">
          <cell r="J1775">
            <v>1144</v>
          </cell>
          <cell r="K1775">
            <v>43143</v>
          </cell>
          <cell r="L1775" t="str">
            <v>LAURENCIO  REYES SANABRIA</v>
          </cell>
          <cell r="M1775">
            <v>31</v>
          </cell>
          <cell r="N1775" t="str">
            <v>RESOLUCION</v>
          </cell>
          <cell r="O1775">
            <v>736</v>
          </cell>
          <cell r="P1775">
            <v>43143</v>
          </cell>
          <cell r="Q1775" t="str">
            <v>AYUDA TEMPORAL A LAS FAMILIAS DE VARIAS LOCALIDADES, PARA RELOCALIZACIÓN DE HOGARES LOCALIZADOS EN ZONAS DE ALTO RIESGO NO MITIGABLE ID:2015-OTR-01477, LOCALIDAD:19 CIUDAD BOLÍVAR, UPZ:67 LUCERO, SECTOR:TABOR ALTALOMA</v>
          </cell>
          <cell r="R1775">
            <v>3608360</v>
          </cell>
          <cell r="S1775">
            <v>0</v>
          </cell>
          <cell r="T1775">
            <v>0</v>
          </cell>
          <cell r="U1775">
            <v>3608360</v>
          </cell>
          <cell r="V1775">
            <v>3157315</v>
          </cell>
        </row>
        <row r="1776">
          <cell r="J1776">
            <v>1145</v>
          </cell>
          <cell r="K1776">
            <v>43143</v>
          </cell>
          <cell r="L1776" t="str">
            <v>CONCEPCION  TOVAR MUÑOZ</v>
          </cell>
          <cell r="M1776">
            <v>31</v>
          </cell>
          <cell r="N1776" t="str">
            <v>RESOLUCION</v>
          </cell>
          <cell r="O1776">
            <v>706</v>
          </cell>
          <cell r="P1776">
            <v>43143</v>
          </cell>
          <cell r="Q1776" t="str">
            <v>AYUDA TEMPORAL A LAS FAMILIAS DE VARIAS LOCALIDADES, PARA RELOCALIZACIÓN DE HOGARES LOCALIZADOS EN ZONAS DE ALTO RIESGO NO MITIGABLE ID:2011-5-12895, LOCALIDAD:05 USME, UPZ:61 CIUDAD DE USME, SECTOR:</v>
          </cell>
          <cell r="R1776">
            <v>3374280</v>
          </cell>
          <cell r="S1776">
            <v>482040</v>
          </cell>
          <cell r="T1776">
            <v>0</v>
          </cell>
          <cell r="U1776">
            <v>2892240</v>
          </cell>
          <cell r="V1776">
            <v>2892240</v>
          </cell>
        </row>
        <row r="1777">
          <cell r="J1777">
            <v>1146</v>
          </cell>
          <cell r="K1777">
            <v>43143</v>
          </cell>
          <cell r="L1777" t="str">
            <v>ROSA GLORIA CARDENAS MORA</v>
          </cell>
          <cell r="M1777">
            <v>31</v>
          </cell>
          <cell r="N1777" t="str">
            <v>RESOLUCION</v>
          </cell>
          <cell r="O1777">
            <v>707</v>
          </cell>
          <cell r="P1777">
            <v>43143</v>
          </cell>
          <cell r="Q1777" t="str">
            <v>AYUDA TEMPORAL A LAS FAMILIAS DE VARIAS LOCALIDADES, PARA RELOCALIZACIÓN DE HOGARES LOCALIZADOS EN ZONAS DE ALTO RIESGO NO MITIGABLE ID:2011-19-13484, LOCALIDAD:19 CIUDAD BOLÍVAR, UPZ:68 EL TESORO, SECTOR:</v>
          </cell>
          <cell r="R1777">
            <v>6530693</v>
          </cell>
          <cell r="S1777">
            <v>0</v>
          </cell>
          <cell r="T1777">
            <v>0</v>
          </cell>
          <cell r="U1777">
            <v>6530693</v>
          </cell>
          <cell r="V1777">
            <v>4018888</v>
          </cell>
        </row>
        <row r="1778">
          <cell r="J1778">
            <v>1147</v>
          </cell>
          <cell r="K1778">
            <v>43143</v>
          </cell>
          <cell r="L1778" t="str">
            <v>JONATHAN JULIAN GUZMAN RODRIGUEZ</v>
          </cell>
          <cell r="M1778">
            <v>31</v>
          </cell>
          <cell r="N1778" t="str">
            <v>RESOLUCION</v>
          </cell>
          <cell r="O1778">
            <v>695</v>
          </cell>
          <cell r="P1778">
            <v>43143</v>
          </cell>
          <cell r="Q1778" t="str">
            <v>AYUDA TEMPORAL A LAS FAMILIAS DE VARIAS LOCALIDADES, PARA RELOCALIZACIÓN DE HOGARES LOCALIZADOS EN ZONAS DE ALTO RIESGO NO MITIGABLE ID:2013-Q04-00277, LOCALIDAD:19 CIUDAD BOLÍVAR, UPZ:67 LUCERO, SECTOR:PEÑA COLORADA</v>
          </cell>
          <cell r="R1778">
            <v>3046771</v>
          </cell>
          <cell r="S1778">
            <v>435253</v>
          </cell>
          <cell r="T1778">
            <v>0</v>
          </cell>
          <cell r="U1778">
            <v>2611518</v>
          </cell>
          <cell r="V1778">
            <v>2611518</v>
          </cell>
        </row>
        <row r="1779">
          <cell r="J1779">
            <v>1148</v>
          </cell>
          <cell r="K1779">
            <v>43143</v>
          </cell>
          <cell r="L1779" t="str">
            <v>ROSA ELENA ARIAS ARIAS</v>
          </cell>
          <cell r="M1779">
            <v>31</v>
          </cell>
          <cell r="N1779" t="str">
            <v>RESOLUCION</v>
          </cell>
          <cell r="O1779">
            <v>812</v>
          </cell>
          <cell r="P1779">
            <v>43143</v>
          </cell>
          <cell r="Q1779" t="str">
            <v>AYUDA TEMPORAL A LAS FAMILIAS DE VARIAS LOCALIDADES, PARA RELOCALIZACIÓN DE HOGARES LOCALIZADOS EN ZONAS DE ALTO RIESGO NO MITIGABLE ID:2015-OTR-01535, LOCALIDAD:05 USME, UPZ:52 LA FLORA, SECTOR:</v>
          </cell>
          <cell r="R1779">
            <v>2977086</v>
          </cell>
          <cell r="S1779">
            <v>0</v>
          </cell>
          <cell r="T1779">
            <v>0</v>
          </cell>
          <cell r="U1779">
            <v>2977086</v>
          </cell>
          <cell r="V1779">
            <v>1488543</v>
          </cell>
        </row>
        <row r="1780">
          <cell r="J1780">
            <v>1149</v>
          </cell>
          <cell r="K1780">
            <v>43143</v>
          </cell>
          <cell r="L1780" t="str">
            <v>JULIO WILCHEZ GUERRERO GONZALEZ</v>
          </cell>
          <cell r="M1780">
            <v>31</v>
          </cell>
          <cell r="N1780" t="str">
            <v>RESOLUCION</v>
          </cell>
          <cell r="O1780">
            <v>813</v>
          </cell>
          <cell r="P1780">
            <v>43143</v>
          </cell>
          <cell r="Q1780" t="str">
            <v>AYUDA TEMPORAL A LAS FAMILIAS DE VARIAS LOCALIDADES, PARA RELOCALIZACIÓN DE HOGARES LOCALIZADOS EN ZONAS DE ALTO RIESGO NO MITIGABLE ID:2011-5-13263, LOCALIDAD:05 USME, UPZ:56 DANUBIO, SECTOR:</v>
          </cell>
          <cell r="R1780">
            <v>2482374</v>
          </cell>
          <cell r="S1780">
            <v>413729</v>
          </cell>
          <cell r="T1780">
            <v>0</v>
          </cell>
          <cell r="U1780">
            <v>2068645</v>
          </cell>
          <cell r="V1780">
            <v>2068645</v>
          </cell>
        </row>
        <row r="1781">
          <cell r="J1781">
            <v>1150</v>
          </cell>
          <cell r="K1781">
            <v>43143</v>
          </cell>
          <cell r="L1781" t="str">
            <v>JOHAN STIVEN DIAZ POSADA</v>
          </cell>
          <cell r="M1781">
            <v>31</v>
          </cell>
          <cell r="N1781" t="str">
            <v>RESOLUCION</v>
          </cell>
          <cell r="O1781">
            <v>814</v>
          </cell>
          <cell r="P1781">
            <v>43143</v>
          </cell>
          <cell r="Q1781" t="str">
            <v>AYUDA TEMPORAL A LAS FAMILIAS DE VARIAS LOCALIDADES, PARA RELOCALIZACIÓN DE HOGARES LOCALIZADOS EN ZONAS DE ALTO RIESGO NO MITIGABLE ID:2012-18-14525, LOCALIDAD:18 RAFAEL URIBE URIBE, UPZ:55 DIANA TURBAY, SECTOR:</v>
          </cell>
          <cell r="R1781">
            <v>2590566</v>
          </cell>
          <cell r="S1781">
            <v>431761</v>
          </cell>
          <cell r="T1781">
            <v>0</v>
          </cell>
          <cell r="U1781">
            <v>2158805</v>
          </cell>
          <cell r="V1781">
            <v>2158805</v>
          </cell>
        </row>
        <row r="1782">
          <cell r="J1782">
            <v>1151</v>
          </cell>
          <cell r="K1782">
            <v>43143</v>
          </cell>
          <cell r="L1782" t="str">
            <v>CARMEN ELISA ORTIZ REYES</v>
          </cell>
          <cell r="M1782">
            <v>31</v>
          </cell>
          <cell r="N1782" t="str">
            <v>RESOLUCION</v>
          </cell>
          <cell r="O1782">
            <v>815</v>
          </cell>
          <cell r="P1782">
            <v>43143</v>
          </cell>
          <cell r="Q1782" t="str">
            <v>AYUDA TEMPORAL A LAS FAMILIAS DE VARIAS LOCALIDADES, PARA RELOCALIZACIÓN DE HOGARES LOCALIZADOS EN ZONAS DE ALTO RIESGO NO MITIGABLE ID:2012-19-14579, LOCALIDAD:19 CIUDAD BOLÍVAR, UPZ:68 EL TESORO, SECTOR:QUEBRADA TROMPETA</v>
          </cell>
          <cell r="R1782">
            <v>4062460</v>
          </cell>
          <cell r="S1782">
            <v>0</v>
          </cell>
          <cell r="T1782">
            <v>0</v>
          </cell>
          <cell r="U1782">
            <v>4062460</v>
          </cell>
          <cell r="V1782">
            <v>2843722</v>
          </cell>
        </row>
        <row r="1783">
          <cell r="J1783">
            <v>1152</v>
          </cell>
          <cell r="K1783">
            <v>43143</v>
          </cell>
          <cell r="L1783" t="str">
            <v>LEIDY  CRUZ INFANTE</v>
          </cell>
          <cell r="M1783">
            <v>31</v>
          </cell>
          <cell r="N1783" t="str">
            <v>RESOLUCION</v>
          </cell>
          <cell r="O1783">
            <v>816</v>
          </cell>
          <cell r="P1783">
            <v>43143</v>
          </cell>
          <cell r="Q1783" t="str">
            <v>AYUDA TEMPORAL A LAS FAMILIAS DE VARIAS LOCALIDADES, PARA RELOCALIZACIÓN DE HOGARES LOCALIZADOS EN ZONAS DE ALTO RIESGO NO MITIGABLE ID:2015-OTR-01539, LOCALIDAD:18 RAFAEL URIBE URIBE, UPZ:55 DIANA TURBAY, SECTOR:CERROS DE ORIENTE</v>
          </cell>
          <cell r="R1783">
            <v>4795160</v>
          </cell>
          <cell r="S1783">
            <v>0</v>
          </cell>
          <cell r="T1783">
            <v>0</v>
          </cell>
          <cell r="U1783">
            <v>4795160</v>
          </cell>
          <cell r="V1783">
            <v>2877096</v>
          </cell>
        </row>
        <row r="1784">
          <cell r="J1784">
            <v>1153</v>
          </cell>
          <cell r="K1784">
            <v>43143</v>
          </cell>
          <cell r="L1784" t="str">
            <v>YENNY MARCELA MEDINA RODRIGUEZ</v>
          </cell>
          <cell r="M1784">
            <v>31</v>
          </cell>
          <cell r="N1784" t="str">
            <v>RESOLUCION</v>
          </cell>
          <cell r="O1784">
            <v>847</v>
          </cell>
          <cell r="P1784">
            <v>43143</v>
          </cell>
          <cell r="Q1784" t="str">
            <v>AYUDA TEMPORAL A LAS FAMILIAS DE VARIAS LOCALIDADES, PARA RELOCALIZACIÓN DE HOGARES LOCALIZADOS EN ZONAS DE ALTO RIESGO NO MITIGABLE ID:2016-08-14903, LOCALIDAD:08 KENNEDY, UPZ:82 PATIO BONITO, SECTOR:PALMITAS</v>
          </cell>
          <cell r="R1784">
            <v>7259136</v>
          </cell>
          <cell r="S1784">
            <v>0</v>
          </cell>
          <cell r="T1784">
            <v>0</v>
          </cell>
          <cell r="U1784">
            <v>7259136</v>
          </cell>
          <cell r="V1784">
            <v>4234496</v>
          </cell>
        </row>
        <row r="1785">
          <cell r="J1785">
            <v>1154</v>
          </cell>
          <cell r="K1785">
            <v>43143</v>
          </cell>
          <cell r="L1785" t="str">
            <v>HORTENCIA  NUÑEZ BARRERA</v>
          </cell>
          <cell r="M1785">
            <v>31</v>
          </cell>
          <cell r="N1785" t="str">
            <v>RESOLUCION</v>
          </cell>
          <cell r="O1785">
            <v>848</v>
          </cell>
          <cell r="P1785">
            <v>43143</v>
          </cell>
          <cell r="Q1785" t="str">
            <v>AYUDA TEMPORAL A LAS FAMILIAS DE VARIAS LOCALIDADES, PARA RELOCALIZACIÓN DE HOGARES LOCALIZADOS EN ZONAS DE ALTO RIESGO NO MITIGABLE ID:2014-Q21-00705, LOCALIDAD:04 SAN CRISTÓBAL, UPZ:51 LOS LIBERTADORES, SECTOR:QUEBRADA VEREJONES</v>
          </cell>
          <cell r="R1785">
            <v>5765760</v>
          </cell>
          <cell r="S1785">
            <v>0</v>
          </cell>
          <cell r="T1785">
            <v>0</v>
          </cell>
          <cell r="U1785">
            <v>5765760</v>
          </cell>
          <cell r="V1785">
            <v>3363360</v>
          </cell>
        </row>
        <row r="1786">
          <cell r="J1786">
            <v>1155</v>
          </cell>
          <cell r="K1786">
            <v>43143</v>
          </cell>
          <cell r="L1786" t="str">
            <v>ROSA MARIA CRUZ GUERRERO</v>
          </cell>
          <cell r="M1786">
            <v>31</v>
          </cell>
          <cell r="N1786" t="str">
            <v>RESOLUCION</v>
          </cell>
          <cell r="O1786">
            <v>849</v>
          </cell>
          <cell r="P1786">
            <v>43143</v>
          </cell>
          <cell r="Q1786" t="str">
            <v>AYUDA TEMPORAL A LAS FAMILIAS DE VARIAS LOCALIDADES, PARA RELOCALIZACIÓN DE HOGARES LOCALIZADOS EN ZONAS DE ALTO RIESGO NO MITIGABLE ID:2012-19-13938, LOCALIDAD:19 CIUDAD BOLÍVAR, UPZ:67 LUCERO, SECTOR:</v>
          </cell>
          <cell r="R1786">
            <v>5178771</v>
          </cell>
          <cell r="S1786">
            <v>0</v>
          </cell>
          <cell r="T1786">
            <v>0</v>
          </cell>
          <cell r="U1786">
            <v>5178771</v>
          </cell>
          <cell r="V1786">
            <v>2788569</v>
          </cell>
        </row>
        <row r="1787">
          <cell r="J1787">
            <v>1156</v>
          </cell>
          <cell r="K1787">
            <v>43143</v>
          </cell>
          <cell r="L1787" t="str">
            <v>SANDRA YANETH PADUA PULIDO</v>
          </cell>
          <cell r="M1787">
            <v>31</v>
          </cell>
          <cell r="N1787" t="str">
            <v>RESOLUCION</v>
          </cell>
          <cell r="O1787">
            <v>850</v>
          </cell>
          <cell r="P1787">
            <v>43143</v>
          </cell>
          <cell r="Q1787" t="str">
            <v>AYUDA TEMPORAL A LAS FAMILIAS DE VARIAS LOCALIDADES, PARA RELOCALIZACIÓN DE HOGARES LOCALIZADOS EN ZONAS DE ALTO RIESGO NO MITIGABLE ID:2011-4-12668, LOCALIDAD:04 SAN CRISTÓBAL, UPZ:32 SAN BLAS</v>
          </cell>
          <cell r="R1787">
            <v>5754190</v>
          </cell>
          <cell r="S1787">
            <v>0</v>
          </cell>
          <cell r="T1787">
            <v>0</v>
          </cell>
          <cell r="U1787">
            <v>5754190</v>
          </cell>
          <cell r="V1787">
            <v>3541040</v>
          </cell>
        </row>
        <row r="1788">
          <cell r="J1788">
            <v>1157</v>
          </cell>
          <cell r="K1788">
            <v>43143</v>
          </cell>
          <cell r="L1788" t="str">
            <v>JOHAM AYMER PERDIZ GUACORIZO</v>
          </cell>
          <cell r="M1788">
            <v>31</v>
          </cell>
          <cell r="N1788" t="str">
            <v>RESOLUCION</v>
          </cell>
          <cell r="O1788">
            <v>851</v>
          </cell>
          <cell r="P1788">
            <v>43143</v>
          </cell>
          <cell r="Q1788" t="str">
            <v>AYUDA TEMPORAL A LAS FAMILIAS DE VARIAS LOCALIDADES, PARA RELOCALIZACIÓN DE HOGARES LOCALIZADOS EN ZONAS DE ALTO RIESGO NO MITIGABLE ID:2014-W166-070, LOCALIDAD:19 CIUDAD BOLÍVAR, UPZ:68 EL TESORO, SECTOR:WOUNAAN</v>
          </cell>
          <cell r="R1788">
            <v>5285280</v>
          </cell>
          <cell r="S1788">
            <v>0</v>
          </cell>
          <cell r="T1788">
            <v>0</v>
          </cell>
          <cell r="U1788">
            <v>5285280</v>
          </cell>
          <cell r="V1788">
            <v>3252480</v>
          </cell>
        </row>
        <row r="1789">
          <cell r="J1789">
            <v>1158</v>
          </cell>
          <cell r="K1789">
            <v>43143</v>
          </cell>
          <cell r="L1789" t="str">
            <v>ANGELA JACKELINE ACOSTA RAMIREZ</v>
          </cell>
          <cell r="M1789">
            <v>31</v>
          </cell>
          <cell r="N1789" t="str">
            <v>RESOLUCION</v>
          </cell>
          <cell r="O1789">
            <v>852</v>
          </cell>
          <cell r="P1789">
            <v>43143</v>
          </cell>
          <cell r="Q1789" t="str">
            <v>AYUDA TEMPORAL A LAS FAMILIAS DE VARIAS LOCALIDADES, PARA RELOCALIZACIÓN DE HOGARES LOCALIZADOS EN ZONAS DE ALTO RIESGO NO MITIGABLE ID:2013-Q09-00118, LOCALIDAD:04 SAN CRISTÓBAL, UPZ:51 LOS LIBERTADORES, SECTOR:QUEBRADA VEREJONES</v>
          </cell>
          <cell r="R1789">
            <v>4136000</v>
          </cell>
          <cell r="S1789">
            <v>0</v>
          </cell>
          <cell r="T1789">
            <v>0</v>
          </cell>
          <cell r="U1789">
            <v>4136000</v>
          </cell>
          <cell r="V1789">
            <v>3619000</v>
          </cell>
        </row>
        <row r="1790">
          <cell r="J1790">
            <v>1159</v>
          </cell>
          <cell r="K1790">
            <v>43143</v>
          </cell>
          <cell r="L1790" t="str">
            <v>YEIN  REY GUERRERO</v>
          </cell>
          <cell r="M1790">
            <v>31</v>
          </cell>
          <cell r="N1790" t="str">
            <v>RESOLUCION</v>
          </cell>
          <cell r="O1790">
            <v>853</v>
          </cell>
          <cell r="P1790">
            <v>43143</v>
          </cell>
          <cell r="Q1790" t="str">
            <v>AYUDA TEMPORAL A LAS FAMILIAS DE VARIAS LOCALIDADES, PARA RELOCALIZACIÓN DE HOGARES LOCALIZADOS EN ZONAS DE ALTO RIESGO NO MITIGABLE ID:2015-W166-301, LOCALIDAD:03 SANTA FE, UPZ:95 LAS CRUCES, SECTOR:UITOTO</v>
          </cell>
          <cell r="R1790">
            <v>7702552</v>
          </cell>
          <cell r="S1790">
            <v>0</v>
          </cell>
          <cell r="T1790">
            <v>0</v>
          </cell>
          <cell r="U1790">
            <v>7702552</v>
          </cell>
          <cell r="V1790">
            <v>4740032</v>
          </cell>
        </row>
        <row r="1791">
          <cell r="J1791">
            <v>1160</v>
          </cell>
          <cell r="K1791">
            <v>43143</v>
          </cell>
          <cell r="L1791" t="str">
            <v>NANCY MIREYA MOLINA CALVO</v>
          </cell>
          <cell r="M1791">
            <v>31</v>
          </cell>
          <cell r="N1791" t="str">
            <v>RESOLUCION</v>
          </cell>
          <cell r="O1791">
            <v>854</v>
          </cell>
          <cell r="P1791">
            <v>43143</v>
          </cell>
          <cell r="Q1791" t="str">
            <v>AYUDA TEMPORAL A LAS FAMILIAS DE VARIAS LOCALIDADES, PARA RELOCALIZACIÓN DE HOGARES LOCALIZADOS EN ZONAS DE ALTO RIESGO NO MITIGABLE ID:2016-08-14870, LOCALIDAD:08 KENNEDY, UPZ:82 PATIO BONITO, SECTOR:PALMITAS</v>
          </cell>
          <cell r="R1791">
            <v>6618756</v>
          </cell>
          <cell r="S1791">
            <v>0</v>
          </cell>
          <cell r="T1791">
            <v>0</v>
          </cell>
          <cell r="U1791">
            <v>6618756</v>
          </cell>
          <cell r="V1791">
            <v>3860941</v>
          </cell>
        </row>
        <row r="1792">
          <cell r="J1792">
            <v>1161</v>
          </cell>
          <cell r="K1792">
            <v>43143</v>
          </cell>
          <cell r="L1792" t="str">
            <v>VICTOR ALFONSO QUIROGA</v>
          </cell>
          <cell r="M1792">
            <v>31</v>
          </cell>
          <cell r="N1792" t="str">
            <v>RESOLUCION</v>
          </cell>
          <cell r="O1792">
            <v>855</v>
          </cell>
          <cell r="P1792">
            <v>43143</v>
          </cell>
          <cell r="Q1792" t="str">
            <v>AYUDA TEMPORAL A LAS FAMILIAS DE VARIAS LOCALIDADES, PARA RELOCALIZACIÓN DE HOGARES LOCALIZADOS EN ZONAS DE ALTO RIESGO NO MITIGABLE ID:2016-08-14775, LOCALIDAD:08 KENNEDY, UPZ:82 PATIO BONITO, SECTOR:PALMITAS</v>
          </cell>
          <cell r="R1792">
            <v>5466487</v>
          </cell>
          <cell r="S1792">
            <v>0</v>
          </cell>
          <cell r="T1792">
            <v>0</v>
          </cell>
          <cell r="U1792">
            <v>5466487</v>
          </cell>
          <cell r="V1792">
            <v>3363992</v>
          </cell>
        </row>
        <row r="1793">
          <cell r="J1793">
            <v>1162</v>
          </cell>
          <cell r="K1793">
            <v>43143</v>
          </cell>
          <cell r="L1793" t="str">
            <v>YEIMY MAVEL SANABRIA PAEZ</v>
          </cell>
          <cell r="M1793">
            <v>31</v>
          </cell>
          <cell r="N1793" t="str">
            <v>RESOLUCION</v>
          </cell>
          <cell r="O1793">
            <v>856</v>
          </cell>
          <cell r="P1793">
            <v>43143</v>
          </cell>
          <cell r="Q1793" t="str">
            <v>AYUDA TEMPORAL A LAS FAMILIAS DE VARIAS LOCALIDADES, PARA RELOCALIZACIÓN DE HOGARES LOCALIZADOS EN ZONAS DE ALTO RIESGO NO MITIGABLE ID:2011-19-12544, LOCALIDAD:19 CIUDAD BOLÍVAR, UPZ:69 ISMAEL PERDOMO, SECTOR:OLA INVERNAL 2010 FOPAE</v>
          </cell>
          <cell r="R1793">
            <v>2213148</v>
          </cell>
          <cell r="S1793">
            <v>1844290</v>
          </cell>
          <cell r="T1793">
            <v>0</v>
          </cell>
          <cell r="U1793">
            <v>368858</v>
          </cell>
          <cell r="V1793">
            <v>368858</v>
          </cell>
        </row>
        <row r="1794">
          <cell r="J1794">
            <v>1163</v>
          </cell>
          <cell r="K1794">
            <v>43143</v>
          </cell>
          <cell r="L1794" t="str">
            <v>JHONNY RAMON PEREA MURILLO</v>
          </cell>
          <cell r="M1794">
            <v>31</v>
          </cell>
          <cell r="N1794" t="str">
            <v>RESOLUCION</v>
          </cell>
          <cell r="O1794">
            <v>857</v>
          </cell>
          <cell r="P1794">
            <v>43143</v>
          </cell>
          <cell r="Q1794" t="str">
            <v>AYUDA TEMPORAL A LAS FAMILIAS DE VARIAS LOCALIDADES, PARA RELOCALIZACIÓN DE HOGARES LOCALIZADOS EN ZONAS DE ALTO RIESGO NO MITIGABLE ID:2012-18-14312, LOCALIDAD:18 RAFAEL URIBE URIBE, UPZ:55 DIANA TURBAY</v>
          </cell>
          <cell r="R1794">
            <v>4426296</v>
          </cell>
          <cell r="S1794">
            <v>0</v>
          </cell>
          <cell r="T1794">
            <v>0</v>
          </cell>
          <cell r="U1794">
            <v>4426296</v>
          </cell>
          <cell r="V1794">
            <v>2582006</v>
          </cell>
        </row>
        <row r="1795">
          <cell r="J1795">
            <v>1164</v>
          </cell>
          <cell r="K1795">
            <v>43143</v>
          </cell>
          <cell r="L1795" t="str">
            <v>VIRGINIA  JEREZ CASTRO</v>
          </cell>
          <cell r="M1795">
            <v>31</v>
          </cell>
          <cell r="N1795" t="str">
            <v>RESOLUCION</v>
          </cell>
          <cell r="O1795">
            <v>777</v>
          </cell>
          <cell r="P1795">
            <v>43143</v>
          </cell>
          <cell r="Q1795" t="str">
            <v>AYUDA TEMPORAL A LAS FAMILIAS DE VARIAS LOCALIDADES, PARA RELOCALIZACIÓN DE HOGARES LOCALIZADOS EN ZONAS DE ALTO RIESGO NO MITIGABLE ID:2011-4-12672, LOCALIDAD:04 SAN CRISTÓBAL, UPZ:32 SAN BLAS,</v>
          </cell>
          <cell r="R1795">
            <v>5490900</v>
          </cell>
          <cell r="S1795">
            <v>0</v>
          </cell>
          <cell r="T1795">
            <v>0</v>
          </cell>
          <cell r="U1795">
            <v>5490900</v>
          </cell>
          <cell r="V1795">
            <v>2287875</v>
          </cell>
        </row>
        <row r="1796">
          <cell r="J1796">
            <v>1165</v>
          </cell>
          <cell r="K1796">
            <v>43143</v>
          </cell>
          <cell r="L1796" t="str">
            <v>ANDREA MILENA PRIETO</v>
          </cell>
          <cell r="M1796">
            <v>31</v>
          </cell>
          <cell r="N1796" t="str">
            <v>RESOLUCION</v>
          </cell>
          <cell r="O1796">
            <v>858</v>
          </cell>
          <cell r="P1796">
            <v>43143</v>
          </cell>
          <cell r="Q1796" t="str">
            <v>AYUDA TEMPORAL A LAS FAMILIAS DE VARIAS LOCALIDADES, PARA RELOCALIZACIÓN DE HOGARES LOCALIZADOS EN ZONAS DE ALTO RIESGO NO MITIGABLE ID:2013-Q10-00207, LOCALIDAD:19 CIUDAD BOLÍVAR, UPZ:67 LUCERO, SECTOR:PEÑA COLORADA</v>
          </cell>
          <cell r="R1796">
            <v>2882880</v>
          </cell>
          <cell r="S1796">
            <v>480480</v>
          </cell>
          <cell r="T1796">
            <v>0</v>
          </cell>
          <cell r="U1796">
            <v>2402400</v>
          </cell>
          <cell r="V1796">
            <v>2402400</v>
          </cell>
        </row>
        <row r="1797">
          <cell r="J1797">
            <v>1166</v>
          </cell>
          <cell r="K1797">
            <v>43143</v>
          </cell>
          <cell r="L1797" t="str">
            <v>CAROLINA  RUBIO MANCIPE</v>
          </cell>
          <cell r="M1797">
            <v>31</v>
          </cell>
          <cell r="N1797" t="str">
            <v>RESOLUCION</v>
          </cell>
          <cell r="O1797">
            <v>859</v>
          </cell>
          <cell r="P1797">
            <v>43143</v>
          </cell>
          <cell r="Q1797" t="str">
            <v>AYUDA TEMPORAL A LAS FAMILIAS DE VARIAS LOCALIDADES, PARA RELOCALIZACIÓN DE HOGARES LOCALIZADOS EN ZONAS DE ALTO RIESGO NO MITIGABLE ID:2015-19-14752, LOCALIDAD:19 CIUDAD BOLÍVAR, UPZ:67 LUCERO</v>
          </cell>
          <cell r="R1797">
            <v>6163755</v>
          </cell>
          <cell r="S1797">
            <v>0</v>
          </cell>
          <cell r="T1797">
            <v>0</v>
          </cell>
          <cell r="U1797">
            <v>6163755</v>
          </cell>
          <cell r="V1797">
            <v>3793080</v>
          </cell>
        </row>
        <row r="1798">
          <cell r="J1798">
            <v>1167</v>
          </cell>
          <cell r="K1798">
            <v>43143</v>
          </cell>
          <cell r="L1798" t="str">
            <v>YOLANDA  MANCIPE GIRALDO</v>
          </cell>
          <cell r="M1798">
            <v>31</v>
          </cell>
          <cell r="N1798" t="str">
            <v>RESOLUCION</v>
          </cell>
          <cell r="O1798">
            <v>884</v>
          </cell>
          <cell r="P1798">
            <v>43143</v>
          </cell>
          <cell r="Q1798" t="str">
            <v>AYUDA TEMPORAL A LAS FAMILIAS DE VARIAS LOCALIDADES, PARA RELOCALIZACIÓN DE HOGARES LOCALIZADOS EN ZONAS DE ALTO RIESGO NO MITIGABLE ID:2012-19-13845, LOCALIDAD:19 CIUDAD BOLÍVAR, UPZ:67 LUCERO</v>
          </cell>
          <cell r="R1798">
            <v>2899710</v>
          </cell>
          <cell r="S1798">
            <v>483285</v>
          </cell>
          <cell r="T1798">
            <v>0</v>
          </cell>
          <cell r="U1798">
            <v>2416425</v>
          </cell>
          <cell r="V1798">
            <v>2416425</v>
          </cell>
        </row>
        <row r="1799">
          <cell r="J1799">
            <v>1168</v>
          </cell>
          <cell r="K1799">
            <v>43143</v>
          </cell>
          <cell r="L1799" t="str">
            <v>SIXTA ROGELIA PINILLA DE RODRIGUEZ</v>
          </cell>
          <cell r="M1799">
            <v>31</v>
          </cell>
          <cell r="N1799" t="str">
            <v>RESOLUCION</v>
          </cell>
          <cell r="O1799">
            <v>860</v>
          </cell>
          <cell r="P1799">
            <v>43143</v>
          </cell>
          <cell r="Q1799" t="str">
            <v>AYUDA TEMPORAL A LAS FAMILIAS DE VARIAS LOCALIDADES, PARA RELOCALIZACIÓN DE HOGARES LOCALIZADOS EN ZONAS DE ALTO RIESGO NO MITIGABLE ID:2006-19-8097, LOCALIDAD:19 CIUDAD BOLÍVAR, UPZ:67 LUCERO, SECTOR:LIMAS</v>
          </cell>
          <cell r="R1799">
            <v>2860710</v>
          </cell>
          <cell r="S1799">
            <v>476785</v>
          </cell>
          <cell r="T1799">
            <v>0</v>
          </cell>
          <cell r="U1799">
            <v>2383925</v>
          </cell>
          <cell r="V1799">
            <v>2383925</v>
          </cell>
        </row>
        <row r="1800">
          <cell r="J1800">
            <v>1169</v>
          </cell>
          <cell r="K1800">
            <v>43143</v>
          </cell>
          <cell r="L1800" t="str">
            <v>VIVIANA GERALDINE GARZON VARGAS</v>
          </cell>
          <cell r="M1800">
            <v>31</v>
          </cell>
          <cell r="N1800" t="str">
            <v>RESOLUCION</v>
          </cell>
          <cell r="O1800">
            <v>861</v>
          </cell>
          <cell r="P1800">
            <v>43143</v>
          </cell>
          <cell r="Q1800" t="str">
            <v>AYUDA TEMPORAL A LAS FAMILIAS DE VARIAS LOCALIDADES, PARA RELOCALIZACIÓN DE HOGARES LOCALIZADOS EN ZONAS DE ALTO RIESGO NO MITIGABLE ID:2016-OTR-01553, LOCALIDAD:04 SAN CRISTÓBAL, UPZ:32 SAN BLAS, SECTOR:TRIANGULO ALTO</v>
          </cell>
          <cell r="R1800">
            <v>6274047</v>
          </cell>
          <cell r="S1800">
            <v>0</v>
          </cell>
          <cell r="T1800">
            <v>0</v>
          </cell>
          <cell r="U1800">
            <v>6274047</v>
          </cell>
          <cell r="V1800">
            <v>3860952</v>
          </cell>
        </row>
        <row r="1801">
          <cell r="J1801">
            <v>1170</v>
          </cell>
          <cell r="K1801">
            <v>43143</v>
          </cell>
          <cell r="L1801" t="str">
            <v>GUMERCINDO  HERNANDEZ QUINTERO</v>
          </cell>
          <cell r="M1801">
            <v>31</v>
          </cell>
          <cell r="N1801" t="str">
            <v>RESOLUCION</v>
          </cell>
          <cell r="O1801">
            <v>778</v>
          </cell>
          <cell r="P1801">
            <v>43143</v>
          </cell>
          <cell r="Q1801" t="str">
            <v>AYUDA TEMPORAL A LAS FAMILIAS DE VARIAS LOCALIDADES, PARA RELOCALIZACIÓN DE HOGARES LOCALIZADOS EN ZONAS DE ALTO RIESGO NO MITIGABLE ID:2016-08-14889, LOCALIDAD:08 KENNEDY, UPZ:82 PATIO BONITO, SECTOR:PALMITAS</v>
          </cell>
          <cell r="R1801">
            <v>3356612</v>
          </cell>
          <cell r="S1801">
            <v>479516</v>
          </cell>
          <cell r="T1801">
            <v>0</v>
          </cell>
          <cell r="U1801">
            <v>2877096</v>
          </cell>
          <cell r="V1801">
            <v>2877096</v>
          </cell>
        </row>
        <row r="1802">
          <cell r="J1802">
            <v>1171</v>
          </cell>
          <cell r="K1802">
            <v>43143</v>
          </cell>
          <cell r="L1802" t="str">
            <v>MARLENE  MEDINA RODRIGUEZ</v>
          </cell>
          <cell r="M1802">
            <v>31</v>
          </cell>
          <cell r="N1802" t="str">
            <v>RESOLUCION</v>
          </cell>
          <cell r="O1802">
            <v>862</v>
          </cell>
          <cell r="P1802">
            <v>43143</v>
          </cell>
          <cell r="Q1802" t="str">
            <v>AYUDA TEMPORAL A LAS FAMILIAS DE VARIAS LOCALIDADES, PARA RELOCALIZACIÓN DE HOGARES LOCALIZADOS EN ZONAS DE ALTO RIESGO NO MITIGABLE ID:2017-04-14981, LOCALIDAD:04 SAN CRISTÓBAL, UPZ:50 LA GLORIA</v>
          </cell>
          <cell r="R1802">
            <v>7672262</v>
          </cell>
          <cell r="S1802">
            <v>0</v>
          </cell>
          <cell r="T1802">
            <v>0</v>
          </cell>
          <cell r="U1802">
            <v>7672262</v>
          </cell>
          <cell r="V1802">
            <v>4721392</v>
          </cell>
        </row>
        <row r="1803">
          <cell r="J1803">
            <v>1172</v>
          </cell>
          <cell r="K1803">
            <v>43143</v>
          </cell>
          <cell r="L1803" t="str">
            <v>HECTOR  CIFUENTES</v>
          </cell>
          <cell r="M1803">
            <v>31</v>
          </cell>
          <cell r="N1803" t="str">
            <v>RESOLUCION</v>
          </cell>
          <cell r="O1803">
            <v>885</v>
          </cell>
          <cell r="P1803">
            <v>43143</v>
          </cell>
          <cell r="Q1803" t="str">
            <v>AYUDA TEMPORAL A LAS FAMILIAS DE VARIAS LOCALIDADES, PARA RELOCALIZACIÓN DE HOGARES LOCALIZADOS EN ZONAS DE ALTO RIESGO NO MITIGABLE ID:2012-19-13865, LOCALIDAD:19 CIUDAD BOLÍVAR, UPZ:67 LUCERO</v>
          </cell>
          <cell r="R1803">
            <v>2442336</v>
          </cell>
          <cell r="S1803">
            <v>407056</v>
          </cell>
          <cell r="T1803">
            <v>0</v>
          </cell>
          <cell r="U1803">
            <v>2035280</v>
          </cell>
          <cell r="V1803">
            <v>2035280</v>
          </cell>
        </row>
        <row r="1804">
          <cell r="J1804">
            <v>1173</v>
          </cell>
          <cell r="K1804">
            <v>43143</v>
          </cell>
          <cell r="L1804" t="str">
            <v>MARIA LUZ MERNI USECHE</v>
          </cell>
          <cell r="M1804">
            <v>31</v>
          </cell>
          <cell r="N1804" t="str">
            <v>RESOLUCION</v>
          </cell>
          <cell r="O1804">
            <v>863</v>
          </cell>
          <cell r="P1804">
            <v>43143</v>
          </cell>
          <cell r="Q1804" t="str">
            <v>AYUDA TEMPORAL A LAS FAMILIAS DE VARIAS LOCALIDADES, PARA RELOCALIZACIÓN DE HOGARES LOCALIZADOS EN ZONAS DE ALTO RIESGO NO MITIGABLE ID:2012-19-13969, LOCALIDAD:19 CIUDAD BOLÍVAR, UPZ:68 EL TESORO</v>
          </cell>
          <cell r="R1804">
            <v>6030557</v>
          </cell>
          <cell r="S1804">
            <v>0</v>
          </cell>
          <cell r="T1804">
            <v>0</v>
          </cell>
          <cell r="U1804">
            <v>6030557</v>
          </cell>
          <cell r="V1804">
            <v>3711112</v>
          </cell>
        </row>
        <row r="1805">
          <cell r="J1805">
            <v>1174</v>
          </cell>
          <cell r="K1805">
            <v>43143</v>
          </cell>
          <cell r="L1805" t="str">
            <v>MARIBEL  PARRADO CABEZAS</v>
          </cell>
          <cell r="M1805">
            <v>31</v>
          </cell>
          <cell r="N1805" t="str">
            <v>RESOLUCION</v>
          </cell>
          <cell r="O1805">
            <v>886</v>
          </cell>
          <cell r="P1805">
            <v>43143</v>
          </cell>
          <cell r="Q1805" t="str">
            <v>AYUDA TEMPORAL A LAS FAMILIAS DE VARIAS LOCALIDADES, PARA RELOCALIZACIÓN DE HOGARES LOCALIZADOS EN ZONAS DE ALTO RIESGO NO MITIGABLE ID:2011-19-13515, LOCALIDAD:19 CIUDAD BOLÍVAR, UPZ:68 EL TESORO.</v>
          </cell>
          <cell r="R1805">
            <v>2439360</v>
          </cell>
          <cell r="S1805">
            <v>406560</v>
          </cell>
          <cell r="T1805">
            <v>0</v>
          </cell>
          <cell r="U1805">
            <v>2032800</v>
          </cell>
          <cell r="V1805">
            <v>2032800</v>
          </cell>
        </row>
        <row r="1806">
          <cell r="J1806">
            <v>1175</v>
          </cell>
          <cell r="K1806">
            <v>43143</v>
          </cell>
          <cell r="L1806" t="str">
            <v>MILEIDY  MALAGON RINCON</v>
          </cell>
          <cell r="M1806">
            <v>31</v>
          </cell>
          <cell r="N1806" t="str">
            <v>RESOLUCION</v>
          </cell>
          <cell r="O1806">
            <v>779</v>
          </cell>
          <cell r="P1806">
            <v>43143</v>
          </cell>
          <cell r="Q1806" t="str">
            <v>AYUDA TEMPORAL A LAS FAMILIAS DE VARIAS LOCALIDADES, PARA RELOCALIZACIÓN DE HOGARES LOCALIZADOS EN ZONAS DE ALTO RIESGO NO MITIGABLE ID:2016-08-14771, LOCALIDAD:08 KENNEDY, UPZ:82 PATIO BONITO, SECTOR:PALMITAS</v>
          </cell>
          <cell r="R1806">
            <v>3098412</v>
          </cell>
          <cell r="S1806">
            <v>516402</v>
          </cell>
          <cell r="T1806">
            <v>0</v>
          </cell>
          <cell r="U1806">
            <v>2582010</v>
          </cell>
          <cell r="V1806">
            <v>2582010</v>
          </cell>
        </row>
        <row r="1807">
          <cell r="J1807">
            <v>1176</v>
          </cell>
          <cell r="K1807">
            <v>43143</v>
          </cell>
          <cell r="L1807" t="str">
            <v>YEISON ESNEIDER RONCANCIO BUITRAGO</v>
          </cell>
          <cell r="M1807">
            <v>31</v>
          </cell>
          <cell r="N1807" t="str">
            <v>RESOLUCION</v>
          </cell>
          <cell r="O1807">
            <v>864</v>
          </cell>
          <cell r="P1807">
            <v>43143</v>
          </cell>
          <cell r="Q1807" t="str">
            <v>AYUDA TEMPORAL A LAS FAMILIAS DE VARIAS LOCALIDADES, PARA RELOCALIZACIÓN DE HOGARES LOCALIZADOS EN ZONAS DE ALTO RIESGO NO MITIGABLE ID:2016-08-14793, LOCALIDAD:08 KENNEDY, UPZ:82 PATIO BONITO, SECTOR:PALMITAS</v>
          </cell>
          <cell r="R1807">
            <v>3614814</v>
          </cell>
          <cell r="S1807">
            <v>516402</v>
          </cell>
          <cell r="T1807">
            <v>0</v>
          </cell>
          <cell r="U1807">
            <v>3098412</v>
          </cell>
          <cell r="V1807">
            <v>3098412</v>
          </cell>
        </row>
        <row r="1808">
          <cell r="J1808">
            <v>1177</v>
          </cell>
          <cell r="K1808">
            <v>43143</v>
          </cell>
          <cell r="L1808" t="str">
            <v>JORGE ENRIQUE CORTES</v>
          </cell>
          <cell r="M1808">
            <v>31</v>
          </cell>
          <cell r="N1808" t="str">
            <v>RESOLUCION</v>
          </cell>
          <cell r="O1808">
            <v>887</v>
          </cell>
          <cell r="P1808">
            <v>43143</v>
          </cell>
          <cell r="Q1808" t="str">
            <v>AYUDA TEMPORAL A LAS FAMILIAS DE VARIAS LOCALIDADES, PARA RELOCALIZACIÓN DE HOGARES LOCALIZADOS EN ZONAS DE ALTO RIESGO NO MITIGABLE ID:2010-19-11684, LOCALIDAD:19 CIUDAD BOLÍVAR, UPZ:69 ISMAEL PERDOMO, SECTOR:OLA INVERNAL 2010 FOPAE</v>
          </cell>
          <cell r="R1808">
            <v>2213148</v>
          </cell>
          <cell r="S1808">
            <v>0</v>
          </cell>
          <cell r="T1808">
            <v>0</v>
          </cell>
          <cell r="U1808">
            <v>2213148</v>
          </cell>
          <cell r="V1808">
            <v>737716</v>
          </cell>
        </row>
        <row r="1809">
          <cell r="J1809">
            <v>1178</v>
          </cell>
          <cell r="K1809">
            <v>43143</v>
          </cell>
          <cell r="L1809" t="str">
            <v>JOSE NELSON BOCANEGRA SILVA</v>
          </cell>
          <cell r="M1809">
            <v>31</v>
          </cell>
          <cell r="N1809" t="str">
            <v>RESOLUCION</v>
          </cell>
          <cell r="O1809">
            <v>865</v>
          </cell>
          <cell r="P1809">
            <v>43143</v>
          </cell>
          <cell r="Q1809" t="str">
            <v>AYUDA TEMPORAL A LAS FAMILIAS DE VARIAS LOCALIDADES, PARA RELOCALIZACIÓN DE HOGARES LOCALIZADOS EN ZONAS DE ALTO RIESGO NO MITIGABLE ID:2011-4-12633, LOCALIDAD:04 SAN CRISTÓBAL, UPZ:32 SAN BLAS</v>
          </cell>
          <cell r="R1809">
            <v>2668074</v>
          </cell>
          <cell r="S1809">
            <v>444679</v>
          </cell>
          <cell r="T1809">
            <v>0</v>
          </cell>
          <cell r="U1809">
            <v>2223395</v>
          </cell>
          <cell r="V1809">
            <v>2223395</v>
          </cell>
        </row>
        <row r="1810">
          <cell r="J1810">
            <v>1179</v>
          </cell>
          <cell r="K1810">
            <v>43143</v>
          </cell>
          <cell r="L1810" t="str">
            <v>FAYSULI  RIVERA RIVERA</v>
          </cell>
          <cell r="M1810">
            <v>31</v>
          </cell>
          <cell r="N1810" t="str">
            <v>RESOLUCION</v>
          </cell>
          <cell r="O1810">
            <v>780</v>
          </cell>
          <cell r="P1810">
            <v>43143</v>
          </cell>
          <cell r="Q1810" t="str">
            <v>AYUDA TEMPORAL A LAS FAMILIAS DE VARIAS LOCALIDADES, PARA RELOCALIZACIÓN DE HOGARES LOCALIZADOS EN ZONAS DE ALTO RIESGO NO MITIGABLE ID:2016-08-14880, LOCALIDAD:08 KENNEDY, UPZ:82 PATIO BONITO, SECTOR:PALMITAS</v>
          </cell>
          <cell r="R1810">
            <v>3233538</v>
          </cell>
          <cell r="S1810">
            <v>461934</v>
          </cell>
          <cell r="T1810">
            <v>0</v>
          </cell>
          <cell r="U1810">
            <v>2771604</v>
          </cell>
          <cell r="V1810">
            <v>2771604</v>
          </cell>
        </row>
        <row r="1811">
          <cell r="J1811">
            <v>1180</v>
          </cell>
          <cell r="K1811">
            <v>43143</v>
          </cell>
          <cell r="L1811" t="str">
            <v>ORLANDO  AGUIRRE GARCIA</v>
          </cell>
          <cell r="M1811">
            <v>31</v>
          </cell>
          <cell r="N1811" t="str">
            <v>RESOLUCION</v>
          </cell>
          <cell r="O1811">
            <v>866</v>
          </cell>
          <cell r="P1811">
            <v>43143</v>
          </cell>
          <cell r="Q1811" t="str">
            <v>AYUDA TEMPORAL A LAS FAMILIAS DE VARIAS LOCALIDADES, PARA RELOCALIZACIÓN DE HOGARES LOCALIZADOS EN ZONAS DE ALTO RIESGO NO MITIGABLE ID:2012-T314-20, LOCALIDAD:04 SAN CRISTÓBAL, UPZ:50 LA GLORIA</v>
          </cell>
          <cell r="R1811">
            <v>2522994</v>
          </cell>
          <cell r="S1811">
            <v>420499</v>
          </cell>
          <cell r="T1811">
            <v>0</v>
          </cell>
          <cell r="U1811">
            <v>2102495</v>
          </cell>
          <cell r="V1811">
            <v>2102495</v>
          </cell>
        </row>
        <row r="1812">
          <cell r="J1812">
            <v>1181</v>
          </cell>
          <cell r="K1812">
            <v>43143</v>
          </cell>
          <cell r="L1812" t="str">
            <v>YANETH  QUIÑONES PRIETO</v>
          </cell>
          <cell r="M1812">
            <v>31</v>
          </cell>
          <cell r="N1812" t="str">
            <v>RESOLUCION</v>
          </cell>
          <cell r="O1812">
            <v>888</v>
          </cell>
          <cell r="P1812">
            <v>43143</v>
          </cell>
          <cell r="Q1812" t="str">
            <v>AYUDA TEMPORAL A LAS FAMILIAS DE VARIAS LOCALIDADES, PARA RELOCALIZACIÓN DE HOGARES LOCALIZADOS EN ZONAS DE ALTO RIESGO NO MITIGABLE ID:2012-ALES-223, LOCALIDAD:19 CIUDAD BOLÍVAR, UPZ:69 ISMAEL PERDOMO</v>
          </cell>
          <cell r="R1812">
            <v>2586000</v>
          </cell>
          <cell r="S1812">
            <v>431000</v>
          </cell>
          <cell r="T1812">
            <v>0</v>
          </cell>
          <cell r="U1812">
            <v>2155000</v>
          </cell>
          <cell r="V1812">
            <v>2155000</v>
          </cell>
        </row>
        <row r="1813">
          <cell r="J1813">
            <v>1182</v>
          </cell>
          <cell r="K1813">
            <v>43143</v>
          </cell>
          <cell r="L1813" t="str">
            <v>MARIA BELLANITH MAYOR PEDRAZA</v>
          </cell>
          <cell r="M1813">
            <v>31</v>
          </cell>
          <cell r="N1813" t="str">
            <v>RESOLUCION</v>
          </cell>
          <cell r="O1813">
            <v>867</v>
          </cell>
          <cell r="P1813">
            <v>43143</v>
          </cell>
          <cell r="Q1813" t="str">
            <v>AYUDA TEMPORAL A LAS FAMILIAS DE VARIAS LOCALIDADES, PARA RELOCALIZACIÓN DE HOGARES LOCALIZADOS EN ZONAS DE ALTO RIESGO NO MITIGABLE ID:2011-4-12688, LOCALIDAD:04 SAN CRISTÓBAL, UPZ:32 SAN BLAS</v>
          </cell>
          <cell r="R1813">
            <v>2965620</v>
          </cell>
          <cell r="S1813">
            <v>494270</v>
          </cell>
          <cell r="T1813">
            <v>0</v>
          </cell>
          <cell r="U1813">
            <v>2471350</v>
          </cell>
          <cell r="V1813">
            <v>2471350</v>
          </cell>
        </row>
        <row r="1814">
          <cell r="J1814">
            <v>1183</v>
          </cell>
          <cell r="K1814">
            <v>43143</v>
          </cell>
          <cell r="L1814" t="str">
            <v>LADY ALEJANDRA BULLA MARTINEZ</v>
          </cell>
          <cell r="M1814">
            <v>31</v>
          </cell>
          <cell r="N1814" t="str">
            <v>RESOLUCION</v>
          </cell>
          <cell r="O1814">
            <v>781</v>
          </cell>
          <cell r="P1814">
            <v>43143</v>
          </cell>
          <cell r="Q1814" t="str">
            <v>AYUDA TEMPORAL A LAS FAMILIAS DE VARIAS LOCALIDADES, PARA RELOCALIZACIÓN DE HOGARES LOCALIZADOS EN ZONAS DE ALTO RIESGO NO MITIGABLE ID:2014-OTR-00985, LOCALIDAD:03 SANTA FE, UPZ:96 LOURDES, SECTOR:CASA 1</v>
          </cell>
          <cell r="R1814">
            <v>3098410</v>
          </cell>
          <cell r="S1814">
            <v>442630</v>
          </cell>
          <cell r="T1814">
            <v>0</v>
          </cell>
          <cell r="U1814">
            <v>2655780</v>
          </cell>
          <cell r="V1814">
            <v>2655780</v>
          </cell>
        </row>
        <row r="1815">
          <cell r="J1815">
            <v>1184</v>
          </cell>
          <cell r="K1815">
            <v>43143</v>
          </cell>
          <cell r="L1815" t="str">
            <v>JENNY MARITZA JAJOY JANSASOY</v>
          </cell>
          <cell r="M1815">
            <v>31</v>
          </cell>
          <cell r="N1815" t="str">
            <v>RESOLUCION</v>
          </cell>
          <cell r="O1815">
            <v>889</v>
          </cell>
          <cell r="P1815">
            <v>43143</v>
          </cell>
          <cell r="Q1815" t="str">
            <v>AYUDA TEMPORAL A LAS FAMILIAS DE VARIAS LOCALIDADES, PARA RELOCALIZACIÓN DE HOGARES LOCALIZADOS EN ZONAS DE ALTO RIESGO NO MITIGABLE ID:2014-C01-00689, LOCALIDAD:19 CIUDAD BOLÍVAR, UPZ:68 EL TESORO.</v>
          </cell>
          <cell r="R1815">
            <v>2402505</v>
          </cell>
          <cell r="S1815">
            <v>480501</v>
          </cell>
          <cell r="T1815">
            <v>0</v>
          </cell>
          <cell r="U1815">
            <v>1922004</v>
          </cell>
          <cell r="V1815">
            <v>1922004</v>
          </cell>
        </row>
        <row r="1816">
          <cell r="J1816">
            <v>1185</v>
          </cell>
          <cell r="K1816">
            <v>43143</v>
          </cell>
          <cell r="L1816" t="str">
            <v>VICTOR ANTONIO RIVERO SEVILLA</v>
          </cell>
          <cell r="M1816">
            <v>31</v>
          </cell>
          <cell r="N1816" t="str">
            <v>RESOLUCION</v>
          </cell>
          <cell r="O1816">
            <v>868</v>
          </cell>
          <cell r="P1816">
            <v>43143</v>
          </cell>
          <cell r="Q1816" t="str">
            <v>AYUDA TEMPORAL A LAS FAMILIAS DE VARIAS LOCALIDADES, PARA RELOCALIZACIÓN DE HOGARES LOCALIZADOS EN ZONAS DE ALTO RIESGO NO MITIGABLE ID:2011-4-12657, LOCALIDAD:04 SAN CRISTÓBAL, UPZ:32 SAN BLAS</v>
          </cell>
          <cell r="R1816">
            <v>2886588</v>
          </cell>
          <cell r="S1816">
            <v>481098</v>
          </cell>
          <cell r="T1816">
            <v>0</v>
          </cell>
          <cell r="U1816">
            <v>2405490</v>
          </cell>
          <cell r="V1816">
            <v>2405490</v>
          </cell>
        </row>
        <row r="1817">
          <cell r="J1817">
            <v>1186</v>
          </cell>
          <cell r="K1817">
            <v>43143</v>
          </cell>
          <cell r="L1817" t="str">
            <v>LUIS ALBERTO MIRANDA MORELO</v>
          </cell>
          <cell r="M1817">
            <v>31</v>
          </cell>
          <cell r="N1817" t="str">
            <v>RESOLUCION</v>
          </cell>
          <cell r="O1817">
            <v>869</v>
          </cell>
          <cell r="P1817">
            <v>43143</v>
          </cell>
          <cell r="Q1817" t="str">
            <v>AYUDA TEMPORAL A LAS FAMILIAS DE VARIAS LOCALIDADES, PARA RELOCALIZACIÓN DE HOGARES LOCALIZADOS EN ZONAS DE ALTO RIESGO NO MITIGABLE ID:2012-T314-08, LOCALIDAD:04 SAN CRISTÓBAL, UPZ:50 LA GLORIA</v>
          </cell>
          <cell r="R1817">
            <v>2652156</v>
          </cell>
          <cell r="S1817">
            <v>442026</v>
          </cell>
          <cell r="T1817">
            <v>0</v>
          </cell>
          <cell r="U1817">
            <v>2210130</v>
          </cell>
          <cell r="V1817">
            <v>2210130</v>
          </cell>
        </row>
        <row r="1818">
          <cell r="J1818">
            <v>1187</v>
          </cell>
          <cell r="K1818">
            <v>43143</v>
          </cell>
          <cell r="L1818" t="str">
            <v>CINDY PAOLA MARTINEZ ECHEVERRY</v>
          </cell>
          <cell r="M1818">
            <v>31</v>
          </cell>
          <cell r="N1818" t="str">
            <v>RESOLUCION</v>
          </cell>
          <cell r="O1818">
            <v>890</v>
          </cell>
          <cell r="P1818">
            <v>43143</v>
          </cell>
          <cell r="Q1818" t="str">
            <v>AYUDA TEMPORAL A LAS FAMILIAS DE VARIAS LOCALIDADES, PARA RELOCALIZACIÓN DE HOGARES LOCALIZADOS EN ZONAS DE ALTO RIESGO NO MITIGABLE ID:2016-08-14805, LOCALIDAD:08 KENNEDY, UPZ:82 PATIO BONITO, SECTOR:PALMITAS</v>
          </cell>
          <cell r="R1818">
            <v>2286925</v>
          </cell>
          <cell r="S1818">
            <v>457385</v>
          </cell>
          <cell r="T1818">
            <v>0</v>
          </cell>
          <cell r="U1818">
            <v>1829540</v>
          </cell>
          <cell r="V1818">
            <v>1829540</v>
          </cell>
        </row>
        <row r="1819">
          <cell r="J1819">
            <v>1188</v>
          </cell>
          <cell r="K1819">
            <v>43143</v>
          </cell>
          <cell r="L1819" t="str">
            <v>ELISABEL  REDONDO MOLINA</v>
          </cell>
          <cell r="M1819">
            <v>31</v>
          </cell>
          <cell r="N1819" t="str">
            <v>RESOLUCION</v>
          </cell>
          <cell r="O1819">
            <v>782</v>
          </cell>
          <cell r="P1819">
            <v>43143</v>
          </cell>
          <cell r="Q1819" t="str">
            <v>AYUDA TEMPORAL A LAS FAMILIAS DE VARIAS LOCALIDADES, PARA RELOCALIZACIÓN DE HOGARES LOCALIZADOS EN ZONAS DE ALTO RIESGO NO MITIGABLE ID:2017-08-14925, LOCALIDAD:08 KENNEDY, UPZ:82 PATIO BONITO, SECTOR:PALMITAS</v>
          </cell>
          <cell r="R1819">
            <v>3873016</v>
          </cell>
          <cell r="S1819">
            <v>553288</v>
          </cell>
          <cell r="T1819">
            <v>0</v>
          </cell>
          <cell r="U1819">
            <v>3319728</v>
          </cell>
          <cell r="V1819">
            <v>3319728</v>
          </cell>
        </row>
        <row r="1820">
          <cell r="J1820">
            <v>1189</v>
          </cell>
          <cell r="K1820">
            <v>43143</v>
          </cell>
          <cell r="L1820" t="str">
            <v>MARIA HELENA GONZALEZ MENA</v>
          </cell>
          <cell r="M1820">
            <v>31</v>
          </cell>
          <cell r="N1820" t="str">
            <v>RESOLUCION</v>
          </cell>
          <cell r="O1820">
            <v>870</v>
          </cell>
          <cell r="P1820">
            <v>43143</v>
          </cell>
          <cell r="Q1820" t="str">
            <v>AYUDA TEMPORAL A LAS FAMILIAS DE VARIAS LOCALIDADES, PARA RELOCALIZACIÓN DE HOGARES LOCALIZADOS EN ZONAS DE ALTO RIESGO NO MITIGABLE ID:2015-OTR-01462, LOCALIDAD:02 CHAPINERO, UPZ:90 PARDO RUBIO</v>
          </cell>
          <cell r="R1820">
            <v>3441024</v>
          </cell>
          <cell r="S1820">
            <v>573504</v>
          </cell>
          <cell r="T1820">
            <v>0</v>
          </cell>
          <cell r="U1820">
            <v>2867520</v>
          </cell>
          <cell r="V1820">
            <v>2867520</v>
          </cell>
        </row>
        <row r="1821">
          <cell r="J1821">
            <v>1190</v>
          </cell>
          <cell r="K1821">
            <v>43143</v>
          </cell>
          <cell r="L1821" t="str">
            <v>EMIR  CARPIO LUVIEZA</v>
          </cell>
          <cell r="M1821">
            <v>31</v>
          </cell>
          <cell r="N1821" t="str">
            <v>RESOLUCION</v>
          </cell>
          <cell r="O1821">
            <v>891</v>
          </cell>
          <cell r="P1821">
            <v>43143</v>
          </cell>
          <cell r="Q1821" t="str">
            <v>AYUDA TEMPORAL A LAS FAMILIAS DE VARIAS LOCALIDADES, PARA RELOCALIZACIÓN DE HOGARES LOCALIZADOS EN ZONAS DE ALTO RIESGO NO MITIGABLE ID:2014-W166-038, LOCALIDAD:19 CIUDAD BOLÍVAR, UPZ:68 EL TESORO, SECTOR:WOUNAAN</v>
          </cell>
          <cell r="R1821">
            <v>2878200</v>
          </cell>
          <cell r="S1821">
            <v>479700</v>
          </cell>
          <cell r="T1821">
            <v>0</v>
          </cell>
          <cell r="U1821">
            <v>2398500</v>
          </cell>
          <cell r="V1821">
            <v>2398500</v>
          </cell>
        </row>
        <row r="1822">
          <cell r="J1822">
            <v>1191</v>
          </cell>
          <cell r="K1822">
            <v>43143</v>
          </cell>
          <cell r="L1822" t="str">
            <v>PLACIDO  MENDOZA MUINANE</v>
          </cell>
          <cell r="M1822">
            <v>31</v>
          </cell>
          <cell r="N1822" t="str">
            <v>RESOLUCION</v>
          </cell>
          <cell r="O1822">
            <v>783</v>
          </cell>
          <cell r="P1822">
            <v>43143</v>
          </cell>
          <cell r="Q1822" t="str">
            <v>AYUDA TEMPORAL A LAS FAMILIAS DE VARIAS LOCALIDADES, PARA RELOCALIZACIÓN DE HOGARES LOCALIZADOS EN ZONAS DE ALTO RIESGO NO MITIGABLE ID:2015-W166-505, LOCALIDAD:03 SANTA FE, UPZ:96 LOURDES, SECTOR:UITOTO</v>
          </cell>
          <cell r="R1822">
            <v>7119970</v>
          </cell>
          <cell r="S1822">
            <v>0</v>
          </cell>
          <cell r="T1822">
            <v>0</v>
          </cell>
          <cell r="U1822">
            <v>7119970</v>
          </cell>
          <cell r="V1822">
            <v>3833830</v>
          </cell>
        </row>
        <row r="1823">
          <cell r="J1823">
            <v>1192</v>
          </cell>
          <cell r="K1823">
            <v>43143</v>
          </cell>
          <cell r="L1823" t="str">
            <v>PEDRO PABLO RINCON VELASQUEZ</v>
          </cell>
          <cell r="M1823">
            <v>31</v>
          </cell>
          <cell r="N1823" t="str">
            <v>RESOLUCION</v>
          </cell>
          <cell r="O1823">
            <v>871</v>
          </cell>
          <cell r="P1823">
            <v>43143</v>
          </cell>
          <cell r="Q1823" t="str">
            <v>AYUDA TEMPORAL A LAS FAMILIAS DE VARIAS LOCALIDADES, PARA RELOCALIZACIÓN DE HOGARES LOCALIZADOS EN ZONAS DE ALTO RIESGO NO MITIGABLE ID:2012-T314-19, LOCALIDAD:04 SAN CRISTÓBAL, UPZ:50 LA GLORIA</v>
          </cell>
          <cell r="R1823">
            <v>2590566</v>
          </cell>
          <cell r="S1823">
            <v>0</v>
          </cell>
          <cell r="T1823">
            <v>0</v>
          </cell>
          <cell r="U1823">
            <v>2590566</v>
          </cell>
          <cell r="V1823">
            <v>1727044</v>
          </cell>
        </row>
        <row r="1824">
          <cell r="J1824">
            <v>1193</v>
          </cell>
          <cell r="K1824">
            <v>43143</v>
          </cell>
          <cell r="L1824" t="str">
            <v>JOSE LERU DURA ISMARE</v>
          </cell>
          <cell r="M1824">
            <v>31</v>
          </cell>
          <cell r="N1824" t="str">
            <v>RESOLUCION</v>
          </cell>
          <cell r="O1824">
            <v>892</v>
          </cell>
          <cell r="P1824">
            <v>43143</v>
          </cell>
          <cell r="Q1824" t="str">
            <v>AYUDA TEMPORAL A LAS FAMILIAS DE VARIAS LOCALIDADES, PARA RELOCALIZACIÓN DE HOGARES LOCALIZADOS EN ZONAS DE ALTO RIESGO NO MITIGABLE ID:2014-W166-073, LOCALIDAD:19 CIUDAD BOLÍVAR, UPZ:68 EL TESORO, SECTOR:WOUNAAN</v>
          </cell>
          <cell r="R1824">
            <v>4878720</v>
          </cell>
          <cell r="S1824">
            <v>0</v>
          </cell>
          <cell r="T1824">
            <v>0</v>
          </cell>
          <cell r="U1824">
            <v>4878720</v>
          </cell>
          <cell r="V1824">
            <v>2845920</v>
          </cell>
        </row>
        <row r="1825">
          <cell r="J1825">
            <v>1194</v>
          </cell>
          <cell r="K1825">
            <v>43143</v>
          </cell>
          <cell r="L1825" t="str">
            <v>OLINDA GRACILIANA VELASQUEZ DEROMERO</v>
          </cell>
          <cell r="M1825">
            <v>31</v>
          </cell>
          <cell r="N1825" t="str">
            <v>RESOLUCION</v>
          </cell>
          <cell r="O1825">
            <v>872</v>
          </cell>
          <cell r="P1825">
            <v>43143</v>
          </cell>
          <cell r="Q1825" t="str">
            <v>AYUDA TEMPORAL A LAS FAMILIAS DE VARIAS LOCALIDADES, PARA RELOCALIZACIÓN DE HOGARES LOCALIZADOS EN ZONAS DE ALTO RIESGO NO MITIGABLE ID:2009-4-11166, LOCALIDAD:04 SAN CRISTÓBAL, UPZ:50 LA GLORIA</v>
          </cell>
          <cell r="R1825">
            <v>2564766</v>
          </cell>
          <cell r="S1825">
            <v>0</v>
          </cell>
          <cell r="T1825">
            <v>0</v>
          </cell>
          <cell r="U1825">
            <v>2564766</v>
          </cell>
          <cell r="V1825">
            <v>2137305</v>
          </cell>
        </row>
        <row r="1826">
          <cell r="J1826">
            <v>1195</v>
          </cell>
          <cell r="K1826">
            <v>43143</v>
          </cell>
          <cell r="L1826" t="str">
            <v>PERCY  RIVAS PERILLA</v>
          </cell>
          <cell r="M1826">
            <v>31</v>
          </cell>
          <cell r="N1826" t="str">
            <v>RESOLUCION</v>
          </cell>
          <cell r="O1826">
            <v>893</v>
          </cell>
          <cell r="P1826">
            <v>43143</v>
          </cell>
          <cell r="Q1826" t="str">
            <v>AYUDA TEMPORAL A LAS FAMILIAS DE VARIAS LOCALIDADES, PARA RELOCALIZACIÓN DE HOGARES LOCALIZADOS EN ZONAS DE ALTO RIESGO NO MITIGABLE ID:2011-19-12621, LOCALIDAD:19 CIUDAD BOLÍVAR, UPZ:67 LUCERO</v>
          </cell>
          <cell r="R1826">
            <v>2582006</v>
          </cell>
          <cell r="S1826">
            <v>368858</v>
          </cell>
          <cell r="T1826">
            <v>0</v>
          </cell>
          <cell r="U1826">
            <v>2213148</v>
          </cell>
          <cell r="V1826">
            <v>2213148</v>
          </cell>
        </row>
        <row r="1827">
          <cell r="J1827">
            <v>1196</v>
          </cell>
          <cell r="K1827">
            <v>43143</v>
          </cell>
          <cell r="L1827" t="str">
            <v>MIRELLA NATIVA MENDEZ ARISTIZABAL</v>
          </cell>
          <cell r="M1827">
            <v>31</v>
          </cell>
          <cell r="N1827" t="str">
            <v>RESOLUCION</v>
          </cell>
          <cell r="O1827">
            <v>873</v>
          </cell>
          <cell r="P1827">
            <v>43143</v>
          </cell>
          <cell r="Q1827" t="str">
            <v>AYUDA TEMPORAL A LAS FAMILIAS DE VARIAS LOCALIDADES, PARA RELOCALIZACIÓN DE HOGARES LOCALIZADOS EN ZONAS DE ALTO RIESGO NO MITIGABLE ID:2015-ALES-536, LOCALIDAD:19 CIUDAD BOLÍVAR, UPZ:69 ISMAEL PERDOMO, SECTOR:ALTOS DE LA ESTANCIA</v>
          </cell>
          <cell r="R1827">
            <v>3157315</v>
          </cell>
          <cell r="S1827">
            <v>451045</v>
          </cell>
          <cell r="T1827">
            <v>0</v>
          </cell>
          <cell r="U1827">
            <v>2706270</v>
          </cell>
          <cell r="V1827">
            <v>2706270</v>
          </cell>
        </row>
        <row r="1828">
          <cell r="J1828">
            <v>1197</v>
          </cell>
          <cell r="K1828">
            <v>43143</v>
          </cell>
          <cell r="L1828" t="str">
            <v>RUFINO ZAT ARIZA CONTRERAS</v>
          </cell>
          <cell r="M1828">
            <v>31</v>
          </cell>
          <cell r="N1828" t="str">
            <v>RESOLUCION</v>
          </cell>
          <cell r="O1828">
            <v>784</v>
          </cell>
          <cell r="P1828">
            <v>43143</v>
          </cell>
          <cell r="Q1828" t="str">
            <v>AYUDA TEMPORAL A LAS FAMILIAS DE VARIAS LOCALIDADES, PARA RELOCALIZACIÓN DE HOGARES LOCALIZADOS EN ZONAS DE ALTO RIESGO NO MITIGABLE ID:2013-V01-00754, LOCALIDAD:19 CIUDAD BOLÍVAR, UPZ:67 LUCERO, SECTOR:</v>
          </cell>
          <cell r="R1828">
            <v>2846046</v>
          </cell>
          <cell r="S1828">
            <v>0</v>
          </cell>
          <cell r="T1828">
            <v>0</v>
          </cell>
          <cell r="U1828">
            <v>2846046</v>
          </cell>
          <cell r="V1828">
            <v>1626312</v>
          </cell>
        </row>
        <row r="1829">
          <cell r="J1829">
            <v>1198</v>
          </cell>
          <cell r="K1829">
            <v>43143</v>
          </cell>
          <cell r="L1829" t="str">
            <v>BLANCA STELLA DIAZ SALAMANCA</v>
          </cell>
          <cell r="M1829">
            <v>31</v>
          </cell>
          <cell r="N1829" t="str">
            <v>RESOLUCION</v>
          </cell>
          <cell r="O1829">
            <v>874</v>
          </cell>
          <cell r="P1829">
            <v>43143</v>
          </cell>
          <cell r="Q1829" t="str">
            <v>AYUDA TEMPORAL A LAS FAMILIAS DE VARIAS LOCALIDADES, PARA RELOCALIZACIÓN DE HOGARES LOCALIZADOS EN ZONAS DE ALTO RIESGO NO MITIGABLE ID:2011-20-13434, LOCALIDAD:20 SUMAPAZ, UPZ:5 UPR RIO SUMAPAZ</v>
          </cell>
          <cell r="R1829">
            <v>4204986</v>
          </cell>
          <cell r="S1829">
            <v>700831</v>
          </cell>
          <cell r="T1829">
            <v>0</v>
          </cell>
          <cell r="U1829">
            <v>3504155</v>
          </cell>
          <cell r="V1829">
            <v>3504155</v>
          </cell>
        </row>
        <row r="1830">
          <cell r="J1830">
            <v>1199</v>
          </cell>
          <cell r="K1830">
            <v>43143</v>
          </cell>
          <cell r="L1830" t="str">
            <v>MARIA GUILLERMINA LOPEZ DE ZAMBRANO</v>
          </cell>
          <cell r="M1830">
            <v>31</v>
          </cell>
          <cell r="N1830" t="str">
            <v>RESOLUCION</v>
          </cell>
          <cell r="O1830">
            <v>875</v>
          </cell>
          <cell r="P1830">
            <v>43143</v>
          </cell>
          <cell r="Q1830" t="str">
            <v>AYUDA TEMPORAL A LAS FAMILIAS DE VARIAS LOCALIDADES, PARA RELOCALIZACIÓN DE HOGARES LOCALIZADOS EN ZONAS DE ALTO RIESGO NO MITIGABLE ID:2014-C01-00808, LOCALIDAD:19 CIUDAD BOLÍVAR, UPZ:68 EL TESORO</v>
          </cell>
          <cell r="R1830">
            <v>1534452</v>
          </cell>
          <cell r="S1830">
            <v>383613</v>
          </cell>
          <cell r="T1830">
            <v>0</v>
          </cell>
          <cell r="U1830">
            <v>1150839</v>
          </cell>
          <cell r="V1830">
            <v>1150839</v>
          </cell>
        </row>
        <row r="1831">
          <cell r="J1831">
            <v>1200</v>
          </cell>
          <cell r="K1831">
            <v>43143</v>
          </cell>
          <cell r="L1831" t="str">
            <v>FABIAN  CASTRO CASTAÑEDA</v>
          </cell>
          <cell r="M1831">
            <v>31</v>
          </cell>
          <cell r="N1831" t="str">
            <v>RESOLUCION</v>
          </cell>
          <cell r="O1831">
            <v>894</v>
          </cell>
          <cell r="P1831">
            <v>43143</v>
          </cell>
          <cell r="Q1831" t="str">
            <v>AYUDA TEMPORAL A LAS FAMILIAS DE VARIAS LOCALIDADES, PARA RELOCALIZACIÓN DE HOGARES LOCALIZADOS EN ZONAS DE ALTO RIESGO NO MITIGABLE ID:2015-OTR-01494, LOCALIDAD:11 SUBA, UPZ:71 TIBABUYES, SECTOR:GAVILANES</v>
          </cell>
          <cell r="R1831">
            <v>2788569</v>
          </cell>
          <cell r="S1831">
            <v>398367</v>
          </cell>
          <cell r="T1831">
            <v>0</v>
          </cell>
          <cell r="U1831">
            <v>2390202</v>
          </cell>
          <cell r="V1831">
            <v>2390202</v>
          </cell>
        </row>
        <row r="1832">
          <cell r="J1832">
            <v>1201</v>
          </cell>
          <cell r="K1832">
            <v>43143</v>
          </cell>
          <cell r="L1832" t="str">
            <v>LUZ MARY CASTILLO DE REINA</v>
          </cell>
          <cell r="M1832">
            <v>31</v>
          </cell>
          <cell r="N1832" t="str">
            <v>RESOLUCION</v>
          </cell>
          <cell r="O1832">
            <v>876</v>
          </cell>
          <cell r="P1832">
            <v>43143</v>
          </cell>
          <cell r="Q1832" t="str">
            <v>AYUDA TEMPORAL A LAS FAMILIAS DE VARIAS LOCALIDADES, PARA RELOCALIZACIÓN DE HOGARES LOCALIZADOS EN ZONAS DE ALTO RIESGO NO MITIGABLE ID:2011-19-13492, LOCALIDAD:19 CIUDAD BOLÍVAR, UPZ:68 EL TESORO</v>
          </cell>
          <cell r="R1832">
            <v>5430984</v>
          </cell>
          <cell r="S1832">
            <v>0</v>
          </cell>
          <cell r="T1832">
            <v>0</v>
          </cell>
          <cell r="U1832">
            <v>5430984</v>
          </cell>
          <cell r="V1832">
            <v>835536</v>
          </cell>
        </row>
        <row r="1833">
          <cell r="J1833">
            <v>1202</v>
          </cell>
          <cell r="K1833">
            <v>43143</v>
          </cell>
          <cell r="L1833" t="str">
            <v>JHON FREDY PARRA PARRA</v>
          </cell>
          <cell r="M1833">
            <v>31</v>
          </cell>
          <cell r="N1833" t="str">
            <v>RESOLUCION</v>
          </cell>
          <cell r="O1833">
            <v>785</v>
          </cell>
          <cell r="P1833">
            <v>43143</v>
          </cell>
          <cell r="Q1833" t="str">
            <v>AYUDA TEMPORAL A LAS FAMILIAS DE VARIAS LOCALIDADES, PARA RELOCALIZACIÓN DE HOGARES LOCALIZADOS EN ZONAS DE ALTO RIESGO NO MITIGABLE ID:2013-Q10-00612, LOCALIDAD:04 SAN CRISTÓBAL, UPZ:51 LOS LIBERTADORES, SECTOR:QUEBRADA VEREJONES</v>
          </cell>
          <cell r="R1833">
            <v>5285280</v>
          </cell>
          <cell r="S1833">
            <v>0</v>
          </cell>
          <cell r="T1833">
            <v>0</v>
          </cell>
          <cell r="U1833">
            <v>5285280</v>
          </cell>
          <cell r="V1833">
            <v>3252480</v>
          </cell>
        </row>
        <row r="1834">
          <cell r="J1834">
            <v>1203</v>
          </cell>
          <cell r="K1834">
            <v>43143</v>
          </cell>
          <cell r="L1834" t="str">
            <v>ROSA ELENA GUTIERREZ</v>
          </cell>
          <cell r="M1834">
            <v>31</v>
          </cell>
          <cell r="N1834" t="str">
            <v>RESOLUCION</v>
          </cell>
          <cell r="O1834">
            <v>877</v>
          </cell>
          <cell r="P1834">
            <v>43143</v>
          </cell>
          <cell r="Q1834" t="str">
            <v>AYUDA TEMPORAL A LAS FAMILIAS DE VARIAS LOCALIDADES, PARA RELOCALIZACIÓN DE HOGARES LOCALIZADOS EN ZONAS DE ALTO RIESGO NO MITIGABLE ID:2011-4-12651, LOCALIDAD:04 SAN CRISTÓBAL, UPZ:32 SAN BLAS</v>
          </cell>
          <cell r="R1834">
            <v>2661239</v>
          </cell>
          <cell r="S1834">
            <v>380177</v>
          </cell>
          <cell r="T1834">
            <v>0</v>
          </cell>
          <cell r="U1834">
            <v>2281062</v>
          </cell>
          <cell r="V1834">
            <v>2281062</v>
          </cell>
        </row>
        <row r="1835">
          <cell r="J1835">
            <v>1204</v>
          </cell>
          <cell r="K1835">
            <v>43143</v>
          </cell>
          <cell r="L1835" t="str">
            <v>AMPARO  CHAPARRO</v>
          </cell>
          <cell r="M1835">
            <v>31</v>
          </cell>
          <cell r="N1835" t="str">
            <v>RESOLUCION</v>
          </cell>
          <cell r="O1835">
            <v>878</v>
          </cell>
          <cell r="P1835">
            <v>43143</v>
          </cell>
          <cell r="Q1835" t="str">
            <v>AYUDA TEMPORAL A LAS FAMILIAS DE VARIAS LOCALIDADES, PARA RELOCALIZACIÓN DE HOGARES LOCALIZADOS EN ZONAS DE ALTO RIESGO NO MITIGABLE ID:2013-Q04-00287, LOCALIDAD:19 CIUDAD BOLÍVAR, UPZ:67 LUCERO, SECTOR:PEÑA COLORADA</v>
          </cell>
          <cell r="R1835">
            <v>2582006</v>
          </cell>
          <cell r="S1835">
            <v>368858</v>
          </cell>
          <cell r="T1835">
            <v>0</v>
          </cell>
          <cell r="U1835">
            <v>2213148</v>
          </cell>
          <cell r="V1835">
            <v>2213148</v>
          </cell>
        </row>
        <row r="1836">
          <cell r="J1836">
            <v>1205</v>
          </cell>
          <cell r="K1836">
            <v>43143</v>
          </cell>
          <cell r="L1836" t="str">
            <v>MARIA WALDINA MANCILLA LADINO</v>
          </cell>
          <cell r="M1836">
            <v>31</v>
          </cell>
          <cell r="N1836" t="str">
            <v>RESOLUCION</v>
          </cell>
          <cell r="O1836">
            <v>786</v>
          </cell>
          <cell r="P1836">
            <v>43143</v>
          </cell>
          <cell r="Q1836" t="str">
            <v>AYUDA TEMPORAL A LAS FAMILIAS DE VARIAS LOCALIDADES, PARA RELOCALIZACIÓN DE HOGARES LOCALIZADOS EN ZONAS DE ALTO RIESGO NO MITIGABLE ID:2013000532, LOCALIDAD:19 CIUDAD BOLÍVAR, UPZ:67 LUCERO, SECTOR:PEÑA COLORADA</v>
          </cell>
          <cell r="R1836">
            <v>5178771</v>
          </cell>
          <cell r="S1836">
            <v>0</v>
          </cell>
          <cell r="T1836">
            <v>0</v>
          </cell>
          <cell r="U1836">
            <v>5178771</v>
          </cell>
          <cell r="V1836">
            <v>3186936</v>
          </cell>
        </row>
        <row r="1837">
          <cell r="J1837">
            <v>1206</v>
          </cell>
          <cell r="K1837">
            <v>43143</v>
          </cell>
          <cell r="L1837" t="str">
            <v>ANA MILENA SUREZ MUNZA</v>
          </cell>
          <cell r="M1837">
            <v>31</v>
          </cell>
          <cell r="N1837" t="str">
            <v>RESOLUCION</v>
          </cell>
          <cell r="O1837">
            <v>879</v>
          </cell>
          <cell r="P1837">
            <v>43143</v>
          </cell>
          <cell r="Q1837" t="str">
            <v>AYUDA TEMPORAL A LAS FAMILIAS DE VARIAS LOCALIDADES, PARA RELOCALIZACIÓN DE HOGARES LOCALIZADOS EN ZONAS DE ALTO RIESGO NO MITIGABLE ID:2016-08-14897, LOCALIDAD:08 KENNEDY, UPZ:82 PATIO BONITO, SECTOR:PALMITAS</v>
          </cell>
          <cell r="R1837">
            <v>7082088</v>
          </cell>
          <cell r="S1837">
            <v>0</v>
          </cell>
          <cell r="T1837">
            <v>0</v>
          </cell>
          <cell r="U1837">
            <v>7082088</v>
          </cell>
          <cell r="V1837">
            <v>4721392</v>
          </cell>
        </row>
        <row r="1838">
          <cell r="J1838">
            <v>1207</v>
          </cell>
          <cell r="K1838">
            <v>43143</v>
          </cell>
          <cell r="L1838" t="str">
            <v>HECTOR MAURICIO VELEZ SANCHEZ</v>
          </cell>
          <cell r="M1838">
            <v>31</v>
          </cell>
          <cell r="N1838" t="str">
            <v>RESOLUCION</v>
          </cell>
          <cell r="O1838">
            <v>880</v>
          </cell>
          <cell r="P1838">
            <v>43143</v>
          </cell>
          <cell r="Q1838" t="str">
            <v>AYUDA TEMPORAL A LAS FAMILIAS DE VARIAS LOCALIDADES, PARA RELOCALIZACIÓN DE HOGARES LOCALIZADOS EN ZONAS DE ALTO RIESGO NO MITIGABLE ID:2011-5-13283, LOCALIDAD:05 USME, UPZ:56 DANUBIO</v>
          </cell>
          <cell r="R1838">
            <v>2924376</v>
          </cell>
          <cell r="S1838">
            <v>417768</v>
          </cell>
          <cell r="T1838">
            <v>0</v>
          </cell>
          <cell r="U1838">
            <v>2506608</v>
          </cell>
          <cell r="V1838">
            <v>2506608</v>
          </cell>
        </row>
        <row r="1839">
          <cell r="J1839">
            <v>1208</v>
          </cell>
          <cell r="K1839">
            <v>43143</v>
          </cell>
          <cell r="L1839" t="str">
            <v>ANA CLAUDINA ESCOBAR ROJAS</v>
          </cell>
          <cell r="M1839">
            <v>31</v>
          </cell>
          <cell r="N1839" t="str">
            <v>RESOLUCION</v>
          </cell>
          <cell r="O1839">
            <v>787</v>
          </cell>
          <cell r="P1839">
            <v>43143</v>
          </cell>
          <cell r="Q1839" t="str">
            <v>AYUDA TEMPORAL A LAS FAMILIAS DE VARIAS LOCALIDADES, PARA RELOCALIZACIÓN DE HOGARES LOCALIZADOS EN ZONAS DE ALTO RIESGO NO MITIGABLE ID:2013000468, LOCALIDAD:04 SAN CRISTÓBAL, UPZ:51 LOS LIBERTADORES, SECTOR:QUEBRADA VEREJONES</v>
          </cell>
          <cell r="R1839">
            <v>2382790</v>
          </cell>
          <cell r="S1839">
            <v>476558</v>
          </cell>
          <cell r="T1839">
            <v>0</v>
          </cell>
          <cell r="U1839">
            <v>1906232</v>
          </cell>
          <cell r="V1839">
            <v>1906232</v>
          </cell>
        </row>
        <row r="1840">
          <cell r="J1840">
            <v>1209</v>
          </cell>
          <cell r="K1840">
            <v>43143</v>
          </cell>
          <cell r="L1840" t="str">
            <v>ELIZABETH  CAGUA YATE</v>
          </cell>
          <cell r="M1840">
            <v>31</v>
          </cell>
          <cell r="N1840" t="str">
            <v>RESOLUCION</v>
          </cell>
          <cell r="O1840">
            <v>881</v>
          </cell>
          <cell r="P1840">
            <v>43143</v>
          </cell>
          <cell r="Q1840" t="str">
            <v>AYUDA TEMPORAL A LAS FAMILIAS DE VARIAS LOCALIDADES, PARA RELOCALIZACIÓN DE HOGARES LOCALIZADOS EN ZONAS DE ALTO RIESGO NO MITIGABLE ID:2016-08-14796, LOCALIDAD:08 KENNEDY, UPZ:82 PATIO BONITO, SECTOR:PALMITAS</v>
          </cell>
          <cell r="R1840">
            <v>5436970</v>
          </cell>
          <cell r="S1840">
            <v>0</v>
          </cell>
          <cell r="T1840">
            <v>0</v>
          </cell>
          <cell r="U1840">
            <v>5436970</v>
          </cell>
          <cell r="V1840">
            <v>3954160</v>
          </cell>
        </row>
        <row r="1841">
          <cell r="J1841">
            <v>1210</v>
          </cell>
          <cell r="K1841">
            <v>43143</v>
          </cell>
          <cell r="L1841" t="str">
            <v>ADELA DEL CARMEN ROSAS DE VARGAS</v>
          </cell>
          <cell r="M1841">
            <v>31</v>
          </cell>
          <cell r="N1841" t="str">
            <v>RESOLUCION</v>
          </cell>
          <cell r="O1841">
            <v>788</v>
          </cell>
          <cell r="P1841">
            <v>43143</v>
          </cell>
          <cell r="Q1841" t="str">
            <v>AYUDA TEMPORAL A LAS FAMILIAS DE VARIAS LOCALIDADES, PARA RELOCALIZACIÓN DE HOGARES LOCALIZADOS EN ZONAS DE ALTO RIESGO NO MITIGABLE ID:2015-Q20-01408, LOCALIDAD:04 SAN CRISTÓBAL, UPZ:50 LA GLORIA, SECTOR:LA CHIGUAZA</v>
          </cell>
          <cell r="R1841">
            <v>4795154</v>
          </cell>
          <cell r="S1841">
            <v>0</v>
          </cell>
          <cell r="T1841">
            <v>0</v>
          </cell>
          <cell r="U1841">
            <v>4795154</v>
          </cell>
          <cell r="V1841">
            <v>2950864</v>
          </cell>
        </row>
        <row r="1842">
          <cell r="J1842">
            <v>1211</v>
          </cell>
          <cell r="K1842">
            <v>43143</v>
          </cell>
          <cell r="L1842" t="str">
            <v>LUIS JORGE ROJAS HERNANDEZ</v>
          </cell>
          <cell r="M1842">
            <v>31</v>
          </cell>
          <cell r="N1842" t="str">
            <v>RESOLUCION</v>
          </cell>
          <cell r="O1842">
            <v>882</v>
          </cell>
          <cell r="P1842">
            <v>43143</v>
          </cell>
          <cell r="Q1842" t="str">
            <v>AYUDA TEMPORAL A LAS FAMILIAS DE VARIAS LOCALIDADES, PARA RELOCALIZACIÓN DE HOGARES LOCALIZADOS EN ZONAS DE ALTO RIESGO NO MITIGABLE ID:2014-OTR-00961, LOCALIDAD:19 CIUDAD BOLÍVAR, UPZ:67 LUCERO, SECTOR:TABOR ALTALOMA</v>
          </cell>
          <cell r="R1842">
            <v>3017000</v>
          </cell>
          <cell r="S1842">
            <v>431000</v>
          </cell>
          <cell r="T1842">
            <v>0</v>
          </cell>
          <cell r="U1842">
            <v>2586000</v>
          </cell>
          <cell r="V1842">
            <v>2586000</v>
          </cell>
        </row>
        <row r="1843">
          <cell r="J1843">
            <v>1212</v>
          </cell>
          <cell r="K1843">
            <v>43143</v>
          </cell>
          <cell r="L1843" t="str">
            <v>DILFIO  MERCAZA ISMARE</v>
          </cell>
          <cell r="M1843">
            <v>31</v>
          </cell>
          <cell r="N1843" t="str">
            <v>RESOLUCION</v>
          </cell>
          <cell r="O1843">
            <v>895</v>
          </cell>
          <cell r="P1843">
            <v>43143</v>
          </cell>
          <cell r="Q1843" t="str">
            <v>AYUDA TEMPORAL A LAS FAMILIAS DE VARIAS LOCALIDADES, PARA RELOCALIZACIÓN DE HOGARES LOCALIZADOS EN ZONAS DE ALTO RIESGO NO MITIGABLE ID:2014-W166-024, LOCALIDAD:19 CIUDAD BOLÍVAR, UPZ:68 EL TESORO, SECTOR:WOUNAAN</v>
          </cell>
          <cell r="R1843">
            <v>1626240</v>
          </cell>
          <cell r="S1843">
            <v>406560</v>
          </cell>
          <cell r="T1843">
            <v>0</v>
          </cell>
          <cell r="U1843">
            <v>1219680</v>
          </cell>
          <cell r="V1843">
            <v>1219680</v>
          </cell>
        </row>
        <row r="1844">
          <cell r="J1844">
            <v>1213</v>
          </cell>
          <cell r="K1844">
            <v>43143</v>
          </cell>
          <cell r="L1844" t="str">
            <v>ALONSO  CONQUISTA CARPIO</v>
          </cell>
          <cell r="M1844">
            <v>31</v>
          </cell>
          <cell r="N1844" t="str">
            <v>RESOLUCION</v>
          </cell>
          <cell r="O1844">
            <v>896</v>
          </cell>
          <cell r="P1844">
            <v>43143</v>
          </cell>
          <cell r="Q1844" t="str">
            <v>AYUDA TEMPORAL A LAS FAMILIAS DE VARIAS LOCALIDADES, PARA RELOCALIZACIÓN DE HOGARES LOCALIZADOS EN ZONAS DE ALTO RIESGO NO MITIGABLE ID:2014-W166-049, LOCALIDAD:19 CIUDAD BOLÍVAR, UPZ:68 EL TESORO, SECTOR:WOUNAAN</v>
          </cell>
          <cell r="R1844">
            <v>2213152</v>
          </cell>
          <cell r="S1844">
            <v>553288</v>
          </cell>
          <cell r="T1844">
            <v>0</v>
          </cell>
          <cell r="U1844">
            <v>1659864</v>
          </cell>
          <cell r="V1844">
            <v>1659864</v>
          </cell>
        </row>
        <row r="1845">
          <cell r="J1845">
            <v>1214</v>
          </cell>
          <cell r="K1845">
            <v>43143</v>
          </cell>
          <cell r="L1845" t="str">
            <v>MYRIAM  MUNERA DE LONDONO</v>
          </cell>
          <cell r="M1845">
            <v>31</v>
          </cell>
          <cell r="N1845" t="str">
            <v>RESOLUCION</v>
          </cell>
          <cell r="O1845">
            <v>789</v>
          </cell>
          <cell r="P1845">
            <v>43143</v>
          </cell>
          <cell r="Q1845" t="str">
            <v>AYUDA TEMPORAL A LAS FAMILIAS DE VARIAS LOCALIDADES, PARA RELOCALIZACIÓN DE HOGARES LOCALIZADOS EN ZONAS DE ALTO RIESGO NO MITIGABLE ID:2013000126, LOCALIDAD:04 SAN CRISTÓBAL, UPZ:51 LOS LIBERTADORES, SECTOR:QUEBRADA VEREJONES</v>
          </cell>
          <cell r="R1845">
            <v>4795154</v>
          </cell>
          <cell r="S1845">
            <v>0</v>
          </cell>
          <cell r="T1845">
            <v>0</v>
          </cell>
          <cell r="U1845">
            <v>4795154</v>
          </cell>
          <cell r="V1845">
            <v>2950864</v>
          </cell>
        </row>
        <row r="1846">
          <cell r="J1846">
            <v>1215</v>
          </cell>
          <cell r="K1846">
            <v>43143</v>
          </cell>
          <cell r="L1846" t="str">
            <v>HENRY  ALVAREZ</v>
          </cell>
          <cell r="M1846">
            <v>31</v>
          </cell>
          <cell r="N1846" t="str">
            <v>RESOLUCION</v>
          </cell>
          <cell r="O1846">
            <v>897</v>
          </cell>
          <cell r="P1846">
            <v>43143</v>
          </cell>
          <cell r="Q1846" t="str">
            <v>AYUDA TEMPORAL A LAS FAMILIAS DE VARIAS LOCALIDADES, PARA RELOCALIZACIÓN DE HOGARES LOCALIZADOS EN ZONAS DE ALTO RIESGO NO MITIGABLE ID:2015-D227-00060, LOCALIDAD:04 SAN CRISTÓBAL, UPZ:51 LOS LIBERTADORES, SECTOR:SANTA TERESITA</v>
          </cell>
          <cell r="R1846">
            <v>1844290</v>
          </cell>
          <cell r="S1846">
            <v>368858</v>
          </cell>
          <cell r="T1846">
            <v>0</v>
          </cell>
          <cell r="U1846">
            <v>1475432</v>
          </cell>
          <cell r="V1846">
            <v>1475432</v>
          </cell>
        </row>
        <row r="1847">
          <cell r="J1847">
            <v>1216</v>
          </cell>
          <cell r="K1847">
            <v>43143</v>
          </cell>
          <cell r="L1847" t="str">
            <v>JUAN ANTONIO BORJAS</v>
          </cell>
          <cell r="M1847">
            <v>31</v>
          </cell>
          <cell r="N1847" t="str">
            <v>RESOLUCION</v>
          </cell>
          <cell r="O1847">
            <v>790</v>
          </cell>
          <cell r="P1847">
            <v>43143</v>
          </cell>
          <cell r="Q1847" t="str">
            <v>AYUDA TEMPORAL A LAS FAMILIAS DE VARIAS LOCALIDADES, PARA RELOCALIZACIÓN DE HOGARES LOCALIZADOS EN ZONAS DE ALTO RIESGO NO MITIGABLE ID:2007-19-9742, LOCALIDAD:19 CIUDAD BOLÍVAR, UPZ:69 ISMAEL PERDOMO, SECTOR:</v>
          </cell>
          <cell r="R1847">
            <v>5178771</v>
          </cell>
          <cell r="S1847">
            <v>0</v>
          </cell>
          <cell r="T1847">
            <v>0</v>
          </cell>
          <cell r="U1847">
            <v>5178771</v>
          </cell>
          <cell r="V1847">
            <v>3186936</v>
          </cell>
        </row>
        <row r="1848">
          <cell r="J1848">
            <v>1217</v>
          </cell>
          <cell r="K1848">
            <v>43143</v>
          </cell>
          <cell r="L1848" t="str">
            <v>LUIS HERNAN SIERRA CASAS</v>
          </cell>
          <cell r="M1848">
            <v>31</v>
          </cell>
          <cell r="N1848" t="str">
            <v>RESOLUCION</v>
          </cell>
          <cell r="O1848">
            <v>898</v>
          </cell>
          <cell r="P1848">
            <v>43143</v>
          </cell>
          <cell r="Q1848" t="str">
            <v>AYUDA TEMPORAL A LAS FAMILIAS DE VARIAS LOCALIDADES, PARA RELOCALIZACIÓN DE HOGARES LOCALIZADOS EN ZONAS DE ALTO RIESGO NO MITIGABLE ID:2015-D227-00030, LOCALIDAD:04 SAN CRISTÓBAL, UPZ:51 LOS LIBERTADORES, SECTOR:SANTA TERESITA</v>
          </cell>
          <cell r="R1848">
            <v>1701340</v>
          </cell>
          <cell r="S1848">
            <v>425335</v>
          </cell>
          <cell r="T1848">
            <v>0</v>
          </cell>
          <cell r="U1848">
            <v>1276005</v>
          </cell>
          <cell r="V1848">
            <v>1276005</v>
          </cell>
        </row>
        <row r="1849">
          <cell r="J1849">
            <v>1218</v>
          </cell>
          <cell r="K1849">
            <v>43143</v>
          </cell>
          <cell r="L1849" t="str">
            <v>GUILLERMO ANTONIO PARRA BAUTISTA</v>
          </cell>
          <cell r="M1849">
            <v>31</v>
          </cell>
          <cell r="N1849" t="str">
            <v>RESOLUCION</v>
          </cell>
          <cell r="O1849">
            <v>791</v>
          </cell>
          <cell r="P1849">
            <v>43143</v>
          </cell>
          <cell r="Q1849" t="str">
            <v>AYUDA TEMPORAL A LAS FAMILIAS DE VARIAS LOCALIDADES, PARA RELOCALIZACIÓN DE HOGARES LOCALIZADOS EN ZONAS DE ALTO RIESGO NO MITIGABLE ID:2016-08-14863, LOCALIDAD:08 KENNEDY, UPZ:82 PATIO BONITO, SECTOR:PALMITAS</v>
          </cell>
          <cell r="R1849">
            <v>4687452</v>
          </cell>
          <cell r="S1849">
            <v>0</v>
          </cell>
          <cell r="T1849">
            <v>0</v>
          </cell>
          <cell r="U1849">
            <v>4687452</v>
          </cell>
          <cell r="V1849">
            <v>2734347</v>
          </cell>
        </row>
        <row r="1850">
          <cell r="J1850">
            <v>1219</v>
          </cell>
          <cell r="K1850">
            <v>43143</v>
          </cell>
          <cell r="L1850" t="str">
            <v>HERMENCIA  RODRIGUEZ BARRANTES</v>
          </cell>
          <cell r="M1850">
            <v>31</v>
          </cell>
          <cell r="N1850" t="str">
            <v>RESOLUCION</v>
          </cell>
          <cell r="O1850">
            <v>792</v>
          </cell>
          <cell r="P1850">
            <v>43143</v>
          </cell>
          <cell r="Q1850" t="str">
            <v>AYUDA TEMPORAL A LAS FAMILIAS DE VARIAS LOCALIDADES, PARA RELOCALIZACIÓN DE HOGARES LOCALIZADOS EN ZONAS DE ALTO RIESGO NO MITIGABLE ID:2013000019, LOCALIDAD:19 CIUDAD BOLÍVAR, UPZ:67 LUCERO, SECTOR:QUEBRADA CAÑO BAÚL</v>
          </cell>
          <cell r="R1850">
            <v>5172000</v>
          </cell>
          <cell r="S1850">
            <v>0</v>
          </cell>
          <cell r="T1850">
            <v>0</v>
          </cell>
          <cell r="U1850">
            <v>5172000</v>
          </cell>
          <cell r="V1850">
            <v>3017000</v>
          </cell>
        </row>
        <row r="1851">
          <cell r="J1851">
            <v>1220</v>
          </cell>
          <cell r="K1851">
            <v>43143</v>
          </cell>
          <cell r="L1851" t="str">
            <v>CIRO  MENDOZA ORTIZ</v>
          </cell>
          <cell r="M1851">
            <v>31</v>
          </cell>
          <cell r="N1851" t="str">
            <v>RESOLUCION</v>
          </cell>
          <cell r="O1851">
            <v>899</v>
          </cell>
          <cell r="P1851">
            <v>43143</v>
          </cell>
          <cell r="Q1851" t="str">
            <v>AYUDA TEMPORAL A LAS FAMILIAS DE VARIAS LOCALIDADES, PARA RELOCALIZACIÓN DE HOGARES LOCALIZADOS EN ZONAS DE ALTO RIESGO NO MITIGABLE ID:2015-W166-504, LOCALIDAD:03 SANTA FE, UPZ:96 LOURDES, SECTOR:UITOTO</v>
          </cell>
          <cell r="R1851">
            <v>2319056</v>
          </cell>
          <cell r="S1851">
            <v>579764</v>
          </cell>
          <cell r="T1851">
            <v>0</v>
          </cell>
          <cell r="U1851">
            <v>1739292</v>
          </cell>
          <cell r="V1851">
            <v>1739292</v>
          </cell>
        </row>
        <row r="1852">
          <cell r="J1852">
            <v>1221</v>
          </cell>
          <cell r="K1852">
            <v>43143</v>
          </cell>
          <cell r="L1852" t="str">
            <v>ALBEIRO  ORTIZ CHICHILIANO</v>
          </cell>
          <cell r="M1852">
            <v>31</v>
          </cell>
          <cell r="N1852" t="str">
            <v>RESOLUCION</v>
          </cell>
          <cell r="O1852">
            <v>900</v>
          </cell>
          <cell r="P1852">
            <v>43143</v>
          </cell>
          <cell r="Q1852" t="str">
            <v>AYUDA TEMPORAL A LAS FAMILIAS DE VARIAS LOCALIDADES, PARA RELOCALIZACIÓN DE HOGARES LOCALIZADOS EN ZONAS DE ALTO RIESGO NO MITIGABLE ID:2015-W166-418, LOCALIDAD:19 CIUDAD BOLÍVAR, UPZ:67 LUCERO, SECTOR:WOUNAAN</v>
          </cell>
          <cell r="R1852">
            <v>2964130</v>
          </cell>
          <cell r="S1852">
            <v>592826</v>
          </cell>
          <cell r="T1852">
            <v>0</v>
          </cell>
          <cell r="U1852">
            <v>2371304</v>
          </cell>
          <cell r="V1852">
            <v>2371304</v>
          </cell>
        </row>
        <row r="1853">
          <cell r="J1853">
            <v>1222</v>
          </cell>
          <cell r="K1853">
            <v>43143</v>
          </cell>
          <cell r="L1853" t="str">
            <v>EVANGELISTA  MORALES MORALES</v>
          </cell>
          <cell r="M1853">
            <v>31</v>
          </cell>
          <cell r="N1853" t="str">
            <v>RESOLUCION</v>
          </cell>
          <cell r="O1853">
            <v>901</v>
          </cell>
          <cell r="P1853">
            <v>43143</v>
          </cell>
          <cell r="Q1853" t="str">
            <v>AYUDA TEMPORAL A LAS FAMILIAS DE VARIAS LOCALIDADES, PARA RELOCALIZACIÓN DE HOGARES LOCALIZADOS EN ZONAS DE ALTO RIESGO NO MITIGABLE ID:2013-Q10-00506, LOCALIDAD:04 SAN CRISTÓBAL, UPZ:51 LOS LIBERTADORES, SECTOR:QUEBRADA VEREJONES</v>
          </cell>
          <cell r="R1853">
            <v>1829540</v>
          </cell>
          <cell r="S1853">
            <v>457385</v>
          </cell>
          <cell r="T1853">
            <v>0</v>
          </cell>
          <cell r="U1853">
            <v>1372155</v>
          </cell>
          <cell r="V1853">
            <v>1372155</v>
          </cell>
        </row>
        <row r="1854">
          <cell r="J1854">
            <v>1223</v>
          </cell>
          <cell r="K1854">
            <v>43143</v>
          </cell>
          <cell r="L1854" t="str">
            <v>MARIA CELINA ÑEÑETOFE MATIAS</v>
          </cell>
          <cell r="M1854">
            <v>31</v>
          </cell>
          <cell r="N1854" t="str">
            <v>RESOLUCION</v>
          </cell>
          <cell r="O1854">
            <v>902</v>
          </cell>
          <cell r="P1854">
            <v>43143</v>
          </cell>
          <cell r="Q1854" t="str">
            <v>AYUDA TEMPORAL A LAS FAMILIAS DE VARIAS LOCALIDADES, PARA RELOCALIZACIÓN DE HOGARES LOCALIZADOS EN ZONAS DE ALTO RIESGO NO MITIGABLE ID:2015-W166-524, LOCALIDAD:04 SAN CRISTÓBAL, UPZ:32 SAN BLAS, SECTOR:UITOTO</v>
          </cell>
          <cell r="R1854">
            <v>2319720</v>
          </cell>
          <cell r="S1854">
            <v>579930</v>
          </cell>
          <cell r="T1854">
            <v>0</v>
          </cell>
          <cell r="U1854">
            <v>1739790</v>
          </cell>
          <cell r="V1854">
            <v>1739790</v>
          </cell>
        </row>
        <row r="1855">
          <cell r="J1855">
            <v>1224</v>
          </cell>
          <cell r="K1855">
            <v>43143</v>
          </cell>
          <cell r="L1855" t="str">
            <v>GRACIELA  GANZASOY</v>
          </cell>
          <cell r="M1855">
            <v>31</v>
          </cell>
          <cell r="N1855" t="str">
            <v>RESOLUCION</v>
          </cell>
          <cell r="O1855">
            <v>793</v>
          </cell>
          <cell r="P1855">
            <v>43143</v>
          </cell>
          <cell r="Q1855" t="str">
            <v>AYUDA TEMPORAL A LAS FAMILIAS DE VARIAS LOCALIDADES, PARA RELOCALIZACIÓN DE HOGARES LOCALIZADOS EN ZONAS DE ALTO RIESGO NO MITIGABLE ID:2006-4-8757, LOCALIDAD:04 SAN CRISTÓBAL, UPZ:50 LA GLORIA.</v>
          </cell>
          <cell r="R1855">
            <v>5796466</v>
          </cell>
          <cell r="S1855">
            <v>0</v>
          </cell>
          <cell r="T1855">
            <v>0</v>
          </cell>
          <cell r="U1855">
            <v>5796466</v>
          </cell>
          <cell r="V1855">
            <v>3567056</v>
          </cell>
        </row>
        <row r="1856">
          <cell r="J1856">
            <v>1225</v>
          </cell>
          <cell r="K1856">
            <v>43143</v>
          </cell>
          <cell r="L1856" t="str">
            <v>AMILKAR  PIRAZA MEPAQUITO</v>
          </cell>
          <cell r="M1856">
            <v>31</v>
          </cell>
          <cell r="N1856" t="str">
            <v>RESOLUCION</v>
          </cell>
          <cell r="O1856">
            <v>903</v>
          </cell>
          <cell r="P1856">
            <v>43143</v>
          </cell>
          <cell r="Q1856" t="str">
            <v>AYUDA TEMPORAL A LAS FAMILIAS DE VARIAS LOCALIDADES, PARA RELOCALIZACIÓN DE HOGARES LOCALIZADOS EN ZONAS DE ALTO RIESGO NO MITIGABLE ID:2014-W166-050, LOCALIDAD:19 CIUDAD BOLÍVAR, UPZ:68 EL TESORO, SECTOR:WOUNAAN</v>
          </cell>
          <cell r="R1856">
            <v>2360696</v>
          </cell>
          <cell r="S1856">
            <v>590174</v>
          </cell>
          <cell r="T1856">
            <v>0</v>
          </cell>
          <cell r="U1856">
            <v>1770522</v>
          </cell>
          <cell r="V1856">
            <v>1770522</v>
          </cell>
        </row>
        <row r="1857">
          <cell r="J1857">
            <v>1226</v>
          </cell>
          <cell r="K1857">
            <v>43143</v>
          </cell>
          <cell r="L1857" t="str">
            <v>MARIA HILDA PRIETO SALAMANCA</v>
          </cell>
          <cell r="M1857">
            <v>31</v>
          </cell>
          <cell r="N1857" t="str">
            <v>RESOLUCION</v>
          </cell>
          <cell r="O1857">
            <v>794</v>
          </cell>
          <cell r="P1857">
            <v>43143</v>
          </cell>
          <cell r="Q1857" t="str">
            <v>AYUDA TEMPORAL A LAS FAMILIAS DE VARIAS LOCALIDADES, PARA RELOCALIZACIÓN DE HOGARES LOCALIZADOS EN ZONAS DE ALTO RIESGO NO MITIGABLE ID:2011-4-13355, LOCALIDAD:04 SAN CRISTÓBAL, UPZ:32 SAN BLAS.</v>
          </cell>
          <cell r="R1857">
            <v>3363507</v>
          </cell>
          <cell r="S1857">
            <v>480501</v>
          </cell>
          <cell r="T1857">
            <v>0</v>
          </cell>
          <cell r="U1857">
            <v>2883006</v>
          </cell>
          <cell r="V1857">
            <v>2883006</v>
          </cell>
        </row>
        <row r="1858">
          <cell r="J1858">
            <v>1227</v>
          </cell>
          <cell r="K1858">
            <v>43143</v>
          </cell>
          <cell r="L1858" t="str">
            <v>JAIME ANTONIO CAMARGO</v>
          </cell>
          <cell r="M1858">
            <v>31</v>
          </cell>
          <cell r="N1858" t="str">
            <v>RESOLUCION</v>
          </cell>
          <cell r="O1858">
            <v>904</v>
          </cell>
          <cell r="P1858">
            <v>43143</v>
          </cell>
          <cell r="Q1858" t="str">
            <v>AYUDA TEMPORAL A LAS FAMILIAS DE VARIAS LOCALIDADES, PARA RELOCALIZACIÓN DE HOGARES LOCALIZADOS EN ZONAS DE ALTO RIESGO NO MITIGABLE ID:2013-Q10-00471, LOCALIDAD:04 SAN CRISTÓBAL, UPZ:51 LOS LIBERTADORES, SECTOR:QUEBRADA VEREJONES</v>
          </cell>
          <cell r="R1858">
            <v>5603000</v>
          </cell>
          <cell r="S1858">
            <v>0</v>
          </cell>
          <cell r="T1858">
            <v>0</v>
          </cell>
          <cell r="U1858">
            <v>5603000</v>
          </cell>
          <cell r="V1858">
            <v>2586000</v>
          </cell>
        </row>
        <row r="1859">
          <cell r="J1859">
            <v>1228</v>
          </cell>
          <cell r="K1859">
            <v>43143</v>
          </cell>
          <cell r="L1859" t="str">
            <v>OLGA LUCIA ANDRADE SANCHEZ</v>
          </cell>
          <cell r="M1859">
            <v>31</v>
          </cell>
          <cell r="N1859" t="str">
            <v>RESOLUCION</v>
          </cell>
          <cell r="O1859">
            <v>905</v>
          </cell>
          <cell r="P1859">
            <v>43143</v>
          </cell>
          <cell r="Q1859" t="str">
            <v>AYUDA TEMPORAL A LAS FAMILIAS DE VARIAS LOCALIDADES, PARA RELOCALIZACIÓN DE HOGARES LOCALIZADOS EN ZONAS DE ALTO RIESGO NO MITIGABLE ID:2013000459, LOCALIDAD:04 SAN CRISTÓBAL, UPZ:51 LOS LIBERTADORES, SECTOR:QUEBRADA VEREJONES</v>
          </cell>
          <cell r="R1859">
            <v>2734345</v>
          </cell>
          <cell r="S1859">
            <v>546869</v>
          </cell>
          <cell r="T1859">
            <v>0</v>
          </cell>
          <cell r="U1859">
            <v>2187476</v>
          </cell>
          <cell r="V1859">
            <v>2187476</v>
          </cell>
        </row>
        <row r="1860">
          <cell r="J1860">
            <v>1229</v>
          </cell>
          <cell r="K1860">
            <v>43143</v>
          </cell>
          <cell r="L1860" t="str">
            <v>MARIA ELENA QUINTERO</v>
          </cell>
          <cell r="M1860">
            <v>31</v>
          </cell>
          <cell r="N1860" t="str">
            <v>RESOLUCION</v>
          </cell>
          <cell r="O1860">
            <v>906</v>
          </cell>
          <cell r="P1860">
            <v>43143</v>
          </cell>
          <cell r="Q1860" t="str">
            <v>AYUDA TEMPORAL A LAS FAMILIAS DE VARIAS LOCALIDADES, PARA RELOCALIZACIÓN DE HOGARES LOCALIZADOS EN ZONAS DE ALTO RIESGO NO MITIGABLE ID:2005-18-7102, LOCALIDAD:18 RAFAEL URIBE URIBE, UPZ:55 DIANA TURBAY.</v>
          </cell>
          <cell r="R1860">
            <v>4942301</v>
          </cell>
          <cell r="S1860">
            <v>0</v>
          </cell>
          <cell r="T1860">
            <v>0</v>
          </cell>
          <cell r="U1860">
            <v>4942301</v>
          </cell>
          <cell r="V1860">
            <v>3041416</v>
          </cell>
        </row>
        <row r="1861">
          <cell r="J1861">
            <v>1230</v>
          </cell>
          <cell r="K1861">
            <v>43143</v>
          </cell>
          <cell r="L1861" t="str">
            <v>NELFRIDO ENRIQUE TOVAR HOYOS</v>
          </cell>
          <cell r="M1861">
            <v>31</v>
          </cell>
          <cell r="N1861" t="str">
            <v>RESOLUCION</v>
          </cell>
          <cell r="O1861">
            <v>907</v>
          </cell>
          <cell r="P1861">
            <v>43143</v>
          </cell>
          <cell r="Q1861" t="str">
            <v>AYUDA TEMPORAL A LAS FAMILIAS DE VARIAS LOCALIDADES, PARA RELOCALIZACIÓN DE HOGARES LOCALIZADOS EN ZONAS DE ALTO RIESGO NO MITIGABLE ID:2016-08-14874, LOCALIDAD:08 KENNEDY, UPZ:82 PATIO BONITO, SECTOR:PALMITAS</v>
          </cell>
          <cell r="R1861">
            <v>4027933</v>
          </cell>
          <cell r="S1861">
            <v>575419</v>
          </cell>
          <cell r="T1861">
            <v>0</v>
          </cell>
          <cell r="U1861">
            <v>3452514</v>
          </cell>
          <cell r="V1861">
            <v>3452514</v>
          </cell>
        </row>
        <row r="1862">
          <cell r="J1862">
            <v>1231</v>
          </cell>
          <cell r="K1862">
            <v>43143</v>
          </cell>
          <cell r="L1862" t="str">
            <v>JOSE MARIA DOKOE CAUCHERO</v>
          </cell>
          <cell r="M1862">
            <v>31</v>
          </cell>
          <cell r="N1862" t="str">
            <v>RESOLUCION</v>
          </cell>
          <cell r="O1862">
            <v>795</v>
          </cell>
          <cell r="P1862">
            <v>43143</v>
          </cell>
          <cell r="Q1862" t="str">
            <v>AYUDA TEMPORAL A LAS FAMILIAS DE VARIAS LOCALIDADES, PARA RELOCALIZACIÓN DE HOGARES LOCALIZADOS EN ZONAS DE ALTO RIESGO NO MITIGABLE ID:2016-W166-00025, LOCALIDAD:03 SANTA FE, UPZ:95 LAS CRUCES, SECTOR:UITOTO</v>
          </cell>
          <cell r="R1862">
            <v>5736263</v>
          </cell>
          <cell r="S1862">
            <v>0</v>
          </cell>
          <cell r="T1862">
            <v>0</v>
          </cell>
          <cell r="U1862">
            <v>5736263</v>
          </cell>
          <cell r="V1862">
            <v>3530008</v>
          </cell>
        </row>
        <row r="1863">
          <cell r="J1863">
            <v>1232</v>
          </cell>
          <cell r="K1863">
            <v>43143</v>
          </cell>
          <cell r="L1863" t="str">
            <v>CLEOFELINA  GARCIA DE CASTRO</v>
          </cell>
          <cell r="M1863">
            <v>31</v>
          </cell>
          <cell r="N1863" t="str">
            <v>RESOLUCION</v>
          </cell>
          <cell r="O1863">
            <v>796</v>
          </cell>
          <cell r="P1863">
            <v>43143</v>
          </cell>
          <cell r="Q1863" t="str">
            <v>AYUDA TEMPORAL A LAS FAMILIAS DE VARIAS LOCALIDADES, PARA RELOCALIZACIÓN DE HOGARES LOCALIZADOS EN ZONAS DE ALTO RIESGO NO MITIGABLE ID:2014-OTR-00888, LOCALIDAD:03 SANTA FE, UPZ:96 LOURDES, SECTOR:CASA 2</v>
          </cell>
          <cell r="R1863">
            <v>3014166</v>
          </cell>
          <cell r="S1863">
            <v>502361</v>
          </cell>
          <cell r="T1863">
            <v>0</v>
          </cell>
          <cell r="U1863">
            <v>2511805</v>
          </cell>
          <cell r="V1863">
            <v>2511805</v>
          </cell>
        </row>
        <row r="1864">
          <cell r="J1864">
            <v>1233</v>
          </cell>
          <cell r="K1864">
            <v>43143</v>
          </cell>
          <cell r="L1864" t="str">
            <v>NELSON ARLEY ZULUAGA RAMIREZ</v>
          </cell>
          <cell r="M1864">
            <v>31</v>
          </cell>
          <cell r="N1864" t="str">
            <v>RESOLUCION</v>
          </cell>
          <cell r="O1864">
            <v>797</v>
          </cell>
          <cell r="P1864">
            <v>43143</v>
          </cell>
          <cell r="Q1864" t="str">
            <v>AYUDA TEMPORAL A LAS FAMILIAS DE VARIAS LOCALIDADES, PARA RELOCALIZACIÓN DE HOGARES LOCALIZADOS EN ZONAS DE ALTO RIESGO NO MITIGABLE ID:2016-08-14862, LOCALIDAD:08 KENNEDY, UPZ:82 PATIO BONITO, SECTOR:PALMITAS</v>
          </cell>
          <cell r="R1864">
            <v>4929600</v>
          </cell>
          <cell r="S1864">
            <v>0</v>
          </cell>
          <cell r="T1864">
            <v>0</v>
          </cell>
          <cell r="U1864">
            <v>4929600</v>
          </cell>
          <cell r="V1864">
            <v>3033600</v>
          </cell>
        </row>
        <row r="1865">
          <cell r="J1865">
            <v>1234</v>
          </cell>
          <cell r="K1865">
            <v>43143</v>
          </cell>
          <cell r="L1865" t="str">
            <v>ASTRID KATHERINE GAMBA GARZON</v>
          </cell>
          <cell r="M1865">
            <v>31</v>
          </cell>
          <cell r="N1865" t="str">
            <v>RESOLUCION</v>
          </cell>
          <cell r="O1865">
            <v>798</v>
          </cell>
          <cell r="P1865">
            <v>43143</v>
          </cell>
          <cell r="Q1865" t="str">
            <v>AYUDA TEMPORAL A LAS FAMILIAS DE VARIAS LOCALIDADES, PARA RELOCALIZACIÓN DE HOGARES LOCALIZADOS EN ZONAS DE ALTO RIESGO NO MITIGABLE ID:2015-3-14759, LOCALIDAD:03 SANTA FE, UPZ:96 LOURDES,</v>
          </cell>
          <cell r="R1865">
            <v>6431698</v>
          </cell>
          <cell r="S1865">
            <v>0</v>
          </cell>
          <cell r="T1865">
            <v>0</v>
          </cell>
          <cell r="U1865">
            <v>6431698</v>
          </cell>
          <cell r="V1865">
            <v>3957968</v>
          </cell>
        </row>
        <row r="1866">
          <cell r="J1866">
            <v>1235</v>
          </cell>
          <cell r="K1866">
            <v>43143</v>
          </cell>
          <cell r="L1866" t="str">
            <v>DIANA MARCELA AVELLA GUTIERREZ</v>
          </cell>
          <cell r="M1866">
            <v>31</v>
          </cell>
          <cell r="N1866" t="str">
            <v>RESOLUCION</v>
          </cell>
          <cell r="O1866">
            <v>799</v>
          </cell>
          <cell r="P1866">
            <v>43143</v>
          </cell>
          <cell r="Q1866" t="str">
            <v>AYUDA TEMPORAL A LAS FAMILIAS DE VARIAS LOCALIDADES, PARA RELOCALIZACIÓN DE HOGARES LOCALIZADOS EN ZONAS DE ALTO RIESGO NO MITIGABLE ID:2013-Q17-00021, LOCALIDAD:19 CIUDAD BOLÍVAR, UPZ:68 EL TESORO, SECTOR:QUEBRADA GALINDO</v>
          </cell>
          <cell r="R1866">
            <v>3541044</v>
          </cell>
          <cell r="S1866">
            <v>1770522</v>
          </cell>
          <cell r="T1866">
            <v>0</v>
          </cell>
          <cell r="U1866">
            <v>1770522</v>
          </cell>
          <cell r="V1866">
            <v>1770522</v>
          </cell>
        </row>
        <row r="1867">
          <cell r="J1867">
            <v>1236</v>
          </cell>
          <cell r="K1867">
            <v>43143</v>
          </cell>
          <cell r="L1867" t="str">
            <v>CECILIA  GONZALEZ GUZMAN</v>
          </cell>
          <cell r="M1867">
            <v>31</v>
          </cell>
          <cell r="N1867" t="str">
            <v>RESOLUCION</v>
          </cell>
          <cell r="O1867">
            <v>800</v>
          </cell>
          <cell r="P1867">
            <v>43143</v>
          </cell>
          <cell r="Q1867" t="str">
            <v>AYUDA TEMPORAL A LAS FAMILIAS DE VARIAS LOCALIDADES, PARA RELOCALIZACIÓN DE HOGARES LOCALIZADOS EN ZONAS DE ALTO RIESGO NO MITIGABLE ID:2007-19-9711, LOCALIDAD:19 CIUDAD BOLÍVAR, UPZ:69 ISMAEL PERDOMO,</v>
          </cell>
          <cell r="R1867">
            <v>4878720</v>
          </cell>
          <cell r="S1867">
            <v>0</v>
          </cell>
          <cell r="T1867">
            <v>0</v>
          </cell>
          <cell r="U1867">
            <v>4878720</v>
          </cell>
          <cell r="V1867">
            <v>2845920</v>
          </cell>
        </row>
        <row r="1868">
          <cell r="J1868">
            <v>1237</v>
          </cell>
          <cell r="K1868">
            <v>43144</v>
          </cell>
          <cell r="L1868" t="str">
            <v>MIGUEL  PARRA BERNAL</v>
          </cell>
          <cell r="M1868">
            <v>31</v>
          </cell>
          <cell r="N1868" t="str">
            <v>RESOLUCION</v>
          </cell>
          <cell r="O1868">
            <v>818</v>
          </cell>
          <cell r="P1868">
            <v>43144</v>
          </cell>
          <cell r="Q1868" t="str">
            <v>AYUDA TEMPORAL A LAS FAMILIAS DE VARIAS LOCALIDADES, PARA RELOCALIZACIÓN DE HOGARES LOCALIZADOS EN ZONAS DE ALTO RIESGO NO MITIGABLE ID:2014-Q03-01229, LOCALIDAD:19 CIUDAD BOLÍVAR, UPZ:66 SAN FRANCISCO, SECTOR:LIMAS</v>
          </cell>
          <cell r="R1868">
            <v>2545125</v>
          </cell>
          <cell r="S1868">
            <v>509025</v>
          </cell>
          <cell r="T1868">
            <v>0</v>
          </cell>
          <cell r="U1868">
            <v>2036100</v>
          </cell>
          <cell r="V1868">
            <v>2036100</v>
          </cell>
        </row>
        <row r="1869">
          <cell r="J1869">
            <v>1238</v>
          </cell>
          <cell r="K1869">
            <v>43144</v>
          </cell>
          <cell r="L1869" t="str">
            <v>LEONILDE  GARZON CORTES</v>
          </cell>
          <cell r="M1869">
            <v>31</v>
          </cell>
          <cell r="N1869" t="str">
            <v>RESOLUCION</v>
          </cell>
          <cell r="O1869">
            <v>819</v>
          </cell>
          <cell r="P1869">
            <v>43144</v>
          </cell>
          <cell r="Q1869" t="str">
            <v>AYUDA TEMPORAL A LAS FAMILIAS DE VARIAS LOCALIDADES, PARA RELOCALIZACIÓN DE HOGARES LOCALIZADOS EN ZONAS DE ALTO RIESGO NO MITIGABLE ID:2012-19-14130, LOCALIDAD:19 CIUDAD BOLÍVAR, UPZ:68 EL TESORO, SECTOR:QUEBRADA TROMPETA</v>
          </cell>
          <cell r="R1869">
            <v>2343726</v>
          </cell>
          <cell r="S1869">
            <v>390621</v>
          </cell>
          <cell r="T1869">
            <v>0</v>
          </cell>
          <cell r="U1869">
            <v>1953105</v>
          </cell>
          <cell r="V1869">
            <v>1953105</v>
          </cell>
        </row>
        <row r="1870">
          <cell r="J1870">
            <v>1239</v>
          </cell>
          <cell r="K1870">
            <v>43144</v>
          </cell>
          <cell r="L1870" t="str">
            <v>YADIRA  GOMEZ DAZA</v>
          </cell>
          <cell r="M1870">
            <v>31</v>
          </cell>
          <cell r="N1870" t="str">
            <v>RESOLUCION</v>
          </cell>
          <cell r="O1870">
            <v>820</v>
          </cell>
          <cell r="P1870">
            <v>43144</v>
          </cell>
          <cell r="Q1870" t="str">
            <v>AYUDA TEMPORAL A LAS FAMILIAS DE VARIAS LOCALIDADES, PARA RELOCALIZACIÓN DE HOGARES LOCALIZADOS EN ZONAS DE ALTO RIESGO NO MITIGABLE ID:2012-19-14382, LOCALIDAD:19 CIUDAD BOLÍVAR, UPZ:68 EL TESORO, SECTOR:</v>
          </cell>
          <cell r="R1870">
            <v>2299050</v>
          </cell>
          <cell r="S1870">
            <v>459810</v>
          </cell>
          <cell r="T1870">
            <v>0</v>
          </cell>
          <cell r="U1870">
            <v>1839240</v>
          </cell>
          <cell r="V1870">
            <v>1839240</v>
          </cell>
        </row>
        <row r="1871">
          <cell r="J1871">
            <v>1241</v>
          </cell>
          <cell r="K1871">
            <v>43144</v>
          </cell>
          <cell r="L1871" t="str">
            <v>ANGELA PATRICIA ROJAS SIERRA</v>
          </cell>
          <cell r="M1871">
            <v>31</v>
          </cell>
          <cell r="N1871" t="str">
            <v>RESOLUCION</v>
          </cell>
          <cell r="O1871">
            <v>801</v>
          </cell>
          <cell r="P1871">
            <v>43144</v>
          </cell>
          <cell r="Q1871" t="str">
            <v>AYUDA TEMPORAL A LAS FAMILIAS DE VARIAS LOCALIDADES, PARA RELOCALIZACIÓN DE HOGARES LOCALIZADOS EN ZONAS DE ALTO RIESGO NO MITIGABLE ID:2011-4-12720, LOCALIDAD:04 SAN CRISTÓBAL, UPZ:32 SAN BLAS,</v>
          </cell>
          <cell r="R1871">
            <v>4176009</v>
          </cell>
          <cell r="S1871">
            <v>0</v>
          </cell>
          <cell r="T1871">
            <v>0</v>
          </cell>
          <cell r="U1871">
            <v>4176009</v>
          </cell>
          <cell r="V1871">
            <v>3248007</v>
          </cell>
        </row>
        <row r="1872">
          <cell r="J1872">
            <v>1242</v>
          </cell>
          <cell r="K1872">
            <v>43144</v>
          </cell>
          <cell r="L1872" t="str">
            <v>MARIA CARLOTA ARENAS GIRALDO</v>
          </cell>
          <cell r="M1872">
            <v>31</v>
          </cell>
          <cell r="N1872" t="str">
            <v>RESOLUCION</v>
          </cell>
          <cell r="O1872">
            <v>802</v>
          </cell>
          <cell r="P1872">
            <v>43144</v>
          </cell>
          <cell r="Q1872" t="str">
            <v>AYUDA TEMPORAL A LAS FAMILIAS DE VARIAS LOCALIDADES, PARA RELOCALIZACIÓN DE HOGARES LOCALIZADOS EN ZONAS DE ALTO RIESGO NO MITIGABLE ID:2012-T314-01, LOCALIDAD:04 SAN CRISTÓBAL, UPZ:50 LA GLORIA, SECTOR:</v>
          </cell>
          <cell r="R1872">
            <v>2590566</v>
          </cell>
          <cell r="S1872">
            <v>431761</v>
          </cell>
          <cell r="T1872">
            <v>0</v>
          </cell>
          <cell r="U1872">
            <v>2158805</v>
          </cell>
          <cell r="V1872">
            <v>2158805</v>
          </cell>
        </row>
        <row r="1873">
          <cell r="J1873">
            <v>1243</v>
          </cell>
          <cell r="K1873">
            <v>43144</v>
          </cell>
          <cell r="L1873" t="str">
            <v>GERMAN MAURICIO TERREROS</v>
          </cell>
          <cell r="M1873">
            <v>31</v>
          </cell>
          <cell r="N1873" t="str">
            <v>RESOLUCION</v>
          </cell>
          <cell r="O1873">
            <v>821</v>
          </cell>
          <cell r="P1873">
            <v>43144</v>
          </cell>
          <cell r="Q1873" t="str">
            <v>AYUDA TEMPORAL A LAS FAMILIAS DE VARIAS LOCALIDADES, PARA RELOCALIZACIÓN DE HOGARES LOCALIZADOS EN ZONAS DE ALTO RIESGO NO MITIGABLE ID:2015-D227-00032, LOCALIDAD:04 SAN CRISTÓBAL, UPZ:51 LOS LIBERTADORES, SECTOR:SANTA TERESITA</v>
          </cell>
          <cell r="R1873">
            <v>4949004</v>
          </cell>
          <cell r="S1873">
            <v>0</v>
          </cell>
          <cell r="T1873">
            <v>0</v>
          </cell>
          <cell r="U1873">
            <v>4949004</v>
          </cell>
          <cell r="V1873">
            <v>2886919</v>
          </cell>
        </row>
        <row r="1874">
          <cell r="J1874">
            <v>1244</v>
          </cell>
          <cell r="K1874">
            <v>43144</v>
          </cell>
          <cell r="L1874" t="str">
            <v>ISRAEL  ALVAREZ RONDON</v>
          </cell>
          <cell r="M1874">
            <v>31</v>
          </cell>
          <cell r="N1874" t="str">
            <v>RESOLUCION</v>
          </cell>
          <cell r="O1874">
            <v>803</v>
          </cell>
          <cell r="P1874">
            <v>43144</v>
          </cell>
          <cell r="Q1874" t="str">
            <v>AYUDA TEMPORAL A LAS FAMILIAS DE VARIAS LOCALIDADES, PARA RELOCALIZACIÓN DE HOGARES LOCALIZADOS EN ZONAS DE ALTO RIESGO NO MITIGABLE ID:2011-4-12922, LOCALIDAD:04 SAN CRISTÓBAL, UPZ:50 LA GLORIA,</v>
          </cell>
          <cell r="R1874">
            <v>3186936</v>
          </cell>
          <cell r="S1874">
            <v>2655780</v>
          </cell>
          <cell r="T1874">
            <v>0</v>
          </cell>
          <cell r="U1874">
            <v>531156</v>
          </cell>
          <cell r="V1874">
            <v>531156</v>
          </cell>
        </row>
        <row r="1875">
          <cell r="J1875">
            <v>1245</v>
          </cell>
          <cell r="K1875">
            <v>43144</v>
          </cell>
          <cell r="L1875" t="str">
            <v>LUZ MARINA RAMOS RODRIGUEZ</v>
          </cell>
          <cell r="M1875">
            <v>31</v>
          </cell>
          <cell r="N1875" t="str">
            <v>RESOLUCION</v>
          </cell>
          <cell r="O1875">
            <v>804</v>
          </cell>
          <cell r="P1875">
            <v>43144</v>
          </cell>
          <cell r="Q1875" t="str">
            <v>AYUDA TEMPORAL A LAS FAMILIAS DE VARIAS LOCALIDADES, PARA RELOCALIZACIÓN DE HOGARES LOCALIZADOS EN ZONAS DE ALTO RIESGO NO MITIGABLE ID:2015-D227-00033, LOCALIDAD:04 SAN CRISTÓBAL, UPZ:51 LOS LIBERTADORES, SECTOR:SANTA TERESITA</v>
          </cell>
          <cell r="R1875">
            <v>5361707</v>
          </cell>
          <cell r="S1875">
            <v>0</v>
          </cell>
          <cell r="T1875">
            <v>0</v>
          </cell>
          <cell r="U1875">
            <v>5361707</v>
          </cell>
          <cell r="V1875">
            <v>3299512</v>
          </cell>
        </row>
        <row r="1876">
          <cell r="J1876">
            <v>1246</v>
          </cell>
          <cell r="K1876">
            <v>43144</v>
          </cell>
          <cell r="L1876" t="str">
            <v>JULIO CESAR CHICA BAUTISTA</v>
          </cell>
          <cell r="M1876">
            <v>31</v>
          </cell>
          <cell r="N1876" t="str">
            <v>RESOLUCION</v>
          </cell>
          <cell r="O1876">
            <v>805</v>
          </cell>
          <cell r="P1876">
            <v>43144</v>
          </cell>
          <cell r="Q1876" t="str">
            <v>AYUDA TEMPORAL A LAS FAMILIAS DE VARIAS LOCALIDADES, PARA RELOCALIZACIÓN DE HOGARES LOCALIZADOS EN ZONAS DE ALTO RIESGO NO MITIGABLE ID:2015-OTR-01370, LOCALIDAD:11 SUBA, UPZ:71 TIBABUYES, SECTOR:GAVILANES</v>
          </cell>
          <cell r="R1876">
            <v>5100900</v>
          </cell>
          <cell r="S1876">
            <v>0</v>
          </cell>
          <cell r="T1876">
            <v>0</v>
          </cell>
          <cell r="U1876">
            <v>5100900</v>
          </cell>
          <cell r="V1876">
            <v>2975525</v>
          </cell>
        </row>
        <row r="1877">
          <cell r="J1877">
            <v>1247</v>
          </cell>
          <cell r="K1877">
            <v>43144</v>
          </cell>
          <cell r="L1877" t="str">
            <v>ANA CECILIA VILLAQUIRA TITIMBO</v>
          </cell>
          <cell r="M1877">
            <v>31</v>
          </cell>
          <cell r="N1877" t="str">
            <v>RESOLUCION</v>
          </cell>
          <cell r="O1877">
            <v>806</v>
          </cell>
          <cell r="P1877">
            <v>43144</v>
          </cell>
          <cell r="Q1877" t="str">
            <v>AYUDA TEMPORAL A LAS FAMILIAS DE VARIAS LOCALIDADES, PARA RELOCALIZACIÓN DE HOGARES LOCALIZADOS EN ZONAS DE ALTO RIESGO NO MITIGABLE ID:2014-OTR-00950, LOCALIDAD:19 CIUDAD BOLÍVAR, UPZ:67 LUCERO, SECTOR:TABOR ALTALOMA</v>
          </cell>
          <cell r="R1877">
            <v>3186936</v>
          </cell>
          <cell r="S1877">
            <v>531156</v>
          </cell>
          <cell r="T1877">
            <v>0</v>
          </cell>
          <cell r="U1877">
            <v>2655780</v>
          </cell>
          <cell r="V1877">
            <v>2655780</v>
          </cell>
        </row>
        <row r="1878">
          <cell r="J1878">
            <v>1248</v>
          </cell>
          <cell r="K1878">
            <v>43144</v>
          </cell>
          <cell r="L1878" t="str">
            <v>EDILBERTO  RODRIGUEZ DIAZ</v>
          </cell>
          <cell r="M1878">
            <v>31</v>
          </cell>
          <cell r="N1878" t="str">
            <v>RESOLUCION</v>
          </cell>
          <cell r="O1878">
            <v>807</v>
          </cell>
          <cell r="P1878">
            <v>43144</v>
          </cell>
          <cell r="Q1878" t="str">
            <v>AYUDA TEMPORAL A LAS FAMILIAS DE VARIAS LOCALIDADES, PARA RELOCALIZACIÓN DE HOGARES LOCALIZADOS EN ZONAS DE ALTO RIESGO NO MITIGABLE ID:2011-4-12483, LOCALIDAD:04 SAN CRISTÓBAL, UPZ:50 LA GLORIA, SECTOR:OLA INVERNAL 2010 FOPAE</v>
          </cell>
          <cell r="R1878">
            <v>2700000</v>
          </cell>
          <cell r="S1878">
            <v>450000</v>
          </cell>
          <cell r="T1878">
            <v>0</v>
          </cell>
          <cell r="U1878">
            <v>2250000</v>
          </cell>
          <cell r="V1878">
            <v>2250000</v>
          </cell>
        </row>
        <row r="1879">
          <cell r="J1879">
            <v>1249</v>
          </cell>
          <cell r="K1879">
            <v>43144</v>
          </cell>
          <cell r="L1879" t="str">
            <v>NEYRA  MORENO PEÑA</v>
          </cell>
          <cell r="M1879">
            <v>31</v>
          </cell>
          <cell r="N1879" t="str">
            <v>RESOLUCION</v>
          </cell>
          <cell r="O1879">
            <v>808</v>
          </cell>
          <cell r="P1879">
            <v>43144</v>
          </cell>
          <cell r="Q1879" t="str">
            <v>AYUDA TEMPORAL A LAS FAMILIAS DE VARIAS LOCALIDADES, PARA RELOCALIZACIÓN DE HOGARES LOCALIZADOS EN ZONAS DE ALTO RIESGO NO MITIGABLE ID:2013-Q04-00498, LOCALIDAD:19 CIUDAD BOLÍVAR, UPZ:67 LUCERO, SECTOR:PEÑA COLORADA</v>
          </cell>
          <cell r="R1879">
            <v>5336148</v>
          </cell>
          <cell r="S1879">
            <v>0</v>
          </cell>
          <cell r="T1879">
            <v>0</v>
          </cell>
          <cell r="U1879">
            <v>5336148</v>
          </cell>
          <cell r="V1879">
            <v>3112753</v>
          </cell>
        </row>
        <row r="1880">
          <cell r="J1880">
            <v>1250</v>
          </cell>
          <cell r="K1880">
            <v>43144</v>
          </cell>
          <cell r="L1880" t="str">
            <v>OLGA  GONZALEZ GONZALEZ</v>
          </cell>
          <cell r="M1880">
            <v>31</v>
          </cell>
          <cell r="N1880" t="str">
            <v>RESOLUCION</v>
          </cell>
          <cell r="O1880">
            <v>809</v>
          </cell>
          <cell r="P1880">
            <v>43144</v>
          </cell>
          <cell r="Q1880" t="str">
            <v>AYUDA TEMPORAL A LAS FAMILIAS DE VARIAS LOCALIDADES, PARA RELOCALIZACIÓN DE HOGARES LOCALIZADOS EN ZONAS DE ALTO RIESGO NO MITIGABLE ID:2014-Q01-01192, LOCALIDAD:05 USME, UPZ:56 DANUBIO, SECTOR:HOYA DEL RAMO</v>
          </cell>
          <cell r="R1880">
            <v>2531226</v>
          </cell>
          <cell r="S1880">
            <v>421871</v>
          </cell>
          <cell r="T1880">
            <v>0</v>
          </cell>
          <cell r="U1880">
            <v>2109355</v>
          </cell>
          <cell r="V1880">
            <v>2109355</v>
          </cell>
        </row>
        <row r="1881">
          <cell r="J1881">
            <v>1251</v>
          </cell>
          <cell r="K1881">
            <v>43144</v>
          </cell>
          <cell r="L1881" t="str">
            <v>BLANCA NELLY SANCHEZ VARGAS</v>
          </cell>
          <cell r="M1881">
            <v>31</v>
          </cell>
          <cell r="N1881" t="str">
            <v>RESOLUCION</v>
          </cell>
          <cell r="O1881">
            <v>810</v>
          </cell>
          <cell r="P1881">
            <v>43144</v>
          </cell>
          <cell r="Q1881" t="str">
            <v>AYUDA TEMPORAL A LAS FAMILIAS DE VARIAS LOCALIDADES, PARA RELOCALIZACIÓN DE HOGARES LOCALIZADOS EN ZONAS DE ALTO RIESGO NO MITIGABLE ID:2012-ALES-83, LOCALIDAD:19 CIUDAD BOLÍVAR, UPZ:69 ISMAEL PERDOMO, SECTOR:ALTOS DE LA ESTANCIA</v>
          </cell>
          <cell r="R1881">
            <v>3363507</v>
          </cell>
          <cell r="S1881">
            <v>480501</v>
          </cell>
          <cell r="T1881">
            <v>0</v>
          </cell>
          <cell r="U1881">
            <v>2883006</v>
          </cell>
          <cell r="V1881">
            <v>2883006</v>
          </cell>
        </row>
        <row r="1882">
          <cell r="J1882">
            <v>1252</v>
          </cell>
          <cell r="K1882">
            <v>43144</v>
          </cell>
          <cell r="L1882" t="str">
            <v>RUBIELA  AROCA YARA</v>
          </cell>
          <cell r="M1882">
            <v>31</v>
          </cell>
          <cell r="N1882" t="str">
            <v>RESOLUCION</v>
          </cell>
          <cell r="O1882">
            <v>811</v>
          </cell>
          <cell r="P1882">
            <v>43144</v>
          </cell>
          <cell r="Q1882" t="str">
            <v>AYUDA TEMPORAL A LAS FAMILIAS DE VARIAS LOCALIDADES, PARA RELOCALIZACIÓN DE HOGARES LOCALIZADOS EN ZONAS DE ALTO RIESGO NO MITIGABLE ID:2006-4-8640, LOCALIDAD:04 SAN CRISTÓBAL, UPZ:50 LA GLORIA, SECTOR:</v>
          </cell>
          <cell r="R1882">
            <v>4802539</v>
          </cell>
          <cell r="S1882">
            <v>686077</v>
          </cell>
          <cell r="T1882">
            <v>0</v>
          </cell>
          <cell r="U1882">
            <v>4116462</v>
          </cell>
          <cell r="V1882">
            <v>4116462</v>
          </cell>
        </row>
        <row r="1883">
          <cell r="J1883">
            <v>1253</v>
          </cell>
          <cell r="K1883">
            <v>43144</v>
          </cell>
          <cell r="L1883" t="str">
            <v>YENNY  CHAMAPURO CHIRIMIA</v>
          </cell>
          <cell r="M1883">
            <v>31</v>
          </cell>
          <cell r="N1883" t="str">
            <v>RESOLUCION</v>
          </cell>
          <cell r="O1883">
            <v>908</v>
          </cell>
          <cell r="P1883">
            <v>43144</v>
          </cell>
          <cell r="Q1883" t="str">
            <v>AYUDA TEMPORAL A LAS FAMILIAS DE VARIAS LOCALIDADES, PARA RELOCALIZACIÓN DE HOGARES LOCALIZADOS EN ZONAS DE ALTO RIESGO NO MITIGABLE ID:2015-W166-437, LOCALIDAD:19 CIUDAD BOLÍVAR, UPZ:68 EL TESORO, SECTOR:WOUNAAN</v>
          </cell>
          <cell r="R1883">
            <v>2165056</v>
          </cell>
          <cell r="S1883">
            <v>541264</v>
          </cell>
          <cell r="T1883">
            <v>0</v>
          </cell>
          <cell r="U1883">
            <v>1623792</v>
          </cell>
          <cell r="V1883">
            <v>1623792</v>
          </cell>
        </row>
        <row r="1884">
          <cell r="J1884">
            <v>1254</v>
          </cell>
          <cell r="K1884">
            <v>43144</v>
          </cell>
          <cell r="L1884" t="str">
            <v>MARIA LUCENA QUINTERO ARIAS</v>
          </cell>
          <cell r="M1884">
            <v>31</v>
          </cell>
          <cell r="N1884" t="str">
            <v>RESOLUCION</v>
          </cell>
          <cell r="O1884">
            <v>909</v>
          </cell>
          <cell r="P1884">
            <v>43144</v>
          </cell>
          <cell r="Q1884" t="str">
            <v>AYUDA TEMPORAL A LAS FAMILIAS DE VARIAS LOCALIDADES, PARA RELOCALIZACIÓN DE HOGARES LOCALIZADOS EN ZONAS DE ALTO RIESGO NO MITIGABLE ID:2011-19-12886, LOCALIDAD:19 CIUDAD BOLÍVAR, UPZ:67 LUCERO</v>
          </cell>
          <cell r="R1884">
            <v>2924376</v>
          </cell>
          <cell r="S1884">
            <v>417768</v>
          </cell>
          <cell r="T1884">
            <v>0</v>
          </cell>
          <cell r="U1884">
            <v>2506608</v>
          </cell>
          <cell r="V1884">
            <v>2506608</v>
          </cell>
        </row>
        <row r="1885">
          <cell r="J1885">
            <v>1255</v>
          </cell>
          <cell r="K1885">
            <v>43144</v>
          </cell>
          <cell r="L1885" t="str">
            <v>SONIA CECILIA BEDOYA TRIANA</v>
          </cell>
          <cell r="M1885">
            <v>31</v>
          </cell>
          <cell r="N1885" t="str">
            <v>RESOLUCION</v>
          </cell>
          <cell r="O1885">
            <v>910</v>
          </cell>
          <cell r="P1885">
            <v>43144</v>
          </cell>
          <cell r="Q1885" t="str">
            <v>AYUDA TEMPORAL A LAS FAMILIAS DE VARIAS LOCALIDADES, PARA RELOCALIZACIÓN DE HOGARES LOCALIZADOS EN ZONAS DE ALTO RIESGO NO MITIGABLE ID:2011-5-13640, LOCALIDAD:05 USME, UPZ:58 COMUNEROS.</v>
          </cell>
          <cell r="R1885">
            <v>2437476</v>
          </cell>
          <cell r="S1885">
            <v>406246</v>
          </cell>
          <cell r="T1885">
            <v>0</v>
          </cell>
          <cell r="U1885">
            <v>2031230</v>
          </cell>
          <cell r="V1885">
            <v>2031230</v>
          </cell>
        </row>
        <row r="1886">
          <cell r="J1886">
            <v>1256</v>
          </cell>
          <cell r="K1886">
            <v>43144</v>
          </cell>
          <cell r="L1886" t="str">
            <v>LUIS JAVIER LEON CAICEDO</v>
          </cell>
          <cell r="M1886">
            <v>31</v>
          </cell>
          <cell r="N1886" t="str">
            <v>RESOLUCION</v>
          </cell>
          <cell r="O1886">
            <v>911</v>
          </cell>
          <cell r="P1886">
            <v>43144</v>
          </cell>
          <cell r="Q1886" t="str">
            <v>AYUDA TEMPORAL A LAS FAMILIAS DE VARIAS LOCALIDADES, PARA RELOCALIZACIÓN DE HOGARES LOCALIZADOS EN ZONAS DE ALTO RIESGO NO MITIGABLE ID:2011-19-13408, LOCALIDAD:19 CIUDAD BOLÍVAR, UPZ:3 UPR RIO TUNJUELO.</v>
          </cell>
          <cell r="R1886">
            <v>2706492</v>
          </cell>
          <cell r="S1886">
            <v>0</v>
          </cell>
          <cell r="T1886">
            <v>0</v>
          </cell>
          <cell r="U1886">
            <v>2706492</v>
          </cell>
          <cell r="V1886">
            <v>902164</v>
          </cell>
        </row>
        <row r="1887">
          <cell r="J1887">
            <v>1257</v>
          </cell>
          <cell r="K1887">
            <v>43144</v>
          </cell>
          <cell r="L1887" t="str">
            <v>LUZ MERY BERMUDEZ VARGAS</v>
          </cell>
          <cell r="M1887">
            <v>31</v>
          </cell>
          <cell r="N1887" t="str">
            <v>RESOLUCION</v>
          </cell>
          <cell r="O1887">
            <v>769</v>
          </cell>
          <cell r="P1887">
            <v>43144</v>
          </cell>
          <cell r="Q1887" t="str">
            <v>AYUDA TEMPORAL A LAS FAMILIAS DE VARIAS LOCALIDADES, PARA RELOCALIZACIÓN DE HOGARES LOCALIZADOS EN ZONAS DE ALTO RIESGO NO MITIGABLE ID:2015-Q03-03361, LOCALIDAD:19 CIUDAD BOLÍVAR, UPZ:67 LUCERO, SECTOR:LIMAS</v>
          </cell>
          <cell r="R1887">
            <v>1804204</v>
          </cell>
          <cell r="S1887">
            <v>451051</v>
          </cell>
          <cell r="T1887">
            <v>0</v>
          </cell>
          <cell r="U1887">
            <v>1353153</v>
          </cell>
          <cell r="V1887">
            <v>1353153</v>
          </cell>
        </row>
        <row r="1888">
          <cell r="J1888">
            <v>1258</v>
          </cell>
          <cell r="K1888">
            <v>43144</v>
          </cell>
          <cell r="L1888" t="str">
            <v>ELVIRA  CORZO DE GALEANO</v>
          </cell>
          <cell r="M1888">
            <v>31</v>
          </cell>
          <cell r="N1888" t="str">
            <v>RESOLUCION</v>
          </cell>
          <cell r="O1888">
            <v>770</v>
          </cell>
          <cell r="P1888">
            <v>43144</v>
          </cell>
          <cell r="Q1888" t="str">
            <v>AYUDA TEMPORAL A LAS FAMILIAS DE VARIAS LOCALIDADES, PARA RELOCALIZACIÓN DE HOGARES LOCALIZADOS EN ZONAS DE ALTO RIESGO NO MITIGABLE ID:2014-Q07-00919, LOCALIDAD:19 CIUDAD BOLÍVAR, UPZ:68 EL TESORO, SECTOR:QUEBRADA GALINDO</v>
          </cell>
          <cell r="R1888">
            <v>1534452</v>
          </cell>
          <cell r="S1888">
            <v>383613</v>
          </cell>
          <cell r="T1888">
            <v>0</v>
          </cell>
          <cell r="U1888">
            <v>1150839</v>
          </cell>
          <cell r="V1888">
            <v>1150839</v>
          </cell>
        </row>
        <row r="1889">
          <cell r="J1889">
            <v>1259</v>
          </cell>
          <cell r="K1889">
            <v>43144</v>
          </cell>
          <cell r="L1889" t="str">
            <v>ALVARO  GARZON GONZALEZ</v>
          </cell>
          <cell r="M1889">
            <v>31</v>
          </cell>
          <cell r="N1889" t="str">
            <v>RESOLUCION</v>
          </cell>
          <cell r="O1889">
            <v>771</v>
          </cell>
          <cell r="P1889">
            <v>43144</v>
          </cell>
          <cell r="Q1889" t="str">
            <v>AYUDA TEMPORAL A LAS FAMILIAS DE VARIAS LOCALIDADES, PARA RELOCALIZACIÓN DE HOGARES LOCALIZADOS EN ZONAS DE ALTO RIESGO NO MITIGABLE ID:2015-D227-00038, LOCALIDAD:04 SAN CRISTÓBAL, UPZ:51 LOS LIBERTADORES, SECTOR:SANTA TERESITA</v>
          </cell>
          <cell r="R1889">
            <v>1933048</v>
          </cell>
          <cell r="S1889">
            <v>483262</v>
          </cell>
          <cell r="T1889">
            <v>0</v>
          </cell>
          <cell r="U1889">
            <v>1449786</v>
          </cell>
          <cell r="V1889">
            <v>1449786</v>
          </cell>
        </row>
        <row r="1890">
          <cell r="J1890">
            <v>1260</v>
          </cell>
          <cell r="K1890">
            <v>43144</v>
          </cell>
          <cell r="L1890" t="str">
            <v>JENNY MARCELA MARTINEZ ECHEVERRI</v>
          </cell>
          <cell r="M1890">
            <v>31</v>
          </cell>
          <cell r="N1890" t="str">
            <v>RESOLUCION</v>
          </cell>
          <cell r="O1890">
            <v>772</v>
          </cell>
          <cell r="P1890">
            <v>43144</v>
          </cell>
          <cell r="Q1890" t="str">
            <v>AYUDA TEMPORAL A LAS FAMILIAS DE VARIAS LOCALIDADES, PARA RELOCALIZACIÓN DE HOGARES LOCALIZADOS EN ZONAS DE ALTO RIESGO NO MITIGABLE ID:2016-08-14868, LOCALIDAD:08 KENNEDY, UPZ:82 PATIO BONITO, SECTOR:PALMITAS</v>
          </cell>
          <cell r="R1890">
            <v>5466487</v>
          </cell>
          <cell r="S1890">
            <v>4625489</v>
          </cell>
          <cell r="T1890">
            <v>0</v>
          </cell>
          <cell r="U1890">
            <v>840998</v>
          </cell>
          <cell r="V1890">
            <v>840998</v>
          </cell>
        </row>
        <row r="1891">
          <cell r="J1891">
            <v>1261</v>
          </cell>
          <cell r="K1891">
            <v>43144</v>
          </cell>
          <cell r="L1891" t="str">
            <v>MARIA GILMA TAPIERO</v>
          </cell>
          <cell r="M1891">
            <v>31</v>
          </cell>
          <cell r="N1891" t="str">
            <v>RESOLUCION</v>
          </cell>
          <cell r="O1891">
            <v>822</v>
          </cell>
          <cell r="P1891">
            <v>43144</v>
          </cell>
          <cell r="Q1891" t="str">
            <v>AYUDA TEMPORAL A LAS FAMILIAS DE VARIAS LOCALIDADES, PARA RELOCALIZACIÓN DE HOGARES LOCALIZADOS EN ZONAS DE ALTO RIESGO NO MITIGABLE ID:2012-19-13830, LOCALIDAD:19 CIUDAD BOLÍVAR, UPZ:67 LUCERO, SECTOR:</v>
          </cell>
          <cell r="R1891">
            <v>2892240</v>
          </cell>
          <cell r="S1891">
            <v>0</v>
          </cell>
          <cell r="T1891">
            <v>0</v>
          </cell>
          <cell r="U1891">
            <v>2892240</v>
          </cell>
          <cell r="V1891">
            <v>964080</v>
          </cell>
        </row>
        <row r="1892">
          <cell r="J1892">
            <v>1262</v>
          </cell>
          <cell r="K1892">
            <v>43144</v>
          </cell>
          <cell r="L1892" t="str">
            <v>MARLEN  BELTRAN MUÑOZ</v>
          </cell>
          <cell r="M1892">
            <v>31</v>
          </cell>
          <cell r="N1892" t="str">
            <v>RESOLUCION</v>
          </cell>
          <cell r="O1892">
            <v>773</v>
          </cell>
          <cell r="P1892">
            <v>43144</v>
          </cell>
          <cell r="Q1892" t="str">
            <v>AYUDA TEMPORAL A LAS FAMILIAS DE VARIAS LOCALIDADES, PARA RELOCALIZACIÓN DE HOGARES LOCALIZADOS EN ZONAS DE ALTO RIESGO NO MITIGABLE ID:2011-4-13393, LOCALIDAD:04 SAN CRISTÓBAL, UPZ:32 SAN BLAS.</v>
          </cell>
          <cell r="R1892">
            <v>5430984</v>
          </cell>
          <cell r="S1892">
            <v>0</v>
          </cell>
          <cell r="T1892">
            <v>0</v>
          </cell>
          <cell r="U1892">
            <v>5430984</v>
          </cell>
          <cell r="V1892">
            <v>3342144</v>
          </cell>
        </row>
        <row r="1893">
          <cell r="J1893">
            <v>1263</v>
          </cell>
          <cell r="K1893">
            <v>43144</v>
          </cell>
          <cell r="L1893" t="str">
            <v>JOSE URBANO MUNZA PEÑA</v>
          </cell>
          <cell r="M1893">
            <v>31</v>
          </cell>
          <cell r="N1893" t="str">
            <v>RESOLUCION</v>
          </cell>
          <cell r="O1893">
            <v>774</v>
          </cell>
          <cell r="P1893">
            <v>43144</v>
          </cell>
          <cell r="Q1893" t="str">
            <v>AYUDA TEMPORAL A LAS FAMILIAS DE VARIAS LOCALIDADES, PARA RELOCALIZACIÓN DE HOGARES LOCALIZADOS EN ZONAS DE ALTO RIESGO NO MITIGABLE ID:2016-08-14811, LOCALIDAD:08 KENNEDY, UPZ:82 PATIO BONITO, SECTOR:PALMITAS</v>
          </cell>
          <cell r="R1893">
            <v>4986969</v>
          </cell>
          <cell r="S1893">
            <v>0</v>
          </cell>
          <cell r="T1893">
            <v>0</v>
          </cell>
          <cell r="U1893">
            <v>4986969</v>
          </cell>
          <cell r="V1893">
            <v>3068904</v>
          </cell>
        </row>
        <row r="1894">
          <cell r="J1894">
            <v>1264</v>
          </cell>
          <cell r="K1894">
            <v>43144</v>
          </cell>
          <cell r="L1894" t="str">
            <v>ESPERANZA  CANCHON LUGO</v>
          </cell>
          <cell r="M1894">
            <v>31</v>
          </cell>
          <cell r="N1894" t="str">
            <v>RESOLUCION</v>
          </cell>
          <cell r="O1894">
            <v>826</v>
          </cell>
          <cell r="P1894">
            <v>43144</v>
          </cell>
          <cell r="Q1894" t="str">
            <v>AYUDA TEMPORAL A LAS FAMILIAS DE VARIAS LOCALIDADES, PARA RELOCALIZACIÓN DE HOGARES LOCALIZADOS EN ZONAS DE ALTO RIESGO NO MITIGABLE ID:2011-4-13092, LOCALIDAD:04 SAN CRISTÓBAL, UPZ:34 20 DE JULIO, SECTOR:</v>
          </cell>
          <cell r="R1894">
            <v>5430984</v>
          </cell>
          <cell r="S1894">
            <v>0</v>
          </cell>
          <cell r="T1894">
            <v>0</v>
          </cell>
          <cell r="U1894">
            <v>5430984</v>
          </cell>
          <cell r="V1894">
            <v>417768</v>
          </cell>
        </row>
        <row r="1895">
          <cell r="J1895">
            <v>1265</v>
          </cell>
          <cell r="K1895">
            <v>43144</v>
          </cell>
          <cell r="L1895" t="str">
            <v>ANGIE GINETH RODRIGUEZ SUAREZ</v>
          </cell>
          <cell r="M1895">
            <v>31</v>
          </cell>
          <cell r="N1895" t="str">
            <v>RESOLUCION</v>
          </cell>
          <cell r="O1895">
            <v>823</v>
          </cell>
          <cell r="P1895">
            <v>43144</v>
          </cell>
          <cell r="Q1895" t="str">
            <v>AYUDA TEMPORAL A LAS FAMILIAS DE VARIAS LOCALIDADES, PARA RELOCALIZACIÓN DE HOGARES LOCALIZADOS EN ZONAS DE ALTO RIESGO NO MITIGABLE ID:2012-ALES-58, LOCALIDAD:19 CIUDAD BOLÍVAR, UPZ:69 ISMAEL PERDOMO, SECTOR:ALTOS DE LA ESTANCIA</v>
          </cell>
          <cell r="R1895">
            <v>3421842</v>
          </cell>
          <cell r="S1895">
            <v>0</v>
          </cell>
          <cell r="T1895">
            <v>0</v>
          </cell>
          <cell r="U1895">
            <v>3421842</v>
          </cell>
          <cell r="V1895">
            <v>1140614</v>
          </cell>
        </row>
        <row r="1896">
          <cell r="J1896">
            <v>1266</v>
          </cell>
          <cell r="K1896">
            <v>43144</v>
          </cell>
          <cell r="L1896" t="str">
            <v>LUZ MARINA GARCIA</v>
          </cell>
          <cell r="M1896">
            <v>31</v>
          </cell>
          <cell r="N1896" t="str">
            <v>RESOLUCION</v>
          </cell>
          <cell r="O1896">
            <v>775</v>
          </cell>
          <cell r="P1896">
            <v>43144</v>
          </cell>
          <cell r="Q1896" t="str">
            <v>AYUDA TEMPORAL A LAS FAMILIAS DE VARIAS LOCALIDADES, PARA RELOCALIZACIÓN DE HOGARES LOCALIZADOS EN ZONAS DE ALTO RIESGO NO MITIGABLE ID:2011-5-13414, LOCALIDAD:05 USME, UPZ:58 COMUNEROS.</v>
          </cell>
          <cell r="R1896">
            <v>3363360</v>
          </cell>
          <cell r="S1896">
            <v>480480</v>
          </cell>
          <cell r="T1896">
            <v>0</v>
          </cell>
          <cell r="U1896">
            <v>2882880</v>
          </cell>
          <cell r="V1896">
            <v>2882880</v>
          </cell>
        </row>
        <row r="1897">
          <cell r="J1897">
            <v>1267</v>
          </cell>
          <cell r="K1897">
            <v>43144</v>
          </cell>
          <cell r="L1897" t="str">
            <v>NANCY  CANCHON LUGO</v>
          </cell>
          <cell r="M1897">
            <v>31</v>
          </cell>
          <cell r="N1897" t="str">
            <v>RESOLUCION</v>
          </cell>
          <cell r="O1897">
            <v>827</v>
          </cell>
          <cell r="P1897">
            <v>43144</v>
          </cell>
          <cell r="Q1897" t="str">
            <v>AYUDA TEMPORAL A LAS FAMILIAS DE VARIAS LOCALIDADES, PARA RELOCALIZACIÓN DE HOGARES LOCALIZADOS EN ZONAS DE ALTO RIESGO NO MITIGABLE ID:2011-4-13091, LOCALIDAD:04 SAN CRISTÓBAL, UPZ:34 20 DE JULIO, SECTOR:</v>
          </cell>
          <cell r="R1897">
            <v>6266520</v>
          </cell>
          <cell r="S1897">
            <v>0</v>
          </cell>
          <cell r="T1897">
            <v>0</v>
          </cell>
          <cell r="U1897">
            <v>6266520</v>
          </cell>
          <cell r="V1897">
            <v>482040</v>
          </cell>
        </row>
        <row r="1898">
          <cell r="J1898">
            <v>1268</v>
          </cell>
          <cell r="K1898">
            <v>43144</v>
          </cell>
          <cell r="L1898" t="str">
            <v>ANA JAZMIN MUÑOZ PEÑA</v>
          </cell>
          <cell r="M1898">
            <v>31</v>
          </cell>
          <cell r="N1898" t="str">
            <v>RESOLUCION</v>
          </cell>
          <cell r="O1898">
            <v>776</v>
          </cell>
          <cell r="P1898">
            <v>43144</v>
          </cell>
          <cell r="Q1898" t="str">
            <v>AYUDA TEMPORAL A LAS FAMILIAS DE VARIAS LOCALIDADES, PARA RELOCALIZACIÓN DE HOGARES LOCALIZADOS EN ZONAS DE ALTO RIESGO NO MITIGABLE ID:2015-D227-00012, LOCALIDAD:04 SAN CRISTÓBAL, UPZ:51 LOS LIBERTADORES, SECTOR:SANTA TERESITA</v>
          </cell>
          <cell r="R1898">
            <v>2552010</v>
          </cell>
          <cell r="S1898">
            <v>425335</v>
          </cell>
          <cell r="T1898">
            <v>0</v>
          </cell>
          <cell r="U1898">
            <v>2126675</v>
          </cell>
          <cell r="V1898">
            <v>2126675</v>
          </cell>
        </row>
        <row r="1899">
          <cell r="J1899">
            <v>1269</v>
          </cell>
          <cell r="K1899">
            <v>43144</v>
          </cell>
          <cell r="L1899" t="str">
            <v>LYDA MARCELA VELASQUEZ DIAZ</v>
          </cell>
          <cell r="M1899">
            <v>31</v>
          </cell>
          <cell r="N1899" t="str">
            <v>RESOLUCION</v>
          </cell>
          <cell r="O1899">
            <v>828</v>
          </cell>
          <cell r="P1899">
            <v>43144</v>
          </cell>
          <cell r="Q1899" t="str">
            <v>AYUDA TEMPORAL A LAS FAMILIAS DE VARIAS LOCALIDADES, PARA RELOCALIZACIÓN DE HOGARES LOCALIZADOS EN ZONAS DE ALTO RIESGO NO MITIGABLE ID:2011-4-12484, LOCALIDAD:04 SAN CRISTÓBAL, UPZ:50 LA GLORIA, SECTOR:OLA INVERNAL 2010 FOPAE</v>
          </cell>
          <cell r="R1899">
            <v>5378477</v>
          </cell>
          <cell r="S1899">
            <v>0</v>
          </cell>
          <cell r="T1899">
            <v>0</v>
          </cell>
          <cell r="U1899">
            <v>5378477</v>
          </cell>
          <cell r="V1899">
            <v>2896103</v>
          </cell>
        </row>
        <row r="1900">
          <cell r="J1900">
            <v>1270</v>
          </cell>
          <cell r="K1900">
            <v>43144</v>
          </cell>
          <cell r="L1900" t="str">
            <v>YURI MARCELA RODRIGUEZ TRUJILLO</v>
          </cell>
          <cell r="M1900">
            <v>31</v>
          </cell>
          <cell r="N1900" t="str">
            <v>RESOLUCION</v>
          </cell>
          <cell r="O1900">
            <v>829</v>
          </cell>
          <cell r="P1900">
            <v>43144</v>
          </cell>
          <cell r="Q1900" t="str">
            <v>AYUDA TEMPORAL A LAS FAMILIAS DE VARIAS LOCALIDADES, PARA RELOCALIZACIÓN DE HOGARES LOCALIZADOS EN ZONAS DE ALTO RIESGO NO MITIGABLE ID:2012-4-14480, LOCALIDAD:04 SAN CRISTÓBAL, UPZ:32 SAN BLAS, SECTOR:</v>
          </cell>
          <cell r="R1900">
            <v>8632728</v>
          </cell>
          <cell r="S1900">
            <v>0</v>
          </cell>
          <cell r="T1900">
            <v>0</v>
          </cell>
          <cell r="U1900">
            <v>8632728</v>
          </cell>
          <cell r="V1900">
            <v>4648392</v>
          </cell>
        </row>
        <row r="1901">
          <cell r="J1901">
            <v>1271</v>
          </cell>
          <cell r="K1901">
            <v>43144</v>
          </cell>
          <cell r="L1901" t="str">
            <v>GEIMAR ARLEY NIÑO SANCHEZ</v>
          </cell>
          <cell r="M1901">
            <v>31</v>
          </cell>
          <cell r="N1901" t="str">
            <v>RESOLUCION</v>
          </cell>
          <cell r="O1901">
            <v>824</v>
          </cell>
          <cell r="P1901">
            <v>43144</v>
          </cell>
          <cell r="Q1901" t="str">
            <v>AYUDA TEMPORAL A LAS FAMILIAS DE VARIAS LOCALIDADES, PARA RELOCALIZACIÓN DE HOGARES LOCALIZADOS EN ZONAS DE ALTO RIESGO NO MITIGABLE ID:2014-Q03-01077, LOCALIDAD:19 CIUDAD BOLÍVAR, UPZ:66 SAN FRANCISCO, SECTOR:LIMAS</v>
          </cell>
          <cell r="R1901">
            <v>928002</v>
          </cell>
          <cell r="S1901">
            <v>464001</v>
          </cell>
          <cell r="T1901">
            <v>0</v>
          </cell>
          <cell r="U1901">
            <v>464001</v>
          </cell>
          <cell r="V1901">
            <v>464001</v>
          </cell>
        </row>
        <row r="1902">
          <cell r="J1902">
            <v>1272</v>
          </cell>
          <cell r="K1902">
            <v>43144</v>
          </cell>
          <cell r="L1902" t="str">
            <v>ISABELA  OPUA MEMBACHE</v>
          </cell>
          <cell r="M1902">
            <v>31</v>
          </cell>
          <cell r="N1902" t="str">
            <v>RESOLUCION</v>
          </cell>
          <cell r="O1902">
            <v>523</v>
          </cell>
          <cell r="P1902">
            <v>43144</v>
          </cell>
          <cell r="Q1902" t="str">
            <v>AYUDA TEMPORAL A LAS FAMILIAS DE VARIAS LOCALIDADES, PARA RELOCALIZACIÓN DE HOGARES LOCALIZADOS EN ZONAS DE ALTO RIESGO NO MITIGABLE ID:2015-W166-436, LOCALIDAD:19 CIUDAD BOLÍVAR, UPZ:68 EL TESORO, SECTOR:WOUNAAN</v>
          </cell>
          <cell r="R1902">
            <v>7020000</v>
          </cell>
          <cell r="S1902">
            <v>0</v>
          </cell>
          <cell r="T1902">
            <v>0</v>
          </cell>
          <cell r="U1902">
            <v>7020000</v>
          </cell>
          <cell r="V1902">
            <v>4320000</v>
          </cell>
        </row>
        <row r="1903">
          <cell r="J1903">
            <v>1273</v>
          </cell>
          <cell r="K1903">
            <v>43144</v>
          </cell>
          <cell r="L1903" t="str">
            <v>OTONIEL  GIRALDO RODRIGUEZ</v>
          </cell>
          <cell r="M1903">
            <v>31</v>
          </cell>
          <cell r="N1903" t="str">
            <v>RESOLUCION</v>
          </cell>
          <cell r="O1903">
            <v>830</v>
          </cell>
          <cell r="P1903">
            <v>43144</v>
          </cell>
          <cell r="Q1903" t="str">
            <v>AYUDA TEMPORAL A LAS FAMILIAS DE VARIAS LOCALIDADES, PARA RELOCALIZACIÓN DE HOGARES LOCALIZADOS EN ZONAS DE ALTO RIESGO NO MITIGABLE ID:2014-Q04-00835, LOCALIDAD:19 CIUDAD BOLÍVAR, UPZ:67 LUCERO, SECTOR:PEÑA COLORADA</v>
          </cell>
          <cell r="R1903">
            <v>2706270</v>
          </cell>
          <cell r="S1903">
            <v>902090</v>
          </cell>
          <cell r="T1903">
            <v>0</v>
          </cell>
          <cell r="U1903">
            <v>1804180</v>
          </cell>
          <cell r="V1903">
            <v>1804180</v>
          </cell>
        </row>
        <row r="1904">
          <cell r="J1904">
            <v>1274</v>
          </cell>
          <cell r="K1904">
            <v>43144</v>
          </cell>
          <cell r="L1904" t="str">
            <v>MARTHA LILIANA BLANCO PEREZ</v>
          </cell>
          <cell r="M1904">
            <v>31</v>
          </cell>
          <cell r="N1904" t="str">
            <v>RESOLUCION</v>
          </cell>
          <cell r="O1904">
            <v>831</v>
          </cell>
          <cell r="P1904">
            <v>43144</v>
          </cell>
          <cell r="Q1904" t="str">
            <v>AYUDA TEMPORAL A LAS FAMILIAS DE VARIAS LOCALIDADES, PARA RELOCALIZACIÓN DE HOGARES LOCALIZADOS EN ZONAS DE ALTO RIESGO NO MITIGABLE ID:2014-Q03-01021, LOCALIDAD:19 CIUDAD BOLÍVAR, UPZ:66 SAN FRANCISCO, SECTOR:LIMAS</v>
          </cell>
          <cell r="R1904">
            <v>6205092</v>
          </cell>
          <cell r="S1904">
            <v>0</v>
          </cell>
          <cell r="T1904">
            <v>0</v>
          </cell>
          <cell r="U1904">
            <v>6205092</v>
          </cell>
          <cell r="V1904">
            <v>3619637</v>
          </cell>
        </row>
        <row r="1905">
          <cell r="J1905">
            <v>1275</v>
          </cell>
          <cell r="K1905">
            <v>43144</v>
          </cell>
          <cell r="L1905" t="str">
            <v>HEIDY CAROLINA CONTRERAS GONZALEZ</v>
          </cell>
          <cell r="M1905">
            <v>31</v>
          </cell>
          <cell r="N1905" t="str">
            <v>RESOLUCION</v>
          </cell>
          <cell r="O1905">
            <v>832</v>
          </cell>
          <cell r="P1905">
            <v>43144</v>
          </cell>
          <cell r="Q1905" t="str">
            <v>AYUDA TEMPORAL A LAS FAMILIAS DE VARIAS LOCALIDADES, PARA RELOCALIZACIÓN DE HOGARES LOCALIZADOS EN ZONAS DE ALTO RIESGO NO MITIGABLE ID:2014-OTR-01216, LOCALIDAD:11 SUBA, UPZ:71 TIBABUYES, SECTOR:GAVILANES</v>
          </cell>
          <cell r="R1905">
            <v>3319728</v>
          </cell>
          <cell r="S1905">
            <v>553288</v>
          </cell>
          <cell r="T1905">
            <v>0</v>
          </cell>
          <cell r="U1905">
            <v>2766440</v>
          </cell>
          <cell r="V1905">
            <v>2766440</v>
          </cell>
        </row>
        <row r="1906">
          <cell r="J1906">
            <v>1276</v>
          </cell>
          <cell r="K1906">
            <v>43144</v>
          </cell>
          <cell r="L1906" t="str">
            <v>ANGIE NATALIA TORRES RISCANEVO</v>
          </cell>
          <cell r="M1906">
            <v>31</v>
          </cell>
          <cell r="N1906" t="str">
            <v>RESOLUCION</v>
          </cell>
          <cell r="O1906">
            <v>833</v>
          </cell>
          <cell r="P1906">
            <v>43144</v>
          </cell>
          <cell r="Q1906" t="str">
            <v>AYUDA TEMPORAL A LAS FAMILIAS DE VARIAS LOCALIDADES, PARA RELOCALIZACIÓN DE HOGARES LOCALIZADOS EN ZONAS DE ALTO RIESGO NO MITIGABLE ID:2016-08-14883, LOCALIDAD:08 KENNEDY, UPZ:82 PATIO BONITO, SECTOR:PALMITAS</v>
          </cell>
          <cell r="R1906">
            <v>4780404</v>
          </cell>
          <cell r="S1906">
            <v>0</v>
          </cell>
          <cell r="T1906">
            <v>0</v>
          </cell>
          <cell r="U1906">
            <v>4780404</v>
          </cell>
          <cell r="V1906">
            <v>2788569</v>
          </cell>
        </row>
        <row r="1907">
          <cell r="J1907">
            <v>1277</v>
          </cell>
          <cell r="K1907">
            <v>43144</v>
          </cell>
          <cell r="L1907" t="str">
            <v>AIDA LUCI CARPIO MEMBACHE</v>
          </cell>
          <cell r="M1907">
            <v>31</v>
          </cell>
          <cell r="N1907" t="str">
            <v>RESOLUCION</v>
          </cell>
          <cell r="O1907">
            <v>834</v>
          </cell>
          <cell r="P1907">
            <v>43144</v>
          </cell>
          <cell r="Q1907" t="str">
            <v>AYUDA TEMPORAL A LAS FAMILIAS DE VARIAS LOCALIDADES, PARA RELOCALIZACIÓN DE HOGARES LOCALIZADOS EN ZONAS DE ALTO RIESGO NO MITIGABLE ID:2014-W166-032, LOCALIDAD:19 CIUDAD BOLÍVAR, UPZ:67 LUCERO, SECTOR:WOUNAAN</v>
          </cell>
          <cell r="R1907">
            <v>6196824</v>
          </cell>
          <cell r="S1907">
            <v>0</v>
          </cell>
          <cell r="T1907">
            <v>0</v>
          </cell>
          <cell r="U1907">
            <v>6196824</v>
          </cell>
          <cell r="V1907">
            <v>3614814</v>
          </cell>
        </row>
        <row r="1908">
          <cell r="J1908">
            <v>1278</v>
          </cell>
          <cell r="K1908">
            <v>43144</v>
          </cell>
          <cell r="L1908" t="str">
            <v>FLOR ALBA MONTERO RICAURTE</v>
          </cell>
          <cell r="M1908">
            <v>31</v>
          </cell>
          <cell r="N1908" t="str">
            <v>RESOLUCION</v>
          </cell>
          <cell r="O1908">
            <v>835</v>
          </cell>
          <cell r="P1908">
            <v>43144</v>
          </cell>
          <cell r="Q1908" t="str">
            <v>AYUDA TEMPORAL A LAS FAMILIAS DE VARIAS LOCALIDADES, PARA RELOCALIZACIÓN DE HOGARES LOCALIZADOS EN ZONAS DE ALTO RIESGO NO MITIGABLE ID:2010-5-11616, LOCALIDAD:05 USME, UPZ:57 GRAN YOMASA, SECTOR:OLA INVERNAL 2010 FOPAE</v>
          </cell>
          <cell r="R1908">
            <v>2442336</v>
          </cell>
          <cell r="S1908">
            <v>0</v>
          </cell>
          <cell r="T1908">
            <v>0</v>
          </cell>
          <cell r="U1908">
            <v>2442336</v>
          </cell>
          <cell r="V1908">
            <v>1221168</v>
          </cell>
        </row>
        <row r="1909">
          <cell r="J1909">
            <v>1279</v>
          </cell>
          <cell r="K1909">
            <v>43144</v>
          </cell>
          <cell r="L1909" t="str">
            <v>JOSE PABLO LUNA CUELLAR</v>
          </cell>
          <cell r="M1909">
            <v>31</v>
          </cell>
          <cell r="N1909" t="str">
            <v>RESOLUCION</v>
          </cell>
          <cell r="O1909">
            <v>836</v>
          </cell>
          <cell r="P1909">
            <v>43144</v>
          </cell>
          <cell r="Q1909" t="str">
            <v>AYUDA TEMPORAL A LAS FAMILIAS DE VARIAS LOCALIDADES, PARA RELOCALIZACIÓN DE HOGARES LOCALIZADOS EN ZONAS DE ALTO RIESGO NO MITIGABLE ID:2014-OTR-01258, LOCALIDAD:11 SUBA, UPZ:71 TIBABUYES, SECTOR:GAVILANES</v>
          </cell>
          <cell r="R1909">
            <v>2550450</v>
          </cell>
          <cell r="S1909">
            <v>425075</v>
          </cell>
          <cell r="T1909">
            <v>0</v>
          </cell>
          <cell r="U1909">
            <v>2125375</v>
          </cell>
          <cell r="V1909">
            <v>2125375</v>
          </cell>
        </row>
        <row r="1910">
          <cell r="J1910">
            <v>1280</v>
          </cell>
          <cell r="K1910">
            <v>43144</v>
          </cell>
          <cell r="L1910" t="str">
            <v>MARIA LILIA BONILLA</v>
          </cell>
          <cell r="M1910">
            <v>31</v>
          </cell>
          <cell r="N1910" t="str">
            <v>RESOLUCION</v>
          </cell>
          <cell r="O1910">
            <v>837</v>
          </cell>
          <cell r="P1910">
            <v>43144</v>
          </cell>
          <cell r="Q1910" t="str">
            <v>AYUDA TEMPORAL A LAS FAMILIAS DE VARIAS LOCALIDADES, PARA RELOCALIZACIÓN DE HOGARES LOCALIZADOS EN ZONAS DE ALTO RIESGO NO MITIGABLE ID:2012-19-13821, LOCALIDAD:19 CIUDAD BOLÍVAR, UPZ:67 LUCERO, SECTOR:</v>
          </cell>
          <cell r="R1910">
            <v>2892240</v>
          </cell>
          <cell r="S1910">
            <v>482040</v>
          </cell>
          <cell r="T1910">
            <v>0</v>
          </cell>
          <cell r="U1910">
            <v>2410200</v>
          </cell>
          <cell r="V1910">
            <v>2410200</v>
          </cell>
        </row>
        <row r="1911">
          <cell r="J1911">
            <v>1282</v>
          </cell>
          <cell r="K1911">
            <v>43144</v>
          </cell>
          <cell r="L1911" t="str">
            <v>ANTONIO VICENTE TORRES RUBIO</v>
          </cell>
          <cell r="M1911">
            <v>31</v>
          </cell>
          <cell r="N1911" t="str">
            <v>RESOLUCION</v>
          </cell>
          <cell r="O1911">
            <v>838</v>
          </cell>
          <cell r="P1911">
            <v>43144</v>
          </cell>
          <cell r="Q1911" t="str">
            <v>AYUDA TEMPORAL A LAS FAMILIAS DE VARIAS LOCALIDADES, PARA RELOCALIZACIÓN DE HOGARES LOCALIZADOS EN ZONAS DE ALTO RIESGO NO MITIGABLE ID:2015-D227-00008, LOCALIDAD:04 SAN CRISTÓBAL, UPZ:51 LOS LIBERTADORES, SECTOR:SANTA TERESITA</v>
          </cell>
          <cell r="R1911">
            <v>6108300</v>
          </cell>
          <cell r="S1911">
            <v>0</v>
          </cell>
          <cell r="T1911">
            <v>0</v>
          </cell>
          <cell r="U1911">
            <v>6108300</v>
          </cell>
          <cell r="V1911">
            <v>3563175</v>
          </cell>
        </row>
        <row r="1912">
          <cell r="J1912">
            <v>1283</v>
          </cell>
          <cell r="K1912">
            <v>43144</v>
          </cell>
          <cell r="L1912" t="str">
            <v>ELVER YAIMA BONILLA</v>
          </cell>
          <cell r="M1912">
            <v>31</v>
          </cell>
          <cell r="N1912" t="str">
            <v>RESOLUCION</v>
          </cell>
          <cell r="O1912">
            <v>839</v>
          </cell>
          <cell r="P1912">
            <v>43144</v>
          </cell>
          <cell r="Q1912" t="str">
            <v>AYUDA TEMPORAL A LAS FAMILIAS DE VARIAS LOCALIDADES, PARA RELOCALIZACIÓN DE HOGARES LOCALIZADOS EN ZONAS DE ALTO RIESGO NO MITIGABLE ID:2012-19-13884, LOCALIDAD:19 CIUDAD BOLÍVAR, UPZ:67 LUCERO, SECTOR:</v>
          </cell>
          <cell r="R1912">
            <v>2671848</v>
          </cell>
          <cell r="S1912">
            <v>445308</v>
          </cell>
          <cell r="T1912">
            <v>0</v>
          </cell>
          <cell r="U1912">
            <v>2226540</v>
          </cell>
          <cell r="V1912">
            <v>2226540</v>
          </cell>
        </row>
        <row r="1913">
          <cell r="J1913">
            <v>1284</v>
          </cell>
          <cell r="K1913">
            <v>43144</v>
          </cell>
          <cell r="L1913" t="str">
            <v>BLANCA LUZ TORRES CARRILLO</v>
          </cell>
          <cell r="M1913">
            <v>31</v>
          </cell>
          <cell r="N1913" t="str">
            <v>RESOLUCION</v>
          </cell>
          <cell r="O1913">
            <v>840</v>
          </cell>
          <cell r="P1913">
            <v>43144</v>
          </cell>
          <cell r="Q1913" t="str">
            <v>AYUDA TEMPORAL A LAS FAMILIAS DE VARIAS LOCALIDADES, PARA RELOCALIZACIÓN DE HOGARES LOCALIZADOS EN ZONAS DE ALTO RIESGO NO MITIGABLE ID:2014-Q03-01022, LOCALIDAD:19 CIUDAD BOLÍVAR, UPZ:66 SAN FRANCISCO, SECTOR:LIMAS</v>
          </cell>
          <cell r="R1913">
            <v>2924376</v>
          </cell>
          <cell r="S1913">
            <v>417768</v>
          </cell>
          <cell r="T1913">
            <v>0</v>
          </cell>
          <cell r="U1913">
            <v>2506608</v>
          </cell>
          <cell r="V1913">
            <v>2506608</v>
          </cell>
        </row>
        <row r="1914">
          <cell r="J1914">
            <v>1285</v>
          </cell>
          <cell r="K1914">
            <v>43144</v>
          </cell>
          <cell r="L1914" t="str">
            <v>JACKELINE  GOMEZ NUÑEZ</v>
          </cell>
          <cell r="M1914">
            <v>31</v>
          </cell>
          <cell r="N1914" t="str">
            <v>RESOLUCION</v>
          </cell>
          <cell r="O1914">
            <v>841</v>
          </cell>
          <cell r="P1914">
            <v>43144</v>
          </cell>
          <cell r="Q1914" t="str">
            <v>AYUDA TEMPORAL A LAS FAMILIAS DE VARIAS LOCALIDADES, PARA RELOCALIZACIÓN DE HOGARES LOCALIZADOS EN ZONAS DE ALTO RIESGO NO MITIGABLE ID:2014-Q09-00928, LOCALIDAD:19 CIUDAD BOLÍVAR, UPZ:67 LUCERO, SECTOR:QUEBRADA TROMPETA</v>
          </cell>
          <cell r="R1914">
            <v>2343726</v>
          </cell>
          <cell r="S1914">
            <v>390621</v>
          </cell>
          <cell r="T1914">
            <v>0</v>
          </cell>
          <cell r="U1914">
            <v>1953105</v>
          </cell>
          <cell r="V1914">
            <v>1953105</v>
          </cell>
        </row>
        <row r="1915">
          <cell r="J1915">
            <v>1286</v>
          </cell>
          <cell r="K1915">
            <v>43144</v>
          </cell>
          <cell r="L1915" t="str">
            <v>ANA MERCEDES GUTIERREZ NAJAR</v>
          </cell>
          <cell r="M1915">
            <v>31</v>
          </cell>
          <cell r="N1915" t="str">
            <v>RESOLUCION</v>
          </cell>
          <cell r="O1915">
            <v>842</v>
          </cell>
          <cell r="P1915">
            <v>43144</v>
          </cell>
          <cell r="Q1915" t="str">
            <v>AYUDA TEMPORAL A LAS FAMILIAS DE VARIAS LOCALIDADES, PARA RELOCALIZACIÓN DE HOGARES LOCALIZADOS EN ZONAS DE ALTO RIESGO NO MITIGABLE ID:2006-3-9153, LOCALIDAD:03 SANTA FE, UPZ:92 LA MACARENA, SECTOR:</v>
          </cell>
          <cell r="R1915">
            <v>4868928</v>
          </cell>
          <cell r="S1915">
            <v>0</v>
          </cell>
          <cell r="T1915">
            <v>0</v>
          </cell>
          <cell r="U1915">
            <v>4868928</v>
          </cell>
          <cell r="V1915">
            <v>2840208</v>
          </cell>
        </row>
        <row r="1916">
          <cell r="J1916">
            <v>1287</v>
          </cell>
          <cell r="K1916">
            <v>43144</v>
          </cell>
          <cell r="L1916" t="str">
            <v>SANDRA BIBIANA GONZALEZ SABOGAL</v>
          </cell>
          <cell r="M1916">
            <v>31</v>
          </cell>
          <cell r="N1916" t="str">
            <v>RESOLUCION</v>
          </cell>
          <cell r="O1916">
            <v>843</v>
          </cell>
          <cell r="P1916">
            <v>43144</v>
          </cell>
          <cell r="Q1916" t="str">
            <v>AYUDA TEMPORAL A LAS FAMILIAS DE VARIAS LOCALIDADES, PARA RELOCALIZACIÓN DE HOGARES LOCALIZADOS EN ZONAS DE ALTO RIESGO NO MITIGABLE ID:2006-4-8696, LOCALIDAD:04 SAN CRISTÓBAL, UPZ:50 LA GLORIA, SECTOR:</v>
          </cell>
          <cell r="R1916">
            <v>4687452</v>
          </cell>
          <cell r="S1916">
            <v>0</v>
          </cell>
          <cell r="T1916">
            <v>0</v>
          </cell>
          <cell r="U1916">
            <v>4687452</v>
          </cell>
          <cell r="V1916">
            <v>2734347</v>
          </cell>
        </row>
        <row r="1917">
          <cell r="J1917">
            <v>1288</v>
          </cell>
          <cell r="K1917">
            <v>43144</v>
          </cell>
          <cell r="L1917" t="str">
            <v>FRANCELY  MURRILLO LARROTTA</v>
          </cell>
          <cell r="M1917">
            <v>31</v>
          </cell>
          <cell r="N1917" t="str">
            <v>RESOLUCION</v>
          </cell>
          <cell r="O1917">
            <v>844</v>
          </cell>
          <cell r="P1917">
            <v>43144</v>
          </cell>
          <cell r="Q1917" t="str">
            <v>AYUDA TEMPORAL A LAS FAMILIAS DE VARIAS LOCALIDADES, PARA RELOCALIZACIÓN DE HOGARES LOCALIZADOS EN ZONAS DE ALTO RIESGO NO MITIGABLE ID:2012-19-13778, LOCALIDAD:19 CIUDAD BOLÍVAR, UPZ:67 LUCERO, SECTOR:</v>
          </cell>
          <cell r="R1917">
            <v>2343726</v>
          </cell>
          <cell r="S1917">
            <v>390621</v>
          </cell>
          <cell r="T1917">
            <v>0</v>
          </cell>
          <cell r="U1917">
            <v>1953105</v>
          </cell>
          <cell r="V1917">
            <v>1953105</v>
          </cell>
        </row>
        <row r="1918">
          <cell r="J1918">
            <v>1289</v>
          </cell>
          <cell r="K1918">
            <v>43144</v>
          </cell>
          <cell r="L1918" t="str">
            <v>JOSE JESUS NUÑEZ</v>
          </cell>
          <cell r="M1918">
            <v>31</v>
          </cell>
          <cell r="N1918" t="str">
            <v>RESOLUCION</v>
          </cell>
          <cell r="O1918">
            <v>845</v>
          </cell>
          <cell r="P1918">
            <v>43144</v>
          </cell>
          <cell r="Q1918" t="str">
            <v>AYUDA TEMPORAL A LAS FAMILIAS DE VARIAS LOCALIDADES, PARA RELOCALIZACIÓN DE HOGARES LOCALIZADOS EN ZONAS DE ALTO RIESGO NO MITIGABLE ID:2012-ALES-260, LOCALIDAD:19 CIUDAD BOLÍVAR, UPZ:69 ISMAEL PERDOMO, SECTOR:ALTOS DE LA ESTANCIA</v>
          </cell>
          <cell r="R1918">
            <v>5304312</v>
          </cell>
          <cell r="S1918">
            <v>0</v>
          </cell>
          <cell r="T1918">
            <v>0</v>
          </cell>
          <cell r="U1918">
            <v>5304312</v>
          </cell>
          <cell r="V1918">
            <v>3094182</v>
          </cell>
        </row>
        <row r="1919">
          <cell r="J1919">
            <v>1290</v>
          </cell>
          <cell r="K1919">
            <v>43144</v>
          </cell>
          <cell r="L1919" t="str">
            <v>JOSE DE LOS SANTOS RIOS SALGADO</v>
          </cell>
          <cell r="M1919">
            <v>31</v>
          </cell>
          <cell r="N1919" t="str">
            <v>RESOLUCION</v>
          </cell>
          <cell r="O1919">
            <v>846</v>
          </cell>
          <cell r="P1919">
            <v>43144</v>
          </cell>
          <cell r="Q1919" t="str">
            <v>AYUDA TEMPORAL A LAS FAMILIAS DE VARIAS LOCALIDADES, PARA RELOCALIZACIÓN DE HOGARES LOCALIZADOS EN ZONAS DE ALTO RIESGO NO MITIGABLE ID:2012-ALES-261, LOCALIDAD:19 CIUDAD BOLÍVAR, UPZ:69 ISMAEL PERDOMO, SECTOR:ALTOS DE LA ESTANCIA</v>
          </cell>
          <cell r="R1919">
            <v>3247524</v>
          </cell>
          <cell r="S1919">
            <v>541254</v>
          </cell>
          <cell r="T1919">
            <v>0</v>
          </cell>
          <cell r="U1919">
            <v>2706270</v>
          </cell>
          <cell r="V1919">
            <v>2706270</v>
          </cell>
        </row>
        <row r="1920">
          <cell r="J1920">
            <v>1291</v>
          </cell>
          <cell r="K1920">
            <v>43144</v>
          </cell>
          <cell r="L1920" t="str">
            <v>JHON FLAVIO MORALES GUARNIZO</v>
          </cell>
          <cell r="M1920">
            <v>31</v>
          </cell>
          <cell r="N1920" t="str">
            <v>RESOLUCION</v>
          </cell>
          <cell r="O1920">
            <v>817</v>
          </cell>
          <cell r="P1920">
            <v>43144</v>
          </cell>
          <cell r="Q1920" t="str">
            <v>AYUDA TEMPORAL A LAS FAMILIAS DE VARIAS LOCALIDADES, PARA RELOCALIZACIÓN DE HOGARES LOCALIZADOS EN ZONAS DE ALTO RIESGO NO MITIGABLE ID:2017-19-15043, LOCALIDAD:19 CIUDAD BOLÍVAR, UPZ:67 EL LUCERO, SECTOR:BELLA FLOR</v>
          </cell>
          <cell r="R1920">
            <v>3098412</v>
          </cell>
          <cell r="S1920">
            <v>516402</v>
          </cell>
          <cell r="T1920">
            <v>0</v>
          </cell>
          <cell r="U1920">
            <v>2582010</v>
          </cell>
          <cell r="V1920">
            <v>2582010</v>
          </cell>
        </row>
        <row r="1921">
          <cell r="J1921">
            <v>1292</v>
          </cell>
          <cell r="K1921">
            <v>43144</v>
          </cell>
          <cell r="L1921" t="str">
            <v>ROBERTO DE JESUS URREA ATEHORTUA</v>
          </cell>
          <cell r="M1921">
            <v>31</v>
          </cell>
          <cell r="N1921" t="str">
            <v>RESOLUCION</v>
          </cell>
          <cell r="O1921">
            <v>825</v>
          </cell>
          <cell r="P1921">
            <v>43144</v>
          </cell>
          <cell r="Q1921" t="str">
            <v>AYUDA TEMPORAL A LAS FAMILIAS DE VARIAS LOCALIDADES, PARA RELOCALIZACIÓN DE HOGARES LOCALIZADOS EN ZONAS DE ALTO RIESGO NO MITIGABLE ID:2012-19-13808, LOCALIDAD:19 CIUDAD BOLÍVAR, UPZ:67 LUCERO, SECTOR:</v>
          </cell>
          <cell r="R1921">
            <v>5721420</v>
          </cell>
          <cell r="S1921">
            <v>0</v>
          </cell>
          <cell r="T1921">
            <v>0</v>
          </cell>
          <cell r="U1921">
            <v>5721420</v>
          </cell>
          <cell r="V1921">
            <v>3337495</v>
          </cell>
        </row>
        <row r="1922">
          <cell r="J1922">
            <v>1293</v>
          </cell>
          <cell r="K1922">
            <v>43144</v>
          </cell>
          <cell r="L1922" t="str">
            <v>BERNARDA  MATEUS</v>
          </cell>
          <cell r="M1922">
            <v>31</v>
          </cell>
          <cell r="N1922" t="str">
            <v>RESOLUCION</v>
          </cell>
          <cell r="O1922">
            <v>999</v>
          </cell>
          <cell r="P1922">
            <v>43144</v>
          </cell>
          <cell r="Q1922" t="str">
            <v>AYUDA TEMPORAL A LAS FAMILIAS DE VARIAS LOCALIDADES, PARA RELOCALIZACIÓN DE HOGARES LOCALIZADOS EN ZONAS DE ALTO RIESGO NO MITIGABLE ID:2015-OTR-01369, LOCALIDAD:11 SUBA, UPZ:71 TIBABUYES, SECTOR:GAVILANES</v>
          </cell>
          <cell r="R1922">
            <v>3983670</v>
          </cell>
          <cell r="S1922">
            <v>0</v>
          </cell>
          <cell r="T1922">
            <v>0</v>
          </cell>
          <cell r="U1922">
            <v>3983670</v>
          </cell>
          <cell r="V1922">
            <v>3098410</v>
          </cell>
        </row>
        <row r="1923">
          <cell r="J1923">
            <v>1294</v>
          </cell>
          <cell r="K1923">
            <v>43144</v>
          </cell>
          <cell r="L1923" t="str">
            <v>EDWIN ANGEL DUARTE GOMEZ</v>
          </cell>
          <cell r="M1923">
            <v>31</v>
          </cell>
          <cell r="N1923" t="str">
            <v>RESOLUCION</v>
          </cell>
          <cell r="O1923">
            <v>998</v>
          </cell>
          <cell r="P1923">
            <v>43144</v>
          </cell>
          <cell r="Q1923" t="str">
            <v>AYUDA TEMPORAL A LAS FAMILIAS DE VARIAS LOCALIDADES, PARA RELOCALIZACIÓN DE HOGARES LOCALIZADOS EN ZONAS DE ALTO RIESGO NO MITIGABLE ID:2013-Q21-00607, LOCALIDAD:19 CIUDAD BOLÍVAR, UPZ:67 LUCERO, SECTOR:BRAZO DERECHO DE LIMAS</v>
          </cell>
          <cell r="R1923">
            <v>2706270</v>
          </cell>
          <cell r="S1923">
            <v>0</v>
          </cell>
          <cell r="T1923">
            <v>0</v>
          </cell>
          <cell r="U1923">
            <v>2706270</v>
          </cell>
          <cell r="V1923">
            <v>1804180</v>
          </cell>
        </row>
        <row r="1924">
          <cell r="J1924">
            <v>1295</v>
          </cell>
          <cell r="K1924">
            <v>43144</v>
          </cell>
          <cell r="L1924" t="str">
            <v>CAROLINA  GUZMAN ROMERO</v>
          </cell>
          <cell r="M1924">
            <v>31</v>
          </cell>
          <cell r="N1924" t="str">
            <v>RESOLUCION</v>
          </cell>
          <cell r="O1924">
            <v>997</v>
          </cell>
          <cell r="P1924">
            <v>43144</v>
          </cell>
          <cell r="Q1924" t="str">
            <v>AYUDA TEMPORAL A LAS FAMILIAS DE VARIAS LOCALIDADES, PARA RELOCALIZACIÓN DE HOGARES LOCALIZADOS EN ZONAS DE ALTO RIESGO NO MITIGABLE ID:2016-08-14921, LOCALIDAD:08 KENNEDY, UPZ:82 PATIO BONITO, SECTOR:PALMITAS</v>
          </cell>
          <cell r="R1924">
            <v>1593468</v>
          </cell>
          <cell r="S1924">
            <v>398367</v>
          </cell>
          <cell r="T1924">
            <v>0</v>
          </cell>
          <cell r="U1924">
            <v>1195101</v>
          </cell>
          <cell r="V1924">
            <v>1195101</v>
          </cell>
        </row>
        <row r="1925">
          <cell r="J1925">
            <v>1296</v>
          </cell>
          <cell r="K1925">
            <v>43144</v>
          </cell>
          <cell r="L1925" t="str">
            <v>PEDRO ANTONIO POSADA VILLAMIL</v>
          </cell>
          <cell r="M1925">
            <v>31</v>
          </cell>
          <cell r="N1925" t="str">
            <v>RESOLUCION</v>
          </cell>
          <cell r="O1925">
            <v>996</v>
          </cell>
          <cell r="P1925">
            <v>43144</v>
          </cell>
          <cell r="Q1925" t="str">
            <v>AYUDA TEMPORAL A LAS FAMILIAS DE VARIAS LOCALIDADES, PARA RELOCALIZACIÓN DE HOGARES LOCALIZADOS EN ZONAS DE ALTO RIESGO NO MITIGABLE ID:2015-D227-00049, LOCALIDAD:04 SAN CRISTÓBAL, UPZ:51 LOS LIBERTADORES, SECTOR:SANTA TERESITA</v>
          </cell>
          <cell r="R1925">
            <v>4795154</v>
          </cell>
          <cell r="S1925">
            <v>0</v>
          </cell>
          <cell r="T1925">
            <v>0</v>
          </cell>
          <cell r="U1925">
            <v>4795154</v>
          </cell>
          <cell r="V1925">
            <v>2950864</v>
          </cell>
        </row>
        <row r="1926">
          <cell r="J1926">
            <v>1297</v>
          </cell>
          <cell r="K1926">
            <v>43144</v>
          </cell>
          <cell r="L1926" t="str">
            <v>JUAN DE JESUS RUBIO NIETO</v>
          </cell>
          <cell r="M1926">
            <v>31</v>
          </cell>
          <cell r="N1926" t="str">
            <v>RESOLUCION</v>
          </cell>
          <cell r="O1926">
            <v>990</v>
          </cell>
          <cell r="P1926">
            <v>43144</v>
          </cell>
          <cell r="Q1926" t="str">
            <v>AYUDA TEMPORAL A LAS FAMILIAS DE VARIAS LOCALIDADES, PARA RELOCALIZACIÓN DE HOGARES LOCALIZADOS EN ZONAS DE ALTO RIESGO NO MITIGABLE ID:2011-19-13767, LOCALIDAD:19 CIUDAD BOLÍVAR, UPZ:67 LUCERO, SECTOR:</v>
          </cell>
          <cell r="R1926">
            <v>6450353</v>
          </cell>
          <cell r="S1926">
            <v>0</v>
          </cell>
          <cell r="T1926">
            <v>0</v>
          </cell>
          <cell r="U1926">
            <v>6450353</v>
          </cell>
          <cell r="V1926">
            <v>2480905</v>
          </cell>
        </row>
        <row r="1927">
          <cell r="J1927">
            <v>1298</v>
          </cell>
          <cell r="K1927">
            <v>43144</v>
          </cell>
          <cell r="L1927" t="str">
            <v>CLARA INES MARTINEZ</v>
          </cell>
          <cell r="M1927">
            <v>31</v>
          </cell>
          <cell r="N1927" t="str">
            <v>RESOLUCION</v>
          </cell>
          <cell r="O1927">
            <v>995</v>
          </cell>
          <cell r="P1927">
            <v>43144</v>
          </cell>
          <cell r="Q1927" t="str">
            <v>AYUDA TEMPORAL A LAS FAMILIAS DE VARIAS LOCALIDADES, PARA RELOCALIZACIÓN DE HOGARES LOCALIZADOS EN ZONAS DE ALTO RIESGO NO MITIGABLE ID:2013000015, LOCALIDAD:19 CIUDAD BOLÍVAR, UPZ:67 LUCERO, SECTOR:QUEBRADA CAÑO BAÚL</v>
          </cell>
          <cell r="R1927">
            <v>2586000</v>
          </cell>
          <cell r="S1927">
            <v>431000</v>
          </cell>
          <cell r="T1927">
            <v>0</v>
          </cell>
          <cell r="U1927">
            <v>2155000</v>
          </cell>
          <cell r="V1927">
            <v>2155000</v>
          </cell>
        </row>
        <row r="1928">
          <cell r="J1928">
            <v>1299</v>
          </cell>
          <cell r="K1928">
            <v>43144</v>
          </cell>
          <cell r="L1928" t="str">
            <v>YANETH  LOPEZ MURCIA</v>
          </cell>
          <cell r="M1928">
            <v>31</v>
          </cell>
          <cell r="N1928" t="str">
            <v>RESOLUCION</v>
          </cell>
          <cell r="O1928">
            <v>994</v>
          </cell>
          <cell r="P1928">
            <v>43144</v>
          </cell>
          <cell r="Q1928" t="str">
            <v>AYUDA TEMPORAL A LAS FAMILIAS DE VARIAS LOCALIDADES, PARA RELOCALIZACIÓN DE HOGARES LOCALIZADOS EN ZONAS DE ALTO RIESGO NO MITIGABLE ID:2011-4-12698, LOCALIDAD:04 SAN CRISTÓBAL, UPZ:32 SAN BLAS</v>
          </cell>
          <cell r="R1928">
            <v>5181132</v>
          </cell>
          <cell r="S1928">
            <v>0</v>
          </cell>
          <cell r="T1928">
            <v>0</v>
          </cell>
          <cell r="U1928">
            <v>5181132</v>
          </cell>
          <cell r="V1928">
            <v>2590566</v>
          </cell>
        </row>
        <row r="1929">
          <cell r="J1929">
            <v>1300</v>
          </cell>
          <cell r="K1929">
            <v>43144</v>
          </cell>
          <cell r="L1929" t="str">
            <v>MARIA ELENA NIEVES MARTINEZ TOVAR</v>
          </cell>
          <cell r="M1929">
            <v>31</v>
          </cell>
          <cell r="N1929" t="str">
            <v>RESOLUCION</v>
          </cell>
          <cell r="O1929">
            <v>989</v>
          </cell>
          <cell r="P1929">
            <v>43144</v>
          </cell>
          <cell r="Q1929" t="str">
            <v>AYUDA TEMPORAL A LAS FAMILIAS DE VARIAS LOCALIDADES, PARA RELOCALIZACIÓN DE HOGARES LOCALIZADOS EN ZONAS DE ALTO RIESGO NO MITIGABLE ID:2010-19-11687, LOCALIDAD:19 CIUDAD BOLÍVAR, UPZ:69 ISMAEL PERDOMO, SECTOR:OLA INVERNAL 2010 FOPAE</v>
          </cell>
          <cell r="R1929">
            <v>2358570</v>
          </cell>
          <cell r="S1929">
            <v>393095</v>
          </cell>
          <cell r="T1929">
            <v>0</v>
          </cell>
          <cell r="U1929">
            <v>1965475</v>
          </cell>
          <cell r="V1929">
            <v>1965475</v>
          </cell>
        </row>
        <row r="1930">
          <cell r="J1930">
            <v>1301</v>
          </cell>
          <cell r="K1930">
            <v>43144</v>
          </cell>
          <cell r="L1930" t="str">
            <v>LINA MARIA MALPICA FUENTES</v>
          </cell>
          <cell r="M1930">
            <v>31</v>
          </cell>
          <cell r="N1930" t="str">
            <v>RESOLUCION</v>
          </cell>
          <cell r="O1930">
            <v>1008</v>
          </cell>
          <cell r="P1930">
            <v>43144</v>
          </cell>
          <cell r="Q1930" t="str">
            <v>AYUDA TEMPORAL A LAS FAMILIAS DE VARIAS LOCALIDADES, PARA RELOCALIZACIÓN DE HOGARES LOCALIZADOS EN ZONAS DE ALTO RIESGO NO MITIGABLE ID:2013-Q04-00309, LOCALIDAD:04 SAN CRISTÓBAL, UPZ:51 LOS LIBERTADORES, SECTOR:QUEBRADA VEREJONES</v>
          </cell>
          <cell r="R1930">
            <v>5285280</v>
          </cell>
          <cell r="S1930">
            <v>0</v>
          </cell>
          <cell r="T1930">
            <v>0</v>
          </cell>
          <cell r="U1930">
            <v>5285280</v>
          </cell>
          <cell r="V1930">
            <v>3252480</v>
          </cell>
        </row>
        <row r="1931">
          <cell r="J1931">
            <v>1302</v>
          </cell>
          <cell r="K1931">
            <v>43144</v>
          </cell>
          <cell r="L1931" t="str">
            <v>RAUL ALBERTO CERON LOPEZ</v>
          </cell>
          <cell r="M1931">
            <v>31</v>
          </cell>
          <cell r="N1931" t="str">
            <v>RESOLUCION</v>
          </cell>
          <cell r="O1931">
            <v>993</v>
          </cell>
          <cell r="P1931">
            <v>43144</v>
          </cell>
          <cell r="Q1931" t="str">
            <v>AYUDA TEMPORAL A LAS FAMILIAS DE VARIAS LOCALIDADES, PARA RELOCALIZACIÓN DE HOGARES LOCALIZADOS EN ZONAS DE ALTO RIESGO NO MITIGABLE ID:2013-Q04-00580, LOCALIDAD:19 CIUDAD BOLÍVAR, UPZ:67 LUCERO, SECTOR:PEÑA COLORADA</v>
          </cell>
          <cell r="R1931">
            <v>5031235</v>
          </cell>
          <cell r="S1931">
            <v>0</v>
          </cell>
          <cell r="T1931">
            <v>0</v>
          </cell>
          <cell r="U1931">
            <v>5031235</v>
          </cell>
          <cell r="V1931">
            <v>3201695</v>
          </cell>
        </row>
        <row r="1932">
          <cell r="J1932">
            <v>1303</v>
          </cell>
          <cell r="K1932">
            <v>43144</v>
          </cell>
          <cell r="L1932" t="str">
            <v>KATHERINE PAOLA DUARTE BENITEZ</v>
          </cell>
          <cell r="M1932">
            <v>31</v>
          </cell>
          <cell r="N1932" t="str">
            <v>RESOLUCION</v>
          </cell>
          <cell r="O1932">
            <v>992</v>
          </cell>
          <cell r="P1932">
            <v>43144</v>
          </cell>
          <cell r="Q1932" t="str">
            <v>AYUDA TEMPORAL A LAS FAMILIAS DE VARIAS LOCALIDADES, PARA RELOCALIZACIÓN DE HOGARES LOCALIZADOS EN ZONAS DE ALTO RIESGO NO MITIGABLE ID:2016-04-14918, LOCALIDAD:04 SAN CRISTÓBAL, UPZ:51 LOS LIBERTADORES, SECTOR:SANTA TERESITA</v>
          </cell>
          <cell r="R1932">
            <v>5754192</v>
          </cell>
          <cell r="S1932">
            <v>0</v>
          </cell>
          <cell r="T1932">
            <v>0</v>
          </cell>
          <cell r="U1932">
            <v>5754192</v>
          </cell>
          <cell r="V1932">
            <v>3356612</v>
          </cell>
        </row>
        <row r="1933">
          <cell r="J1933">
            <v>1304</v>
          </cell>
          <cell r="K1933">
            <v>43144</v>
          </cell>
          <cell r="L1933" t="str">
            <v>JORGE ANDRES CANTOR PINZON</v>
          </cell>
          <cell r="M1933">
            <v>31</v>
          </cell>
          <cell r="N1933" t="str">
            <v>RESOLUCION</v>
          </cell>
          <cell r="O1933">
            <v>1007</v>
          </cell>
          <cell r="P1933">
            <v>43144</v>
          </cell>
          <cell r="Q1933" t="str">
            <v>AYUDA TEMPORAL A LAS FAMILIAS DE VARIAS LOCALIDADES, PARA RELOCALIZACIÓN DE HOGARES LOCALIZADOS EN ZONAS DE ALTO RIESGO NO MITIGABLE ID:2013000265, LOCALIDAD:04 SAN CRISTÓBAL, UPZ:51 LOS LIBERTADORES, SECTOR:QUEBRADA VEREJONES</v>
          </cell>
          <cell r="R1933">
            <v>5110235</v>
          </cell>
          <cell r="S1933">
            <v>0</v>
          </cell>
          <cell r="T1933">
            <v>0</v>
          </cell>
          <cell r="U1933">
            <v>5110235</v>
          </cell>
          <cell r="V1933">
            <v>2751665</v>
          </cell>
        </row>
        <row r="1934">
          <cell r="J1934">
            <v>1305</v>
          </cell>
          <cell r="K1934">
            <v>43144</v>
          </cell>
          <cell r="L1934" t="str">
            <v>LUIS EDUARDO GARCIA MORENO</v>
          </cell>
          <cell r="M1934">
            <v>31</v>
          </cell>
          <cell r="N1934" t="str">
            <v>RESOLUCION</v>
          </cell>
          <cell r="O1934">
            <v>988</v>
          </cell>
          <cell r="P1934">
            <v>43144</v>
          </cell>
          <cell r="Q1934" t="str">
            <v>AYUDA TEMPORAL A LAS FAMILIAS DE VARIAS LOCALIDADES, PARA RELOCALIZACIÓN DE HOGARES LOCALIZADOS EN ZONAS DE ALTO RIESGO NO MITIGABLE ID:2013-Q07-00024, LOCALIDAD:19 CIUDAD BOLÍVAR, UPZ:67 LUCERO, SECTOR:ZANJÓN DEL AHORCADO</v>
          </cell>
          <cell r="R1934">
            <v>3102546</v>
          </cell>
          <cell r="S1934">
            <v>517091</v>
          </cell>
          <cell r="T1934">
            <v>0</v>
          </cell>
          <cell r="U1934">
            <v>2585455</v>
          </cell>
          <cell r="V1934">
            <v>2585455</v>
          </cell>
        </row>
        <row r="1935">
          <cell r="J1935">
            <v>1306</v>
          </cell>
          <cell r="K1935">
            <v>43144</v>
          </cell>
          <cell r="L1935" t="str">
            <v>ANDRES  TURRIAGO FORERO</v>
          </cell>
          <cell r="M1935">
            <v>31</v>
          </cell>
          <cell r="N1935" t="str">
            <v>RESOLUCION</v>
          </cell>
          <cell r="O1935">
            <v>991</v>
          </cell>
          <cell r="P1935">
            <v>43144</v>
          </cell>
          <cell r="Q1935" t="str">
            <v>AYUDA TEMPORAL A LAS FAMILIAS DE VARIAS LOCALIDADES, PARA RELOCALIZACIÓN DE HOGARES LOCALIZADOS EN ZONAS DE ALTO RIESGO NO MITIGABLE ID:2012-T314-07, LOCALIDAD:04 SAN CRISTÓBAL, UPZ:50 LA GLORIA</v>
          </cell>
          <cell r="R1935">
            <v>2435382</v>
          </cell>
          <cell r="S1935">
            <v>405897</v>
          </cell>
          <cell r="T1935">
            <v>0</v>
          </cell>
          <cell r="U1935">
            <v>2029485</v>
          </cell>
          <cell r="V1935">
            <v>2029485</v>
          </cell>
        </row>
        <row r="1936">
          <cell r="J1936">
            <v>1307</v>
          </cell>
          <cell r="K1936">
            <v>43144</v>
          </cell>
          <cell r="L1936" t="str">
            <v>ANASTASIO  RIVERA RIVERA</v>
          </cell>
          <cell r="M1936">
            <v>31</v>
          </cell>
          <cell r="N1936" t="str">
            <v>RESOLUCION</v>
          </cell>
          <cell r="O1936">
            <v>1006</v>
          </cell>
          <cell r="P1936">
            <v>43144</v>
          </cell>
          <cell r="Q1936" t="str">
            <v>AYUDA TEMPORAL A LAS FAMILIAS DE VARIAS LOCALIDADES, PARA RELOCALIZACIÓN DE HOGARES LOCALIZADOS EN ZONAS DE ALTO RIESGO NO MITIGABLE ID:2015-W166-402, LOCALIDAD:19 CIUDAD BOLÍVAR, UPZ:67 LUCERO, SECTOR:UITOTO</v>
          </cell>
          <cell r="R1936">
            <v>7113432</v>
          </cell>
          <cell r="S1936">
            <v>0</v>
          </cell>
          <cell r="T1936">
            <v>0</v>
          </cell>
          <cell r="U1936">
            <v>7113432</v>
          </cell>
          <cell r="V1936">
            <v>4149502</v>
          </cell>
        </row>
        <row r="1937">
          <cell r="J1937">
            <v>1308</v>
          </cell>
          <cell r="K1937">
            <v>43144</v>
          </cell>
          <cell r="L1937" t="str">
            <v>JOSE SIGIFREDO CASTELLANOS MONTILLA</v>
          </cell>
          <cell r="M1937">
            <v>31</v>
          </cell>
          <cell r="N1937" t="str">
            <v>RESOLUCION</v>
          </cell>
          <cell r="O1937">
            <v>1005</v>
          </cell>
          <cell r="P1937">
            <v>43144</v>
          </cell>
          <cell r="Q1937" t="str">
            <v>AYUDA TEMPORAL A LAS FAMILIAS DE VARIAS LOCALIDADES, PARA RELOCALIZACIÓN DE HOGARES LOCALIZADOS EN ZONAS DE ALTO RIESGO NO MITIGABLE ID:2010-19-11685, LOCALIDAD:19 CIUDAD BOLÍVAR, UPZ:69 ISMAEL PERDOMO, SECTOR:OLA INVERNAL 2010 FOPAE</v>
          </cell>
          <cell r="R1937">
            <v>3098410</v>
          </cell>
          <cell r="S1937">
            <v>442630</v>
          </cell>
          <cell r="T1937">
            <v>0</v>
          </cell>
          <cell r="U1937">
            <v>2655780</v>
          </cell>
          <cell r="V1937">
            <v>2655780</v>
          </cell>
        </row>
        <row r="1938">
          <cell r="J1938">
            <v>1309</v>
          </cell>
          <cell r="K1938">
            <v>43144</v>
          </cell>
          <cell r="L1938" t="str">
            <v>REGINALDO  PIZARIO CHAMAPURO</v>
          </cell>
          <cell r="M1938">
            <v>31</v>
          </cell>
          <cell r="N1938" t="str">
            <v>RESOLUCION</v>
          </cell>
          <cell r="O1938">
            <v>1004</v>
          </cell>
          <cell r="P1938">
            <v>43144</v>
          </cell>
          <cell r="Q1938" t="str">
            <v>AYUDA TEMPORAL A LAS FAMILIAS DE VARIAS LOCALIDADES, PARA RELOCALIZACIÓN DE HOGARES LOCALIZADOS EN ZONAS DE ALTO RIESGO NO MITIGABLE ID:2014-W166-003, LOCALIDAD:19 CIUDAD BOLÍVAR, UPZ:68 EL TESORO, SECTOR:WOUNAAN</v>
          </cell>
          <cell r="R1938">
            <v>2360696</v>
          </cell>
          <cell r="S1938">
            <v>590174</v>
          </cell>
          <cell r="T1938">
            <v>0</v>
          </cell>
          <cell r="U1938">
            <v>1770522</v>
          </cell>
          <cell r="V1938">
            <v>1770522</v>
          </cell>
        </row>
        <row r="1939">
          <cell r="J1939">
            <v>1310</v>
          </cell>
          <cell r="K1939">
            <v>43144</v>
          </cell>
          <cell r="L1939" t="str">
            <v>BLANCA EDITH RINCON ROJAS</v>
          </cell>
          <cell r="M1939">
            <v>31</v>
          </cell>
          <cell r="N1939" t="str">
            <v>RESOLUCION</v>
          </cell>
          <cell r="O1939">
            <v>1003</v>
          </cell>
          <cell r="P1939">
            <v>43144</v>
          </cell>
          <cell r="Q1939" t="str">
            <v>AYUDA TEMPORAL A LAS FAMILIAS DE VARIAS LOCALIDADES, PARA RELOCALIZACIÓN DE HOGARES LOCALIZADOS EN ZONAS DE ALTO RIESGO NO MITIGABLE ID:2016-08-14787, LOCALIDAD:08 KENNEDY, UPZ:82 PATIO BONITO, SECTOR:PALMITAS</v>
          </cell>
          <cell r="R1939">
            <v>4057438</v>
          </cell>
          <cell r="S1939">
            <v>0</v>
          </cell>
          <cell r="T1939">
            <v>0</v>
          </cell>
          <cell r="U1939">
            <v>4057438</v>
          </cell>
          <cell r="V1939">
            <v>2582006</v>
          </cell>
        </row>
        <row r="1940">
          <cell r="J1940">
            <v>1311</v>
          </cell>
          <cell r="K1940">
            <v>43144</v>
          </cell>
          <cell r="L1940" t="str">
            <v>NOEL  TORRES BECERRA</v>
          </cell>
          <cell r="M1940">
            <v>31</v>
          </cell>
          <cell r="N1940" t="str">
            <v>RESOLUCION</v>
          </cell>
          <cell r="O1940">
            <v>987</v>
          </cell>
          <cell r="P1940">
            <v>43144</v>
          </cell>
          <cell r="Q1940" t="str">
            <v>AYUDA TEMPORAL A LAS FAMILIAS DE VARIAS LOCALIDADES, PARA RELOCALIZACIÓN DE HOGARES LOCALIZADOS EN ZONAS DE ALTO RIESGO NO MITIGABLE ID:2011-20-13433, LOCALIDAD:20 SUMAPAZ, UPZ:5 UPR RIO SUMAPAZ, SECTOR:</v>
          </cell>
          <cell r="R1940">
            <v>9302605</v>
          </cell>
          <cell r="S1940">
            <v>0</v>
          </cell>
          <cell r="T1940">
            <v>0</v>
          </cell>
          <cell r="U1940">
            <v>9302605</v>
          </cell>
          <cell r="V1940">
            <v>5724680</v>
          </cell>
        </row>
        <row r="1941">
          <cell r="J1941">
            <v>1312</v>
          </cell>
          <cell r="K1941">
            <v>43144</v>
          </cell>
          <cell r="L1941" t="str">
            <v>ROSA MARIA MONTENEGRO DE SAYAGO</v>
          </cell>
          <cell r="M1941">
            <v>31</v>
          </cell>
          <cell r="N1941" t="str">
            <v>RESOLUCION</v>
          </cell>
          <cell r="O1941">
            <v>986</v>
          </cell>
          <cell r="P1941">
            <v>43144</v>
          </cell>
          <cell r="Q1941" t="str">
            <v>AYUDA TEMPORAL A LAS FAMILIAS DE VARIAS LOCALIDADES, PARA RELOCALIZACIÓN DE HOGARES LOCALIZADOS EN ZONAS DE ALTO RIESGO NO MITIGABLE ID:2011-5-13264, LOCALIDAD:05 USME, UPZ:56 DANUBIO, SECTOR:</v>
          </cell>
          <cell r="R1941">
            <v>3216354</v>
          </cell>
          <cell r="S1941">
            <v>536059</v>
          </cell>
          <cell r="T1941">
            <v>0</v>
          </cell>
          <cell r="U1941">
            <v>2680295</v>
          </cell>
          <cell r="V1941">
            <v>2680295</v>
          </cell>
        </row>
        <row r="1942">
          <cell r="J1942">
            <v>1313</v>
          </cell>
          <cell r="K1942">
            <v>43144</v>
          </cell>
          <cell r="L1942" t="str">
            <v>ADOLFO  DAZA CAMARGO</v>
          </cell>
          <cell r="M1942">
            <v>31</v>
          </cell>
          <cell r="N1942" t="str">
            <v>RESOLUCION</v>
          </cell>
          <cell r="O1942">
            <v>985</v>
          </cell>
          <cell r="P1942">
            <v>43144</v>
          </cell>
          <cell r="Q1942" t="str">
            <v>AYUDA TEMPORAL A LAS FAMILIAS DE VARIAS LOCALIDADES, PARA RELOCALIZACIÓN DE HOGARES LOCALIZADOS EN ZONAS DE ALTO RIESGO NO MITIGABLE ID:2013-Q21-00671, LOCALIDAD:19 CIUDAD BOLÍVAR, UPZ:67 LUCERO, SECTOR:BRAZO DERECHO DE LIMAS</v>
          </cell>
          <cell r="R1942">
            <v>2582006</v>
          </cell>
          <cell r="S1942">
            <v>368858</v>
          </cell>
          <cell r="T1942">
            <v>0</v>
          </cell>
          <cell r="U1942">
            <v>2213148</v>
          </cell>
          <cell r="V1942">
            <v>2213148</v>
          </cell>
        </row>
        <row r="1943">
          <cell r="J1943">
            <v>1314</v>
          </cell>
          <cell r="K1943">
            <v>43144</v>
          </cell>
          <cell r="L1943" t="str">
            <v>TOMAS AUGUSTO QUIZA ALVAREZ</v>
          </cell>
          <cell r="M1943">
            <v>31</v>
          </cell>
          <cell r="N1943" t="str">
            <v>RESOLUCION</v>
          </cell>
          <cell r="O1943">
            <v>984</v>
          </cell>
          <cell r="P1943">
            <v>43144</v>
          </cell>
          <cell r="Q1943" t="str">
            <v>AYUDA TEMPORAL A LAS FAMILIAS DE VARIAS LOCALIDADES, PARA RELOCALIZACIÓN DE HOGARES LOCALIZADOS EN ZONAS DE ALTO RIESGO NO MITIGABLE ID:2006-4-8838, LOCALIDAD:04 SAN CRISTÓBAL, UPZ:50 LA GLORIA, SECTOR:</v>
          </cell>
          <cell r="R1943">
            <v>3275466</v>
          </cell>
          <cell r="S1943">
            <v>545911</v>
          </cell>
          <cell r="T1943">
            <v>0</v>
          </cell>
          <cell r="U1943">
            <v>2729555</v>
          </cell>
          <cell r="V1943">
            <v>2729555</v>
          </cell>
        </row>
        <row r="1944">
          <cell r="J1944">
            <v>1315</v>
          </cell>
          <cell r="K1944">
            <v>43144</v>
          </cell>
          <cell r="L1944" t="str">
            <v>JOSE VICENTE DUARTE GONZALEZ</v>
          </cell>
          <cell r="M1944">
            <v>31</v>
          </cell>
          <cell r="N1944" t="str">
            <v>RESOLUCION</v>
          </cell>
          <cell r="O1944">
            <v>1009</v>
          </cell>
          <cell r="P1944">
            <v>43144</v>
          </cell>
          <cell r="Q1944" t="str">
            <v>AYUDA TEMPORAL A LAS FAMILIAS DE VARIAS LOCALIDADES, PARA RELOCALIZACIÓN DE HOGARES LOCALIZADOS EN ZONAS DE ALTO RIESGO NO MITIGABLE ID:2010-19-12227, LOCALIDAD:19 CIUDAD BOLÍVAR, UPZ:67 LUCERO, SECTOR:LIMAS</v>
          </cell>
          <cell r="R1944">
            <v>2582006</v>
          </cell>
          <cell r="S1944">
            <v>368858</v>
          </cell>
          <cell r="T1944">
            <v>0</v>
          </cell>
          <cell r="U1944">
            <v>2213148</v>
          </cell>
          <cell r="V1944">
            <v>2213148</v>
          </cell>
        </row>
        <row r="1945">
          <cell r="J1945">
            <v>1316</v>
          </cell>
          <cell r="K1945">
            <v>43144</v>
          </cell>
          <cell r="L1945" t="str">
            <v>HERMINSO  ALTURO PERDOMO</v>
          </cell>
          <cell r="M1945">
            <v>31</v>
          </cell>
          <cell r="N1945" t="str">
            <v>RESOLUCION</v>
          </cell>
          <cell r="O1945">
            <v>1093</v>
          </cell>
          <cell r="P1945">
            <v>43144</v>
          </cell>
          <cell r="Q1945" t="str">
            <v>AYUDA TEMPORAL A LAS FAMILIAS DE VARIAS LOCALIDADES, PARA RELOCALIZACIÓN DE HOGARES LOCALIZADOS EN ZONAS DE ALTO RIESGO NO MITIGABLE ID:2015-OTR-01375, LOCALIDAD:11 SUBA, UPZ:71 TIBABUYES, SECTOR:GAVILANES</v>
          </cell>
          <cell r="R1945">
            <v>3209076</v>
          </cell>
          <cell r="S1945">
            <v>534846</v>
          </cell>
          <cell r="T1945">
            <v>0</v>
          </cell>
          <cell r="U1945">
            <v>2674230</v>
          </cell>
          <cell r="V1945">
            <v>2674230</v>
          </cell>
        </row>
        <row r="1946">
          <cell r="J1946">
            <v>1317</v>
          </cell>
          <cell r="K1946">
            <v>43144</v>
          </cell>
          <cell r="L1946" t="str">
            <v>GEIMAR ARLEY NIÑO SANCHEZ</v>
          </cell>
          <cell r="M1946">
            <v>31</v>
          </cell>
          <cell r="N1946" t="str">
            <v>RESOLUCION</v>
          </cell>
          <cell r="O1946">
            <v>1092</v>
          </cell>
          <cell r="P1946">
            <v>43144</v>
          </cell>
          <cell r="Q1946" t="str">
            <v>AYUDA TEMPORAL A LAS FAMILIAS DE VARIAS LOCALIDADES, PARA RELOCALIZACIÓN DE HOGARES LOCALIZADOS EN ZONAS DE ALTO RIESGO NO MITIGABLE ID:2014-Q03-01077, LOCALIDAD:19 CIUDAD BOLÍVAR, UPZ:66 SAN FRANCISCO, SECTOR:LIMAS</v>
          </cell>
          <cell r="R1946">
            <v>2784006</v>
          </cell>
          <cell r="S1946">
            <v>464001</v>
          </cell>
          <cell r="T1946">
            <v>0</v>
          </cell>
          <cell r="U1946">
            <v>2320005</v>
          </cell>
          <cell r="V1946">
            <v>2320005</v>
          </cell>
        </row>
        <row r="1947">
          <cell r="J1947">
            <v>1318</v>
          </cell>
          <cell r="K1947">
            <v>43144</v>
          </cell>
          <cell r="L1947" t="str">
            <v>TEOFILO  CABEZON CARDENAS</v>
          </cell>
          <cell r="M1947">
            <v>31</v>
          </cell>
          <cell r="N1947" t="str">
            <v>RESOLUCION</v>
          </cell>
          <cell r="O1947">
            <v>1091</v>
          </cell>
          <cell r="P1947">
            <v>43144</v>
          </cell>
          <cell r="Q1947" t="str">
            <v>AYUDA TEMPORAL A LAS FAMILIAS DE VARIAS LOCALIDADES, PARA RELOCALIZACIÓN DE HOGARES LOCALIZADOS EN ZONAS DE ALTO RIESGO NO MITIGABLE ID:2014-W166-023, LOCALIDAD:19 CIUDAD BOLÍVAR, UPZ:68 EL TESORO, SECTOR:WOUNAAN</v>
          </cell>
          <cell r="R1947">
            <v>7207200</v>
          </cell>
          <cell r="S1947">
            <v>0</v>
          </cell>
          <cell r="T1947">
            <v>0</v>
          </cell>
          <cell r="U1947">
            <v>7207200</v>
          </cell>
          <cell r="V1947">
            <v>4435200</v>
          </cell>
        </row>
        <row r="1948">
          <cell r="J1948">
            <v>1319</v>
          </cell>
          <cell r="K1948">
            <v>43144</v>
          </cell>
          <cell r="L1948" t="str">
            <v>GILBERTO  FORERO</v>
          </cell>
          <cell r="M1948">
            <v>31</v>
          </cell>
          <cell r="N1948" t="str">
            <v>RESOLUCION</v>
          </cell>
          <cell r="O1948">
            <v>983</v>
          </cell>
          <cell r="P1948">
            <v>43144</v>
          </cell>
          <cell r="Q1948" t="str">
            <v>AYUDA TEMPORAL A LAS FAMILIAS DE VARIAS LOCALIDADES, PARA RELOCALIZACIÓN DE HOGARES LOCALIZADOS EN ZONAS DE ALTO RIESGO NO MITIGABLE ID:2012-ALES-190, LOCALIDAD:19 CIUDAD BOLÍVAR, UPZ:69 ISMAEL PERDOMO, SECTOR:ALTOS DE LA ESTANCIA</v>
          </cell>
          <cell r="R1948">
            <v>2788569</v>
          </cell>
          <cell r="S1948">
            <v>398367</v>
          </cell>
          <cell r="T1948">
            <v>0</v>
          </cell>
          <cell r="U1948">
            <v>2390202</v>
          </cell>
          <cell r="V1948">
            <v>2390202</v>
          </cell>
        </row>
        <row r="1949">
          <cell r="J1949">
            <v>1320</v>
          </cell>
          <cell r="K1949">
            <v>43144</v>
          </cell>
          <cell r="L1949" t="str">
            <v>LEYDI YOHANA GARZON MARTINEZ</v>
          </cell>
          <cell r="M1949">
            <v>31</v>
          </cell>
          <cell r="N1949" t="str">
            <v>RESOLUCION</v>
          </cell>
          <cell r="O1949">
            <v>1015</v>
          </cell>
          <cell r="P1949">
            <v>43144</v>
          </cell>
          <cell r="Q1949" t="str">
            <v>AYUDA TEMPORAL A LAS FAMILIAS DE VARIAS LOCALIDADES, PARA RELOCALIZACIÓN DE HOGARES LOCALIZADOS EN ZONAS DE ALTO RIESGO NO MITIGABLE ID:2015-Q03-03625, LOCALIDAD:19 CIUDAD BOLÍVAR, UPZ:67 LUCERO, SECTOR:LIMAS</v>
          </cell>
          <cell r="R1949">
            <v>4604880</v>
          </cell>
          <cell r="S1949">
            <v>0</v>
          </cell>
          <cell r="T1949">
            <v>0</v>
          </cell>
          <cell r="U1949">
            <v>4604880</v>
          </cell>
          <cell r="V1949">
            <v>3223416</v>
          </cell>
        </row>
        <row r="1950">
          <cell r="J1950">
            <v>1321</v>
          </cell>
          <cell r="K1950">
            <v>43144</v>
          </cell>
          <cell r="L1950" t="str">
            <v>FABELICIA  BURGARA CHAUCARAMA</v>
          </cell>
          <cell r="M1950">
            <v>31</v>
          </cell>
          <cell r="N1950" t="str">
            <v>RESOLUCION</v>
          </cell>
          <cell r="O1950">
            <v>1002</v>
          </cell>
          <cell r="P1950">
            <v>43144</v>
          </cell>
          <cell r="Q1950" t="str">
            <v>AYUDA TEMPORAL A LAS FAMILIAS DE VARIAS LOCALIDADES, PARA RELOCALIZACIÓN DE HOGARES LOCALIZADOS EN ZONAS DE ALTO RIESGO NO MITIGABLE ID:2015-W166-438, LOCALIDAD:19 CIUDAD BOLÍVAR, UPZ:68 EL TESORO, SECTOR:WOUNAAN</v>
          </cell>
          <cell r="R1950">
            <v>6491914</v>
          </cell>
          <cell r="S1950">
            <v>0</v>
          </cell>
          <cell r="T1950">
            <v>0</v>
          </cell>
          <cell r="U1950">
            <v>6491914</v>
          </cell>
          <cell r="V1950">
            <v>2950870</v>
          </cell>
        </row>
        <row r="1951">
          <cell r="J1951">
            <v>1322</v>
          </cell>
          <cell r="K1951">
            <v>43144</v>
          </cell>
          <cell r="L1951" t="str">
            <v>OLGA  CHIRIMIA GINGUIMIA</v>
          </cell>
          <cell r="M1951">
            <v>31</v>
          </cell>
          <cell r="N1951" t="str">
            <v>RESOLUCION</v>
          </cell>
          <cell r="O1951">
            <v>1014</v>
          </cell>
          <cell r="P1951">
            <v>43144</v>
          </cell>
          <cell r="Q1951" t="str">
            <v>AYUDA TEMPORAL A LAS FAMILIAS DE VARIAS LOCALIDADES, PARA RELOCALIZACIÓN DE HOGARES LOCALIZADOS EN ZONAS DE ALTO RIESGO NO MITIGABLE ID:2015-W166-204, LOCALIDAD:04 SAN CRISTÓBAL, UPZ:33 SOSIEGO, SECTOR:EPERARA</v>
          </cell>
          <cell r="R1951">
            <v>5532880</v>
          </cell>
          <cell r="S1951">
            <v>0</v>
          </cell>
          <cell r="T1951">
            <v>0</v>
          </cell>
          <cell r="U1951">
            <v>5532880</v>
          </cell>
          <cell r="V1951">
            <v>2766440</v>
          </cell>
        </row>
        <row r="1952">
          <cell r="J1952">
            <v>1323</v>
          </cell>
          <cell r="K1952">
            <v>43144</v>
          </cell>
          <cell r="L1952" t="str">
            <v>JOSE RICARDO TANGARIFE GOMEZ</v>
          </cell>
          <cell r="M1952">
            <v>31</v>
          </cell>
          <cell r="N1952" t="str">
            <v>RESOLUCION</v>
          </cell>
          <cell r="O1952">
            <v>982</v>
          </cell>
          <cell r="P1952">
            <v>43144</v>
          </cell>
          <cell r="Q1952" t="str">
            <v>AYUDA TEMPORAL A LAS FAMILIAS DE VARIAS LOCALIDADES, PARA RELOCALIZACIÓN DE HOGARES LOCALIZADOS EN ZONAS DE ALTO RIESGO NO MITIGABLE ID:2015-D227-00054, LOCALIDAD:04 SAN CRISTÓBAL, UPZ:51 LOS LIBERTADORES, SECTOR:SANTA TERESITA</v>
          </cell>
          <cell r="R1952">
            <v>4687452</v>
          </cell>
          <cell r="S1952">
            <v>0</v>
          </cell>
          <cell r="T1952">
            <v>0</v>
          </cell>
          <cell r="U1952">
            <v>4687452</v>
          </cell>
          <cell r="V1952">
            <v>1953105</v>
          </cell>
        </row>
        <row r="1953">
          <cell r="J1953">
            <v>1324</v>
          </cell>
          <cell r="K1953">
            <v>43144</v>
          </cell>
          <cell r="L1953" t="str">
            <v>LAMINIA  ISMARE OPUA</v>
          </cell>
          <cell r="M1953">
            <v>31</v>
          </cell>
          <cell r="N1953" t="str">
            <v>RESOLUCION</v>
          </cell>
          <cell r="O1953">
            <v>1013</v>
          </cell>
          <cell r="P1953">
            <v>43144</v>
          </cell>
          <cell r="Q1953" t="str">
            <v>AYUDA TEMPORAL A LAS FAMILIAS DE VARIAS LOCALIDADES, PARA RELOCALIZACIÓN DE HOGARES LOCALIZADOS EN ZONAS DE ALTO RIESGO NO MITIGABLE ID:2014-W166-035, LOCALIDAD:19 CIUDAD BOLÍVAR, UPZ:67 LUCERO, SECTOR:WOUNAAN</v>
          </cell>
          <cell r="R1953">
            <v>5901740</v>
          </cell>
          <cell r="S1953">
            <v>0</v>
          </cell>
          <cell r="T1953">
            <v>0</v>
          </cell>
          <cell r="U1953">
            <v>5901740</v>
          </cell>
          <cell r="V1953">
            <v>2950870</v>
          </cell>
        </row>
        <row r="1954">
          <cell r="J1954">
            <v>1325</v>
          </cell>
          <cell r="K1954">
            <v>43144</v>
          </cell>
          <cell r="L1954" t="str">
            <v>CLARA LILIA AREVALO</v>
          </cell>
          <cell r="M1954">
            <v>31</v>
          </cell>
          <cell r="N1954" t="str">
            <v>RESOLUCION</v>
          </cell>
          <cell r="O1954">
            <v>1001</v>
          </cell>
          <cell r="P1954">
            <v>43144</v>
          </cell>
          <cell r="Q1954" t="str">
            <v>AYUDA TEMPORAL A LAS FAMILIAS DE VARIAS LOCALIDADES, PARA RELOCALIZACIÓN DE HOGARES LOCALIZADOS EN ZONAS DE ALTO RIESGO NO MITIGABLE ID:2011-5-13260, LOCALIDAD:05 USME, UPZ:56 DANUBIO</v>
          </cell>
          <cell r="R1954">
            <v>2531226</v>
          </cell>
          <cell r="S1954">
            <v>421871</v>
          </cell>
          <cell r="T1954">
            <v>0</v>
          </cell>
          <cell r="U1954">
            <v>2109355</v>
          </cell>
          <cell r="V1954">
            <v>2109355</v>
          </cell>
        </row>
        <row r="1955">
          <cell r="J1955">
            <v>1326</v>
          </cell>
          <cell r="K1955">
            <v>43144</v>
          </cell>
          <cell r="L1955" t="str">
            <v>MARIA  AYALA</v>
          </cell>
          <cell r="M1955">
            <v>31</v>
          </cell>
          <cell r="N1955" t="str">
            <v>RESOLUCION</v>
          </cell>
          <cell r="O1955">
            <v>981</v>
          </cell>
          <cell r="P1955">
            <v>43144</v>
          </cell>
          <cell r="Q1955" t="str">
            <v>AYUDA TEMPORAL A LAS FAMILIAS DE VARIAS LOCALIDADES, PARA RELOCALIZACIÓN DE HOGARES LOCALIZADOS EN ZONAS DE ALTO RIESGO NO MITIGABLE ID:2006-19-8520, LOCALIDAD:19 CIUDAD BOLÍVAR, UPZ:68 EL TESORO, SECTOR:QUEBRADA EL INFIERNO</v>
          </cell>
          <cell r="R1955">
            <v>3088757</v>
          </cell>
          <cell r="S1955">
            <v>441251</v>
          </cell>
          <cell r="T1955">
            <v>0</v>
          </cell>
          <cell r="U1955">
            <v>2647506</v>
          </cell>
          <cell r="V1955">
            <v>2647506</v>
          </cell>
        </row>
        <row r="1956">
          <cell r="J1956">
            <v>1327</v>
          </cell>
          <cell r="K1956">
            <v>43144</v>
          </cell>
          <cell r="L1956" t="str">
            <v>YEISA AYCHELL RIVERA OLAYA</v>
          </cell>
          <cell r="M1956">
            <v>31</v>
          </cell>
          <cell r="N1956" t="str">
            <v>RESOLUCION</v>
          </cell>
          <cell r="O1956">
            <v>1012</v>
          </cell>
          <cell r="P1956">
            <v>43144</v>
          </cell>
          <cell r="Q1956" t="str">
            <v>AYUDA TEMPORAL A LAS FAMILIAS DE VARIAS LOCALIDADES, PARA RELOCALIZACIÓN DE HOGARES LOCALIZADOS EN ZONAS DE ALTO RIESGO NO MITIGABLE ID:2015-W166-403, LOCALIDAD:19 CIUDAD BOLÍVAR, UPZ:67 LUCERO, SECTOR:UITOTO</v>
          </cell>
          <cell r="R1956">
            <v>5489556</v>
          </cell>
          <cell r="S1956">
            <v>0</v>
          </cell>
          <cell r="T1956">
            <v>0</v>
          </cell>
          <cell r="U1956">
            <v>5489556</v>
          </cell>
          <cell r="V1956">
            <v>3659704</v>
          </cell>
        </row>
        <row r="1957">
          <cell r="J1957">
            <v>1328</v>
          </cell>
          <cell r="K1957">
            <v>43144</v>
          </cell>
          <cell r="L1957" t="str">
            <v>FLOR MARIA JAIME</v>
          </cell>
          <cell r="M1957">
            <v>31</v>
          </cell>
          <cell r="N1957" t="str">
            <v>RESOLUCION</v>
          </cell>
          <cell r="O1957">
            <v>1011</v>
          </cell>
          <cell r="P1957">
            <v>43144</v>
          </cell>
          <cell r="Q1957" t="str">
            <v>AYUDA TEMPORAL A LAS FAMILIAS DE VARIAS LOCALIDADES, PARA RELOCALIZACIÓN DE HOGARES LOCALIZADOS EN ZONAS DE ALTO RIESGO NO MITIGABLE ID:2013-Q09-00146, LOCALIDAD:19 CIUDAD BOLÍVAR, UPZ:67 LUCERO, SECTOR:QUEBRADA TROMPETA</v>
          </cell>
          <cell r="R1957">
            <v>2213148</v>
          </cell>
          <cell r="S1957">
            <v>368858</v>
          </cell>
          <cell r="T1957">
            <v>0</v>
          </cell>
          <cell r="U1957">
            <v>1844290</v>
          </cell>
          <cell r="V1957">
            <v>1844290</v>
          </cell>
        </row>
        <row r="1958">
          <cell r="J1958">
            <v>1329</v>
          </cell>
          <cell r="K1958">
            <v>43144</v>
          </cell>
          <cell r="L1958" t="str">
            <v>YENIFER  AGUDELO GONZALEZ</v>
          </cell>
          <cell r="M1958">
            <v>31</v>
          </cell>
          <cell r="N1958" t="str">
            <v>RESOLUCION</v>
          </cell>
          <cell r="O1958">
            <v>1000</v>
          </cell>
          <cell r="P1958">
            <v>43144</v>
          </cell>
          <cell r="Q1958" t="str">
            <v>AYUDA TEMPORAL A LAS FAMILIAS DE VARIAS LOCALIDADES, PARA RELOCALIZACIÓN DE HOGARES LOCALIZADOS EN ZONAS DE ALTO RIESGO NO MITIGABLE ID:2011-19-13423, LOCALIDAD:19 CIUDAD BOLÍVAR, UPZ:69 ISMAEL PERDOMO.</v>
          </cell>
          <cell r="R1958">
            <v>5812440</v>
          </cell>
          <cell r="S1958">
            <v>0</v>
          </cell>
          <cell r="T1958">
            <v>0</v>
          </cell>
          <cell r="U1958">
            <v>5812440</v>
          </cell>
          <cell r="V1958">
            <v>3390590</v>
          </cell>
        </row>
        <row r="1959">
          <cell r="J1959">
            <v>1330</v>
          </cell>
          <cell r="K1959">
            <v>43144</v>
          </cell>
          <cell r="L1959" t="str">
            <v>MERY LILIA FURQUE VEGA</v>
          </cell>
          <cell r="M1959">
            <v>31</v>
          </cell>
          <cell r="N1959" t="str">
            <v>RESOLUCION</v>
          </cell>
          <cell r="O1959">
            <v>1010</v>
          </cell>
          <cell r="P1959">
            <v>43144</v>
          </cell>
          <cell r="Q1959" t="str">
            <v>AYUDA TEMPORAL A LAS FAMILIAS DE VARIAS LOCALIDADES, PARA RELOCALIZACIÓN DE HOGARES LOCALIZADOS EN ZONAS DE ALTO RIESGO NO MITIGABLE ID:2007-4-9376, LOCALIDAD:04 SAN CRISTÓBAL, UPZ:32 SAN BLAS</v>
          </cell>
          <cell r="R1959">
            <v>3098410</v>
          </cell>
          <cell r="S1959">
            <v>442630</v>
          </cell>
          <cell r="T1959">
            <v>0</v>
          </cell>
          <cell r="U1959">
            <v>2655780</v>
          </cell>
          <cell r="V1959">
            <v>2655780</v>
          </cell>
        </row>
        <row r="1960">
          <cell r="J1960">
            <v>1331</v>
          </cell>
          <cell r="K1960">
            <v>43144</v>
          </cell>
          <cell r="L1960" t="str">
            <v>OMAIRA  SALCEDO ANGARITA</v>
          </cell>
          <cell r="M1960">
            <v>31</v>
          </cell>
          <cell r="N1960" t="str">
            <v>RESOLUCION</v>
          </cell>
          <cell r="O1960">
            <v>1098</v>
          </cell>
          <cell r="P1960">
            <v>43144</v>
          </cell>
          <cell r="Q1960" t="str">
            <v>Asignacion del instrumento financiero a las familias ocupantes del predio que hayan superado la fase de verificacion dentro  del marco del Decreto 457 de 2017. LOCALIDAD: KENNEDY; BARRIO: VEREDITAS; ID: 2017-8-383767</v>
          </cell>
          <cell r="R1960">
            <v>54686940</v>
          </cell>
          <cell r="S1960">
            <v>0</v>
          </cell>
          <cell r="T1960">
            <v>0</v>
          </cell>
          <cell r="U1960">
            <v>54686940</v>
          </cell>
          <cell r="V1960">
            <v>0</v>
          </cell>
        </row>
        <row r="1961">
          <cell r="J1961">
            <v>1332</v>
          </cell>
          <cell r="K1961">
            <v>43144</v>
          </cell>
          <cell r="L1961" t="str">
            <v>REYES ALFONSO LEYTON</v>
          </cell>
          <cell r="M1961">
            <v>31</v>
          </cell>
          <cell r="N1961" t="str">
            <v>RESOLUCION</v>
          </cell>
          <cell r="O1961">
            <v>1102</v>
          </cell>
          <cell r="P1961">
            <v>43144</v>
          </cell>
          <cell r="Q1961" t="str">
            <v>Asignacion del instrumento financiero a las familias ocupantes del predio que hayan superado la fase de verificacion dentro  del marco del Decreto 457 de 2017. LOCALIDAD: KENNEDY; BARRIO: VEREDITAS; ID: 2017-8-383690</v>
          </cell>
          <cell r="R1961">
            <v>54686940</v>
          </cell>
          <cell r="S1961">
            <v>0</v>
          </cell>
          <cell r="T1961">
            <v>0</v>
          </cell>
          <cell r="U1961">
            <v>54686940</v>
          </cell>
          <cell r="V1961">
            <v>54686940</v>
          </cell>
        </row>
        <row r="1962">
          <cell r="J1962">
            <v>1333</v>
          </cell>
          <cell r="K1962">
            <v>43144</v>
          </cell>
          <cell r="L1962" t="str">
            <v>JUAN DAVID LOPEZ PENAGOS</v>
          </cell>
          <cell r="M1962">
            <v>31</v>
          </cell>
          <cell r="N1962" t="str">
            <v>RESOLUCION</v>
          </cell>
          <cell r="O1962">
            <v>762</v>
          </cell>
          <cell r="P1962">
            <v>43144</v>
          </cell>
          <cell r="Q1962" t="str">
            <v>Asignacion del instrumento financiero a las familias ocupantes del predio que hayan superado la fase de verificacion dentro  del marco del Decreto 457 de 2017. LOCALIDAD: KENNEDY; BARRIO: VEREDITAS; ID: 2017-8-383887</v>
          </cell>
          <cell r="R1962">
            <v>54686940</v>
          </cell>
          <cell r="S1962">
            <v>0</v>
          </cell>
          <cell r="T1962">
            <v>0</v>
          </cell>
          <cell r="U1962">
            <v>54686940</v>
          </cell>
          <cell r="V1962">
            <v>54686940</v>
          </cell>
        </row>
        <row r="1963">
          <cell r="J1963">
            <v>1334</v>
          </cell>
          <cell r="K1963">
            <v>43144</v>
          </cell>
          <cell r="L1963" t="str">
            <v>ANYI VANESSA ARIZA CAMACHO</v>
          </cell>
          <cell r="M1963">
            <v>31</v>
          </cell>
          <cell r="N1963" t="str">
            <v>RESOLUCION</v>
          </cell>
          <cell r="O1963">
            <v>1101</v>
          </cell>
          <cell r="P1963">
            <v>43144</v>
          </cell>
          <cell r="Q1963" t="str">
            <v>Asignacion del instrumento financiero a las familias ocupantes del predio que hayan superado la fase de verificacion dentro  del marco del Decreto 457 de 2017. LOCALIDAD: KENNEDY; BARRIO: VEREDITAS; ID: 2017-8-383612</v>
          </cell>
          <cell r="R1963">
            <v>54686940</v>
          </cell>
          <cell r="S1963">
            <v>54686940</v>
          </cell>
          <cell r="T1963">
            <v>0</v>
          </cell>
          <cell r="U1963">
            <v>0</v>
          </cell>
          <cell r="V1963">
            <v>0</v>
          </cell>
        </row>
        <row r="1964">
          <cell r="J1964">
            <v>1335</v>
          </cell>
          <cell r="K1964">
            <v>43144</v>
          </cell>
          <cell r="L1964" t="str">
            <v>LEIDY YOHANNA AGUILAR VELASQUEZ</v>
          </cell>
          <cell r="M1964">
            <v>31</v>
          </cell>
          <cell r="N1964" t="str">
            <v>RESOLUCION</v>
          </cell>
          <cell r="O1964">
            <v>1100</v>
          </cell>
          <cell r="P1964">
            <v>43144</v>
          </cell>
          <cell r="Q1964" t="str">
            <v>Asignacion del instrumento financiero a las familias ocupantes del predio que hayan superado la fase de verificacion dentro  del marco del Decreto 457 de 2017. LOCALIDAD: KENNEDY; BARRIO: VEREDITAS; ID: 2017-8-383789</v>
          </cell>
          <cell r="R1964">
            <v>54686940</v>
          </cell>
          <cell r="S1964">
            <v>54686940</v>
          </cell>
          <cell r="T1964">
            <v>0</v>
          </cell>
          <cell r="U1964">
            <v>0</v>
          </cell>
          <cell r="V1964">
            <v>0</v>
          </cell>
        </row>
        <row r="1965">
          <cell r="J1965">
            <v>1336</v>
          </cell>
          <cell r="K1965">
            <v>43144</v>
          </cell>
          <cell r="L1965" t="str">
            <v>ALFREDO  CASTELLANOS</v>
          </cell>
          <cell r="M1965">
            <v>31</v>
          </cell>
          <cell r="N1965" t="str">
            <v>RESOLUCION</v>
          </cell>
          <cell r="O1965">
            <v>1099</v>
          </cell>
          <cell r="P1965">
            <v>43144</v>
          </cell>
          <cell r="Q1965" t="str">
            <v>Asignacion del instrumento financiero a las familias ocupantes del predio que hayan superado la fase de verificacion dentro  del marco del Decreto 457 de 2017. LOCALIDAD: KENNEDY; BARRIO: VEREDITAS; ID: 2017-8-383894</v>
          </cell>
          <cell r="R1965">
            <v>54686940</v>
          </cell>
          <cell r="S1965">
            <v>0</v>
          </cell>
          <cell r="T1965">
            <v>0</v>
          </cell>
          <cell r="U1965">
            <v>54686940</v>
          </cell>
          <cell r="V1965">
            <v>54686940</v>
          </cell>
        </row>
        <row r="1966">
          <cell r="J1966">
            <v>1337</v>
          </cell>
          <cell r="K1966">
            <v>43144</v>
          </cell>
          <cell r="L1966" t="str">
            <v>ANYI VANESSA ARIZA CAMACHO</v>
          </cell>
          <cell r="M1966">
            <v>31</v>
          </cell>
          <cell r="N1966" t="str">
            <v>RESOLUCION</v>
          </cell>
          <cell r="O1966">
            <v>1101</v>
          </cell>
          <cell r="P1966">
            <v>43144</v>
          </cell>
          <cell r="Q1966" t="str">
            <v>Asignacion del instrumento financiero a las familias ocupantes del predio que hayan superado la fase de verificacion dentro  del marco del Decreto 457 de 2017. LOCALIDAD: KENNEDY; BARRIO: VEREDITAS; ID: 2017-8-383612</v>
          </cell>
          <cell r="R1966">
            <v>54686940</v>
          </cell>
          <cell r="S1966">
            <v>0</v>
          </cell>
          <cell r="T1966">
            <v>0</v>
          </cell>
          <cell r="U1966">
            <v>54686940</v>
          </cell>
          <cell r="V1966">
            <v>54686940</v>
          </cell>
        </row>
        <row r="1967">
          <cell r="J1967">
            <v>1338</v>
          </cell>
          <cell r="K1967">
            <v>43144</v>
          </cell>
          <cell r="L1967" t="str">
            <v>MARIA GLADYS OSORIO CASTRO</v>
          </cell>
          <cell r="M1967">
            <v>31</v>
          </cell>
          <cell r="N1967" t="str">
            <v>RESOLUCION</v>
          </cell>
          <cell r="O1967">
            <v>1126</v>
          </cell>
          <cell r="P1967">
            <v>43144</v>
          </cell>
          <cell r="Q1967" t="str">
            <v>Asignacion del instrumento financiero a las familias ocupantes del predio que hayan superado la fase de verificacion dentro  del marco del Decreto 457 de 2017. LOCALIDAD: KENNEDY; BARRIO: VEREDITAS; ID: 2018-8-383900</v>
          </cell>
          <cell r="R1967">
            <v>54686940</v>
          </cell>
          <cell r="S1967">
            <v>0</v>
          </cell>
          <cell r="T1967">
            <v>0</v>
          </cell>
          <cell r="U1967">
            <v>54686940</v>
          </cell>
          <cell r="V1967">
            <v>54686940</v>
          </cell>
        </row>
        <row r="1968">
          <cell r="J1968">
            <v>1339</v>
          </cell>
          <cell r="K1968">
            <v>43144</v>
          </cell>
          <cell r="L1968" t="str">
            <v>CELIA MARIA AGUIRRE MUÑOZ</v>
          </cell>
          <cell r="M1968">
            <v>31</v>
          </cell>
          <cell r="N1968" t="str">
            <v>RESOLUCION</v>
          </cell>
          <cell r="O1968">
            <v>1105</v>
          </cell>
          <cell r="P1968">
            <v>43144</v>
          </cell>
          <cell r="Q1968" t="str">
            <v>Asignacion del instrumento financiero a las familias ocupantes del predio que hayan superado la fase de verificacion dentro  del marco del Decreto 457 de 2017. LOCALIDAD: KENNEDY; BARRIO: VEREDITAS; ID: 2018-8-383910</v>
          </cell>
          <cell r="R1968">
            <v>54686940</v>
          </cell>
          <cell r="S1968">
            <v>0</v>
          </cell>
          <cell r="T1968">
            <v>0</v>
          </cell>
          <cell r="U1968">
            <v>54686940</v>
          </cell>
          <cell r="V1968">
            <v>54686940</v>
          </cell>
        </row>
        <row r="1969">
          <cell r="J1969">
            <v>1340</v>
          </cell>
          <cell r="K1969">
            <v>43144</v>
          </cell>
          <cell r="L1969" t="str">
            <v>AURORA YANETH VELASQUEZ</v>
          </cell>
          <cell r="M1969">
            <v>31</v>
          </cell>
          <cell r="N1969" t="str">
            <v>RESOLUCION</v>
          </cell>
          <cell r="O1969">
            <v>1097</v>
          </cell>
          <cell r="P1969">
            <v>43144</v>
          </cell>
          <cell r="Q1969" t="str">
            <v>Asignacion del instrumento financiero a las familias ocupantes del predio que hayan superado la fase de verificacion dentro  del marco del Decreto 457 de 2017. LOCALIDAD: KENNEDY; BARRIO: VEREDITAS; ID: 2017-8-383789</v>
          </cell>
          <cell r="R1969">
            <v>54686940</v>
          </cell>
          <cell r="S1969">
            <v>0</v>
          </cell>
          <cell r="T1969">
            <v>0</v>
          </cell>
          <cell r="U1969">
            <v>54686940</v>
          </cell>
          <cell r="V1969">
            <v>54686940</v>
          </cell>
        </row>
        <row r="1970">
          <cell r="J1970">
            <v>1341</v>
          </cell>
          <cell r="K1970">
            <v>43144</v>
          </cell>
          <cell r="L1970" t="str">
            <v>MARTHA JANETH ARIZA CAMACHO</v>
          </cell>
          <cell r="M1970">
            <v>31</v>
          </cell>
          <cell r="N1970" t="str">
            <v>RESOLUCION</v>
          </cell>
          <cell r="O1970">
            <v>1104</v>
          </cell>
          <cell r="P1970">
            <v>43144</v>
          </cell>
          <cell r="Q1970" t="str">
            <v>Asignacion del instrumento financiero a las familias ocupantes del predio que hayan superado la fase de verificacion dentro  del marco del Decreto 457 de 2017. LOCALIDAD: KENNEDY; BARRIO: VEREDITAS; ID: 2018-8-383917</v>
          </cell>
          <cell r="R1970">
            <v>54686940</v>
          </cell>
          <cell r="S1970">
            <v>0</v>
          </cell>
          <cell r="T1970">
            <v>0</v>
          </cell>
          <cell r="U1970">
            <v>54686940</v>
          </cell>
          <cell r="V1970">
            <v>54686940</v>
          </cell>
        </row>
        <row r="1971">
          <cell r="J1971">
            <v>1342</v>
          </cell>
          <cell r="K1971">
            <v>43144</v>
          </cell>
          <cell r="L1971" t="str">
            <v>JOSE MANUEL TORRES NAIZAQUE</v>
          </cell>
          <cell r="M1971">
            <v>31</v>
          </cell>
          <cell r="N1971" t="str">
            <v>RESOLUCION</v>
          </cell>
          <cell r="O1971">
            <v>1096</v>
          </cell>
          <cell r="P1971">
            <v>43144</v>
          </cell>
          <cell r="Q1971" t="str">
            <v>Asignacion del instrumento financiero a las familias ocupantes del predio que hayan superado la fase de verificacion dentro  del marco del Decreto 457 de 2017. LOCALIDAD: KENNEDY; BARRIO: VEREDITAS; ID: 2018-8-383913</v>
          </cell>
          <cell r="R1971">
            <v>54686940</v>
          </cell>
          <cell r="S1971">
            <v>0</v>
          </cell>
          <cell r="T1971">
            <v>0</v>
          </cell>
          <cell r="U1971">
            <v>54686940</v>
          </cell>
          <cell r="V1971">
            <v>54686940</v>
          </cell>
        </row>
        <row r="1972">
          <cell r="J1972">
            <v>1343</v>
          </cell>
          <cell r="K1972">
            <v>43144</v>
          </cell>
          <cell r="L1972" t="str">
            <v>LEIDY YOHANNA AGUILAR VELASQUEZ</v>
          </cell>
          <cell r="M1972">
            <v>31</v>
          </cell>
          <cell r="N1972" t="str">
            <v>RESOLUCION</v>
          </cell>
          <cell r="O1972">
            <v>1100</v>
          </cell>
          <cell r="P1972">
            <v>43144</v>
          </cell>
          <cell r="Q1972" t="str">
            <v>Asignacion del instrumento financiero a las familias ocupantes del predio que hayan superado la fase de verificacion dentro  del marco del Decreto 457 de 2017. LOCALIDAD: KENNEDY; BARRIO: VEREDITAS; ID: 2018-8-383915</v>
          </cell>
          <cell r="R1972">
            <v>54686940</v>
          </cell>
          <cell r="S1972">
            <v>0</v>
          </cell>
          <cell r="T1972">
            <v>0</v>
          </cell>
          <cell r="U1972">
            <v>54686940</v>
          </cell>
          <cell r="V1972">
            <v>54686940</v>
          </cell>
        </row>
        <row r="1973">
          <cell r="J1973">
            <v>1344</v>
          </cell>
          <cell r="K1973">
            <v>43144</v>
          </cell>
          <cell r="L1973" t="str">
            <v>LUZ ADRIANA GARCIA DIAZ</v>
          </cell>
          <cell r="M1973">
            <v>31</v>
          </cell>
          <cell r="N1973" t="str">
            <v>RESOLUCION</v>
          </cell>
          <cell r="O1973">
            <v>1095</v>
          </cell>
          <cell r="P1973">
            <v>43144</v>
          </cell>
          <cell r="Q1973" t="str">
            <v>Asignacion del instrumento financiero a las familias ocupantes del predio que hayan superado la fase de verificacion dentro  del marco del Decreto 457 de 2017. LOCALIDAD: KENNEDY; BARRIO: VEREDITAS; ID: 2018-8-383904.</v>
          </cell>
          <cell r="R1973">
            <v>54686940</v>
          </cell>
          <cell r="S1973">
            <v>0</v>
          </cell>
          <cell r="T1973">
            <v>0</v>
          </cell>
          <cell r="U1973">
            <v>54686940</v>
          </cell>
          <cell r="V1973">
            <v>54686940</v>
          </cell>
        </row>
        <row r="1974">
          <cell r="J1974">
            <v>1345</v>
          </cell>
          <cell r="K1974">
            <v>43144</v>
          </cell>
          <cell r="L1974" t="str">
            <v>DEIVY JAIR NAVARRO SARMIENTO</v>
          </cell>
          <cell r="M1974">
            <v>31</v>
          </cell>
          <cell r="N1974" t="str">
            <v>RESOLUCION</v>
          </cell>
          <cell r="O1974">
            <v>1103</v>
          </cell>
          <cell r="P1974">
            <v>43144</v>
          </cell>
          <cell r="Q1974" t="str">
            <v>Asignacion del instrumento financiero a las familias ocupantes del predio que hayan superado la fase de verificacion dentro  del marco del Decreto 457 de 2017. LOCALIDAD: KENNEDY; BARRIO: VEREDITAS; ID: 2017-8-383722.</v>
          </cell>
          <cell r="R1974">
            <v>54686940</v>
          </cell>
          <cell r="S1974">
            <v>0</v>
          </cell>
          <cell r="T1974">
            <v>0</v>
          </cell>
          <cell r="U1974">
            <v>54686940</v>
          </cell>
          <cell r="V1974">
            <v>54686940</v>
          </cell>
        </row>
        <row r="1975">
          <cell r="J1975">
            <v>1346</v>
          </cell>
          <cell r="K1975">
            <v>43145</v>
          </cell>
          <cell r="L1975" t="str">
            <v>CARMEN ROSA POVEDA VDA DE CAMACHO</v>
          </cell>
          <cell r="M1975">
            <v>31</v>
          </cell>
          <cell r="N1975" t="str">
            <v>RESOLUCION</v>
          </cell>
          <cell r="O1975">
            <v>732</v>
          </cell>
          <cell r="P1975">
            <v>43145</v>
          </cell>
          <cell r="Q1975" t="str">
            <v>AYUDA TEMPORAL A LAS FAMILIAS DE VARIAS LOCALIDADES, PARA RELOCALIZACIÓN DE HOGARES LOCALIZADOS EN ZONAS DE ALTO RIESGO NO MITIGABLE ID:2014-Q07-00795, LOCALIDAD:19 CIUDAD BOLÍVAR, UPZ:68 EL TESORO, SECTOR:QUEBRADA GALINDO</v>
          </cell>
          <cell r="R1975">
            <v>3330061</v>
          </cell>
          <cell r="S1975">
            <v>475723</v>
          </cell>
          <cell r="T1975">
            <v>0</v>
          </cell>
          <cell r="U1975">
            <v>2854338</v>
          </cell>
          <cell r="V1975">
            <v>2854338</v>
          </cell>
        </row>
        <row r="1976">
          <cell r="J1976">
            <v>1347</v>
          </cell>
          <cell r="K1976">
            <v>43145</v>
          </cell>
          <cell r="L1976" t="str">
            <v>ISABEL  GOMEZ JIMENEZ</v>
          </cell>
          <cell r="M1976">
            <v>31</v>
          </cell>
          <cell r="N1976" t="str">
            <v>RESOLUCION</v>
          </cell>
          <cell r="O1976">
            <v>1177</v>
          </cell>
          <cell r="P1976">
            <v>43145</v>
          </cell>
          <cell r="Q1976" t="str">
            <v>AYUDA TEMPORAL A LAS FAMILIAS DE VARIAS LOCALIDADES, PARA RELOCALIZACIÓN DE HOGARES LOCALIZADOS EN ZONAS DE ALTO RIESGO NO MITIGABLE ID:2012-ALES-227, LOCALIDAD:19 CIUDAD BOLÍVAR, UPZ:69 ISMAEL PERDOMO, SECTOR:ALTOS DE LA ESTANCIA</v>
          </cell>
          <cell r="R1976">
            <v>3382995</v>
          </cell>
          <cell r="S1976">
            <v>483285</v>
          </cell>
          <cell r="T1976">
            <v>0</v>
          </cell>
          <cell r="U1976">
            <v>2899710</v>
          </cell>
          <cell r="V1976">
            <v>2899710</v>
          </cell>
        </row>
        <row r="1977">
          <cell r="J1977">
            <v>1348</v>
          </cell>
          <cell r="K1977">
            <v>43145</v>
          </cell>
          <cell r="L1977" t="str">
            <v>OSCAR JAVIER VELANDIA SIERRA</v>
          </cell>
          <cell r="M1977">
            <v>31</v>
          </cell>
          <cell r="N1977" t="str">
            <v>RESOLUCION</v>
          </cell>
          <cell r="O1977">
            <v>1178</v>
          </cell>
          <cell r="P1977">
            <v>43145</v>
          </cell>
          <cell r="Q1977" t="str">
            <v>AYUDA TEMPORAL A LAS FAMILIAS DE VARIAS LOCALIDADES, PARA RELOCALIZACIÓN DE HOGARES LOCALIZADOS EN ZONAS DE ALTO RIESGO NO MITIGABLE ID:2013-Q10-00548, LOCALIDAD:04 SAN CRISTÓBAL, UPZ:51 LOS LIBERTADORES, SECTOR:QUEBRADA VEREJONES</v>
          </cell>
          <cell r="R1977">
            <v>3201695</v>
          </cell>
          <cell r="S1977">
            <v>457385</v>
          </cell>
          <cell r="T1977">
            <v>0</v>
          </cell>
          <cell r="U1977">
            <v>2744310</v>
          </cell>
          <cell r="V1977">
            <v>2744310</v>
          </cell>
        </row>
        <row r="1978">
          <cell r="J1978">
            <v>1349</v>
          </cell>
          <cell r="K1978">
            <v>43145</v>
          </cell>
          <cell r="L1978" t="str">
            <v>NELSON  GALEANO CORZO</v>
          </cell>
          <cell r="M1978">
            <v>31</v>
          </cell>
          <cell r="N1978" t="str">
            <v>RESOLUCION</v>
          </cell>
          <cell r="O1978">
            <v>1179</v>
          </cell>
          <cell r="P1978">
            <v>43145</v>
          </cell>
          <cell r="Q1978" t="str">
            <v>AYUDA TEMPORAL A LAS FAMILIAS DE VARIAS LOCALIDADES, PARA RELOCALIZACIÓN DE HOGARES LOCALIZADOS EN ZONAS DE ALTO RIESGO NO MITIGABLE ID:2013-Q05-00054, LOCALIDAD:19 CIUDAD BOLÍVAR, UPZ:68 EL TESORO, SECTOR:QUEBRADA GALINDO</v>
          </cell>
          <cell r="R1978">
            <v>2596764</v>
          </cell>
          <cell r="S1978">
            <v>649191</v>
          </cell>
          <cell r="T1978">
            <v>0</v>
          </cell>
          <cell r="U1978">
            <v>1947573</v>
          </cell>
          <cell r="V1978">
            <v>1947573</v>
          </cell>
        </row>
        <row r="1979">
          <cell r="J1979">
            <v>1350</v>
          </cell>
          <cell r="K1979">
            <v>43145</v>
          </cell>
          <cell r="L1979" t="str">
            <v>ARCESIO  CANIZALEZ SOTO</v>
          </cell>
          <cell r="M1979">
            <v>31</v>
          </cell>
          <cell r="N1979" t="str">
            <v>RESOLUCION</v>
          </cell>
          <cell r="O1979">
            <v>1183</v>
          </cell>
          <cell r="P1979">
            <v>43145</v>
          </cell>
          <cell r="Q1979" t="str">
            <v>AYUDA TEMPORAL A LAS FAMILIAS DE VARIAS LOCALIDADES, PARA RELOCALIZACIÓN DE HOGARES LOCALIZADOS EN ZONAS DE ALTO RIESGO NO MITIGABLE ID:2016-08-14914, LOCALIDAD:08 KENNEDY, UPZ:82 PATIO BONITO, SECTOR:PALMITAS</v>
          </cell>
          <cell r="R1979">
            <v>4986969</v>
          </cell>
          <cell r="S1979">
            <v>0</v>
          </cell>
          <cell r="T1979">
            <v>0</v>
          </cell>
          <cell r="U1979">
            <v>4986969</v>
          </cell>
          <cell r="V1979">
            <v>3068904</v>
          </cell>
        </row>
        <row r="1980">
          <cell r="J1980">
            <v>1351</v>
          </cell>
          <cell r="K1980">
            <v>43145</v>
          </cell>
          <cell r="L1980" t="str">
            <v>JOSE ANTONIO GRIMALDO BONILLA</v>
          </cell>
          <cell r="M1980">
            <v>31</v>
          </cell>
          <cell r="N1980" t="str">
            <v>RESOLUCION</v>
          </cell>
          <cell r="O1980">
            <v>1174</v>
          </cell>
          <cell r="P1980">
            <v>43145</v>
          </cell>
          <cell r="Q1980" t="str">
            <v>AYUDA TEMPORAL A LAS FAMILIAS DE VARIAS LOCALIDADES, PARA RELOCALIZACIÓN DE HOGARES LOCALIZADOS EN ZONAS DE ALTO RIESGO NO MITIGABLE ID:2016-08-14892, LOCALIDAD:08 KENNEDY, UPZ:82 PATIO BONITO, SECTOR:PALMITAS</v>
          </cell>
          <cell r="R1980">
            <v>6722183</v>
          </cell>
          <cell r="S1980">
            <v>0</v>
          </cell>
          <cell r="T1980">
            <v>0</v>
          </cell>
          <cell r="U1980">
            <v>6722183</v>
          </cell>
          <cell r="V1980">
            <v>4136728</v>
          </cell>
        </row>
        <row r="1981">
          <cell r="J1981">
            <v>1352</v>
          </cell>
          <cell r="K1981">
            <v>43145</v>
          </cell>
          <cell r="L1981" t="str">
            <v>JOSE MIYER CHIRIPUA GARCIA</v>
          </cell>
          <cell r="M1981">
            <v>31</v>
          </cell>
          <cell r="N1981" t="str">
            <v>RESOLUCION</v>
          </cell>
          <cell r="O1981">
            <v>1175</v>
          </cell>
          <cell r="P1981">
            <v>43145</v>
          </cell>
          <cell r="Q1981" t="str">
            <v>AYUDA TEMPORAL A LAS FAMILIAS DE VARIAS LOCALIDADES, PARA RELOCALIZACIÓN DE HOGARES LOCALIZADOS EN ZONAS DE ALTO RIESGO NO MITIGABLE ID:2014-W166-025, LOCALIDAD:19 CIUDAD BOLÍVAR, UPZ:67 LUCERO, SECTOR:WOUNAAN</v>
          </cell>
          <cell r="R1981">
            <v>4795154</v>
          </cell>
          <cell r="S1981">
            <v>0</v>
          </cell>
          <cell r="T1981">
            <v>0</v>
          </cell>
          <cell r="U1981">
            <v>4795154</v>
          </cell>
          <cell r="V1981">
            <v>2950864</v>
          </cell>
        </row>
        <row r="1982">
          <cell r="J1982">
            <v>1353</v>
          </cell>
          <cell r="K1982">
            <v>43145</v>
          </cell>
          <cell r="L1982" t="str">
            <v>ORLANDO  OCHOA MOSUCA</v>
          </cell>
          <cell r="M1982">
            <v>31</v>
          </cell>
          <cell r="N1982" t="str">
            <v>RESOLUCION</v>
          </cell>
          <cell r="O1982">
            <v>1176</v>
          </cell>
          <cell r="P1982">
            <v>43145</v>
          </cell>
          <cell r="Q1982" t="str">
            <v>AYUDA TEMPORAL A LAS FAMILIAS DE VARIAS LOCALIDADES, PARA RELOCALIZACIÓN DE HOGARES LOCALIZADOS EN ZONAS DE ALTO RIESGO NO MITIGABLE ID:2013-Q04-00517, LOCALIDAD:19 CIUDAD BOLÍVAR, UPZ:67 LUCERO, SECTOR:PEÑA COLORADA</v>
          </cell>
          <cell r="R1982">
            <v>3150049</v>
          </cell>
          <cell r="S1982">
            <v>450007</v>
          </cell>
          <cell r="T1982">
            <v>0</v>
          </cell>
          <cell r="U1982">
            <v>2700042</v>
          </cell>
          <cell r="V1982">
            <v>2700042</v>
          </cell>
        </row>
        <row r="1983">
          <cell r="J1983">
            <v>1354</v>
          </cell>
          <cell r="K1983">
            <v>43145</v>
          </cell>
          <cell r="L1983" t="str">
            <v>NELSON RODRIGUEZ MONTOYA</v>
          </cell>
          <cell r="M1983">
            <v>31</v>
          </cell>
          <cell r="N1983" t="str">
            <v>RESOLUCION</v>
          </cell>
          <cell r="O1983">
            <v>1184</v>
          </cell>
          <cell r="P1983">
            <v>43145</v>
          </cell>
          <cell r="Q1983" t="str">
            <v>AYUDA TEMPORAL A LAS FAMILIAS DE VARIAS LOCALIDADES, PARA RELOCALIZACIÓN DE HOGARES LOCALIZADOS EN ZONAS DE ALTO RIESGO NO MITIGABLE ID:2014-Q09-01189, LOCALIDAD:19 CIUDAD BOLÍVAR, UPZ:67 LUCERO, SECTOR:QUEBRADA TROMPETA</v>
          </cell>
          <cell r="R1983">
            <v>3247524</v>
          </cell>
          <cell r="S1983">
            <v>541254</v>
          </cell>
          <cell r="T1983">
            <v>0</v>
          </cell>
          <cell r="U1983">
            <v>2706270</v>
          </cell>
          <cell r="V1983">
            <v>2706270</v>
          </cell>
        </row>
        <row r="1984">
          <cell r="J1984">
            <v>1355</v>
          </cell>
          <cell r="K1984">
            <v>43145</v>
          </cell>
          <cell r="L1984" t="str">
            <v>JOSE BRANDON TELLO NARANJO</v>
          </cell>
          <cell r="M1984">
            <v>31</v>
          </cell>
          <cell r="N1984" t="str">
            <v>RESOLUCION</v>
          </cell>
          <cell r="O1984">
            <v>1094</v>
          </cell>
          <cell r="P1984">
            <v>43145</v>
          </cell>
          <cell r="Q1984" t="str">
            <v>Asignacion del instrumento financiero a las familias ocupantes del predio que hayan superado la fase de verificacion dentro  del marco del Decreto 457 de 2017. LOCALIDAD: KENNEDY; BARRIO: VEREDITAS; ID: 2017-8-383655</v>
          </cell>
          <cell r="R1984">
            <v>54686940</v>
          </cell>
          <cell r="S1984">
            <v>0</v>
          </cell>
          <cell r="T1984">
            <v>0</v>
          </cell>
          <cell r="U1984">
            <v>54686940</v>
          </cell>
          <cell r="V1984">
            <v>54686940</v>
          </cell>
        </row>
        <row r="1985">
          <cell r="J1985">
            <v>1356</v>
          </cell>
          <cell r="K1985">
            <v>43146</v>
          </cell>
          <cell r="L1985" t="str">
            <v>YEISON ALEXANDER CHAPARRO ANGULO</v>
          </cell>
          <cell r="M1985">
            <v>31</v>
          </cell>
          <cell r="N1985" t="str">
            <v>RESOLUCION</v>
          </cell>
          <cell r="O1985">
            <v>1180</v>
          </cell>
          <cell r="P1985">
            <v>43146</v>
          </cell>
          <cell r="Q1985" t="str">
            <v>AYUDA TEMPORAL A LAS FAMILIAS DE VARIAS LOCALIDADES, PARA RELOCALIZACIÓN DE HOGARES LOCALIZADOS EN ZONAS DE ALTO RIESGO NO MITIGABLE ID:2011-5-13065, LOCALIDAD:05 USME, UPZ:56 DANUBIO.</v>
          </cell>
          <cell r="R1985">
            <v>3769724</v>
          </cell>
          <cell r="S1985">
            <v>538532</v>
          </cell>
          <cell r="T1985">
            <v>0</v>
          </cell>
          <cell r="U1985">
            <v>3231192</v>
          </cell>
          <cell r="V1985">
            <v>3231192</v>
          </cell>
        </row>
        <row r="1986">
          <cell r="J1986">
            <v>1357</v>
          </cell>
          <cell r="K1986">
            <v>43146</v>
          </cell>
          <cell r="L1986" t="str">
            <v>MARTHA CECILIA DIAZ DIAZ</v>
          </cell>
          <cell r="M1986">
            <v>31</v>
          </cell>
          <cell r="N1986" t="str">
            <v>RESOLUCION</v>
          </cell>
          <cell r="O1986">
            <v>1181</v>
          </cell>
          <cell r="P1986">
            <v>43146</v>
          </cell>
          <cell r="Q1986" t="str">
            <v>AYUDA TEMPORAL A LAS FAMILIAS DE VARIAS LOCALIDADES, PARA RELOCALIZACIÓN DE HOGARES LOCALIZADOS EN ZONAS DE ALTO RIESGO NO MITIGABLE ID:2015-D227-00015, LOCALIDAD:04 SAN CRISTÓBAL, UPZ:51 LOS LIBERTADORES, SECTOR:SANTA TERESITA</v>
          </cell>
          <cell r="R1986">
            <v>3865040</v>
          </cell>
          <cell r="S1986">
            <v>0</v>
          </cell>
          <cell r="T1986">
            <v>0</v>
          </cell>
          <cell r="U1986">
            <v>3865040</v>
          </cell>
          <cell r="V1986">
            <v>3381910</v>
          </cell>
        </row>
        <row r="1987">
          <cell r="J1987">
            <v>1358</v>
          </cell>
          <cell r="K1987">
            <v>43146</v>
          </cell>
          <cell r="L1987" t="str">
            <v>JUAN FRANCISCO ORTIZ REYES</v>
          </cell>
          <cell r="M1987">
            <v>31</v>
          </cell>
          <cell r="N1987" t="str">
            <v>RESOLUCION</v>
          </cell>
          <cell r="O1987">
            <v>1182</v>
          </cell>
          <cell r="P1987">
            <v>43146</v>
          </cell>
          <cell r="Q1987" t="str">
            <v>AYUDA TEMPORAL A LAS FAMILIAS DE VARIAS LOCALIDADES, PARA RELOCALIZACIÓN DE HOGARES LOCALIZADOS EN ZONAS DE ALTO RIESGO NO MITIGABLE ID:2014-Q09-00906, LOCALIDAD:19 CIUDAD BOLÍVAR, UPZ:67 LUCERO, SECTOR:QUEBRADA TROMPETA</v>
          </cell>
          <cell r="R1987">
            <v>5276661</v>
          </cell>
          <cell r="S1987">
            <v>0</v>
          </cell>
          <cell r="T1987">
            <v>0</v>
          </cell>
          <cell r="U1987">
            <v>5276661</v>
          </cell>
          <cell r="V1987">
            <v>2435382</v>
          </cell>
        </row>
        <row r="1988">
          <cell r="J1988">
            <v>1361</v>
          </cell>
          <cell r="K1988">
            <v>43146</v>
          </cell>
          <cell r="L1988" t="str">
            <v>ROSARIO  JANSASOY AGREDA</v>
          </cell>
          <cell r="M1988">
            <v>31</v>
          </cell>
          <cell r="N1988" t="str">
            <v>RESOLUCION</v>
          </cell>
          <cell r="O1988">
            <v>1266</v>
          </cell>
          <cell r="P1988">
            <v>43146</v>
          </cell>
          <cell r="Q1988" t="str">
            <v>VUR de la actual vigencia de acuerdo con el Decreto 255 de 2013. LOCALIDAD:CIUDAD BOLIVAR; BARRIO:LA CUMBRE 8 DE DICEMBRE; ID: 2014-LC-00814.</v>
          </cell>
          <cell r="R1988">
            <v>39062100</v>
          </cell>
          <cell r="S1988">
            <v>0</v>
          </cell>
          <cell r="T1988">
            <v>0</v>
          </cell>
          <cell r="U1988">
            <v>39062100</v>
          </cell>
          <cell r="V1988">
            <v>39062100</v>
          </cell>
        </row>
        <row r="1989">
          <cell r="J1989">
            <v>1363</v>
          </cell>
          <cell r="K1989">
            <v>43147</v>
          </cell>
          <cell r="L1989" t="str">
            <v>SANDRA MILENA CASTRO MORA</v>
          </cell>
          <cell r="M1989">
            <v>31</v>
          </cell>
          <cell r="N1989" t="str">
            <v>RESOLUCION</v>
          </cell>
          <cell r="O1989">
            <v>1274</v>
          </cell>
          <cell r="P1989">
            <v>43147</v>
          </cell>
          <cell r="Q1989" t="str">
            <v>Asignacion del instrumento financiero a las familias ocupantes del predio que hayan superado la fase de verificacion dentro  del marco del Decreto 457 de 2017. LOCALIDAD: KENNEDY; BARRIO: VEREDITAS; ID: 2018-8-383902.</v>
          </cell>
          <cell r="R1989">
            <v>54686940</v>
          </cell>
          <cell r="S1989">
            <v>0</v>
          </cell>
          <cell r="T1989">
            <v>0</v>
          </cell>
          <cell r="U1989">
            <v>54686940</v>
          </cell>
          <cell r="V1989">
            <v>54686940</v>
          </cell>
        </row>
        <row r="1990">
          <cell r="J1990">
            <v>1364</v>
          </cell>
          <cell r="K1990">
            <v>43147</v>
          </cell>
          <cell r="L1990" t="str">
            <v>MARIA CLEOTILDE CARO TOVAR</v>
          </cell>
          <cell r="M1990">
            <v>31</v>
          </cell>
          <cell r="N1990" t="str">
            <v>RESOLUCION</v>
          </cell>
          <cell r="O1990">
            <v>1275</v>
          </cell>
          <cell r="P1990">
            <v>43147</v>
          </cell>
          <cell r="Q1990" t="str">
            <v>Asignacion del instrumento financiero a las familias ocupantes del predio que hayan superado la fase de verificacion dentro  del marco del Decreto 457 de 2017. LOCALIDAD: KENNEDY; BARRIO: VEREDITAS; ID: 2017-8-383704</v>
          </cell>
          <cell r="R1990">
            <v>54686940</v>
          </cell>
          <cell r="S1990">
            <v>0</v>
          </cell>
          <cell r="T1990">
            <v>0</v>
          </cell>
          <cell r="U1990">
            <v>54686940</v>
          </cell>
          <cell r="V1990">
            <v>54686940</v>
          </cell>
        </row>
        <row r="1991">
          <cell r="J1991">
            <v>1365</v>
          </cell>
          <cell r="K1991">
            <v>43147</v>
          </cell>
          <cell r="L1991" t="str">
            <v>LUIS ALBERTO CERON ESPINOSA</v>
          </cell>
          <cell r="M1991">
            <v>31</v>
          </cell>
          <cell r="N1991" t="str">
            <v>RESOLUCION</v>
          </cell>
          <cell r="O1991">
            <v>1277</v>
          </cell>
          <cell r="P1991">
            <v>43147</v>
          </cell>
          <cell r="Q1991" t="str">
            <v>Asignacion del instrumento financiero a las familias ocupantes del predio que hayan superado la fase de verificacion dentro  del marco del Decreto 457 de 2017. LOCALIDAD: KENNEDY; BARRIO: VEREDITAS; ID: 2018-8-383905</v>
          </cell>
          <cell r="R1991">
            <v>54686940</v>
          </cell>
          <cell r="S1991">
            <v>0</v>
          </cell>
          <cell r="T1991">
            <v>0</v>
          </cell>
          <cell r="U1991">
            <v>54686940</v>
          </cell>
          <cell r="V1991">
            <v>54686940</v>
          </cell>
        </row>
        <row r="1992">
          <cell r="J1992">
            <v>1366</v>
          </cell>
          <cell r="K1992">
            <v>43147</v>
          </cell>
          <cell r="L1992" t="str">
            <v>MARIA ALEJANDRA ESPINOSA PASCUAS</v>
          </cell>
          <cell r="M1992">
            <v>31</v>
          </cell>
          <cell r="N1992" t="str">
            <v>RESOLUCION</v>
          </cell>
          <cell r="O1992">
            <v>1276</v>
          </cell>
          <cell r="P1992">
            <v>43147</v>
          </cell>
          <cell r="Q1992" t="str">
            <v>Asignacion del instrumento financiero a las familias ocupantes del predio que hayan superado la fase de verificacion dentro  del marco del Decreto 457 de 2017. LOCALIDAD: KENNEDY; BARRIO: VEREDITAS; ID: 2018-8-383921.</v>
          </cell>
          <cell r="R1992">
            <v>54686940</v>
          </cell>
          <cell r="S1992">
            <v>0</v>
          </cell>
          <cell r="T1992">
            <v>0</v>
          </cell>
          <cell r="U1992">
            <v>54686940</v>
          </cell>
          <cell r="V1992">
            <v>54686940</v>
          </cell>
        </row>
        <row r="1993">
          <cell r="J1993">
            <v>1367</v>
          </cell>
          <cell r="K1993">
            <v>43147</v>
          </cell>
          <cell r="L1993" t="str">
            <v>NIDIA JOHANA JIMENEZ CASTELLANOS</v>
          </cell>
          <cell r="M1993">
            <v>31</v>
          </cell>
          <cell r="N1993" t="str">
            <v>RESOLUCION</v>
          </cell>
          <cell r="O1993">
            <v>1269</v>
          </cell>
          <cell r="P1993">
            <v>43147</v>
          </cell>
          <cell r="Q1993" t="str">
            <v>Asignacion del instrumento financiero a las familias ocupantes del predio que hayan superado la fase de verificacion dentro  del marco del Decreto 457 de 2017. LOCALIDAD: KENNEDY; BARRIO: VEREDITAS; ID: 2017-8-383736</v>
          </cell>
          <cell r="R1993">
            <v>54686940</v>
          </cell>
          <cell r="S1993">
            <v>0</v>
          </cell>
          <cell r="T1993">
            <v>0</v>
          </cell>
          <cell r="U1993">
            <v>54686940</v>
          </cell>
          <cell r="V1993">
            <v>54686940</v>
          </cell>
        </row>
        <row r="1994">
          <cell r="J1994">
            <v>1368</v>
          </cell>
          <cell r="K1994">
            <v>43147</v>
          </cell>
          <cell r="L1994" t="str">
            <v>LEYDI CAROLINA ARIZA CAMACHO</v>
          </cell>
          <cell r="M1994">
            <v>31</v>
          </cell>
          <cell r="N1994" t="str">
            <v>RESOLUCION</v>
          </cell>
          <cell r="O1994">
            <v>1272</v>
          </cell>
          <cell r="P1994">
            <v>43147</v>
          </cell>
          <cell r="Q1994" t="str">
            <v>Asignacion del instrumento financiero a las familias ocupantes del predio que hayan superado la fase de verificacion dentro  del marco del Decreto 457 de 2017. LOCALIDAD: KENNEDY; BARRIO: VEREDITAS; ID: 2018-8-383916.</v>
          </cell>
          <cell r="R1994">
            <v>54686940</v>
          </cell>
          <cell r="S1994">
            <v>0</v>
          </cell>
          <cell r="T1994">
            <v>0</v>
          </cell>
          <cell r="U1994">
            <v>54686940</v>
          </cell>
          <cell r="V1994">
            <v>54686940</v>
          </cell>
        </row>
        <row r="1995">
          <cell r="J1995">
            <v>1369</v>
          </cell>
          <cell r="K1995">
            <v>43147</v>
          </cell>
          <cell r="L1995" t="str">
            <v>JHON ALEXANDER OROZCO CHITIVA</v>
          </cell>
          <cell r="M1995">
            <v>31</v>
          </cell>
          <cell r="N1995" t="str">
            <v>RESOLUCION</v>
          </cell>
          <cell r="O1995">
            <v>1268</v>
          </cell>
          <cell r="P1995">
            <v>43147</v>
          </cell>
          <cell r="Q1995" t="str">
            <v>Asignacion del instrumento financiero a las familias ocupantes del predio que hayan superado la fase de verificacion dentro  del marco del Decreto 457 de 2017. LOCALIDAD: KENNEDY; BARRIO: VEREDITAS; ID: 2018-8-383901</v>
          </cell>
          <cell r="R1995">
            <v>54686940</v>
          </cell>
          <cell r="S1995">
            <v>0</v>
          </cell>
          <cell r="T1995">
            <v>0</v>
          </cell>
          <cell r="U1995">
            <v>54686940</v>
          </cell>
          <cell r="V1995">
            <v>54686940</v>
          </cell>
        </row>
        <row r="1996">
          <cell r="J1996">
            <v>1370</v>
          </cell>
          <cell r="K1996">
            <v>43147</v>
          </cell>
          <cell r="L1996" t="str">
            <v>DANIEL  BARRERA MORENO</v>
          </cell>
          <cell r="M1996">
            <v>31</v>
          </cell>
          <cell r="N1996" t="str">
            <v>RESOLUCION</v>
          </cell>
          <cell r="O1996">
            <v>1270</v>
          </cell>
          <cell r="P1996">
            <v>43147</v>
          </cell>
          <cell r="Q1996" t="str">
            <v>Asignacion del instrumento financiero a las familias ocupantes del predio que hayan superado la fase de verificacion dentro  del marco del Decreto 457 de 2017. LOCALIDAD: KENNEDY; BARRIO: VEREDITAS; ID: 2018-8-383911</v>
          </cell>
          <cell r="R1996">
            <v>54686940</v>
          </cell>
          <cell r="S1996">
            <v>0</v>
          </cell>
          <cell r="T1996">
            <v>0</v>
          </cell>
          <cell r="U1996">
            <v>54686940</v>
          </cell>
          <cell r="V1996">
            <v>54686940</v>
          </cell>
        </row>
        <row r="1997">
          <cell r="J1997">
            <v>1371</v>
          </cell>
          <cell r="K1997">
            <v>43147</v>
          </cell>
          <cell r="L1997" t="str">
            <v>ROSA JULIA CHITIVA PABON</v>
          </cell>
          <cell r="M1997">
            <v>31</v>
          </cell>
          <cell r="N1997" t="str">
            <v>RESOLUCION</v>
          </cell>
          <cell r="O1997">
            <v>1273</v>
          </cell>
          <cell r="P1997">
            <v>43147</v>
          </cell>
          <cell r="Q1997" t="str">
            <v>Asignacion del instrumento financiero a las familias ocupantes del predio que hayan superado la fase de verificacion dentro  del marco del Decreto 457 de 2017. LOCALIDAD: KENNEDY; BARRIO: VEREDITAS; ID: 2017-8-383691</v>
          </cell>
          <cell r="R1997">
            <v>54686940</v>
          </cell>
          <cell r="S1997">
            <v>0</v>
          </cell>
          <cell r="T1997">
            <v>0</v>
          </cell>
          <cell r="U1997">
            <v>54686940</v>
          </cell>
          <cell r="V1997">
            <v>54686940</v>
          </cell>
        </row>
        <row r="1998">
          <cell r="J1998">
            <v>1372</v>
          </cell>
          <cell r="K1998">
            <v>43147</v>
          </cell>
          <cell r="L1998" t="str">
            <v>MANUEL FERNANDO GAMBA MARTINEZ</v>
          </cell>
          <cell r="M1998">
            <v>31</v>
          </cell>
          <cell r="N1998" t="str">
            <v>RESOLUCION</v>
          </cell>
          <cell r="O1998">
            <v>1271</v>
          </cell>
          <cell r="P1998">
            <v>43147</v>
          </cell>
          <cell r="Q1998" t="str">
            <v>Asignacion del instrumento financiero a las familias ocupantes del predio que hayan superado la fase de verificacion dentro  del marco del Decreto 457 de 2017. LOCALIDAD: KENNEDY; BARRIO: VEREDITAS; ID: 2018-8-383914</v>
          </cell>
          <cell r="R1998">
            <v>54686940</v>
          </cell>
          <cell r="S1998">
            <v>0</v>
          </cell>
          <cell r="T1998">
            <v>0</v>
          </cell>
          <cell r="U1998">
            <v>54686940</v>
          </cell>
          <cell r="V1998">
            <v>54686940</v>
          </cell>
        </row>
        <row r="1999">
          <cell r="J1999">
            <v>1373</v>
          </cell>
          <cell r="K1999">
            <v>43147</v>
          </cell>
          <cell r="L1999" t="str">
            <v>MARTHA EDITH VALDEZ CORTES</v>
          </cell>
          <cell r="M1999">
            <v>31</v>
          </cell>
          <cell r="N1999" t="str">
            <v>RESOLUCION</v>
          </cell>
          <cell r="O1999">
            <v>1279</v>
          </cell>
          <cell r="P1999">
            <v>43147</v>
          </cell>
          <cell r="Q1999" t="str">
            <v>Asignacion del instrumento financiero a las familias ocupantes del predio que hayan superado la fase de verificacion dentro  del marco del Decreto 457 de 2017. LOCALIDAD: KENNEDY; BARRIO: VEREDITAS; ID: 2017-8-383752</v>
          </cell>
          <cell r="R1999">
            <v>54686940</v>
          </cell>
          <cell r="S1999">
            <v>0</v>
          </cell>
          <cell r="T1999">
            <v>0</v>
          </cell>
          <cell r="U1999">
            <v>54686940</v>
          </cell>
          <cell r="V1999">
            <v>54686940</v>
          </cell>
        </row>
        <row r="2000">
          <cell r="J2000">
            <v>1374</v>
          </cell>
          <cell r="K2000">
            <v>43147</v>
          </cell>
          <cell r="L2000" t="str">
            <v>JAIRO  CASTRO MORA</v>
          </cell>
          <cell r="M2000">
            <v>31</v>
          </cell>
          <cell r="N2000" t="str">
            <v>RESOLUCION</v>
          </cell>
          <cell r="O2000">
            <v>1278</v>
          </cell>
          <cell r="P2000">
            <v>43147</v>
          </cell>
          <cell r="Q2000" t="str">
            <v>Asignacion del instrumento financiero a las familias ocupantes del predio que hayan superado la fase de verificacion dentro  del marco del Decreto 457 de 2017. LOCALIDAD: KENNEDY; BARRIO: VEREDITAS; ID: 2018-8-383903</v>
          </cell>
          <cell r="R2000">
            <v>54686940</v>
          </cell>
          <cell r="S2000">
            <v>0</v>
          </cell>
          <cell r="T2000">
            <v>0</v>
          </cell>
          <cell r="U2000">
            <v>54686940</v>
          </cell>
          <cell r="V2000">
            <v>54686940</v>
          </cell>
        </row>
        <row r="2001">
          <cell r="J2001">
            <v>1375</v>
          </cell>
          <cell r="K2001">
            <v>43147</v>
          </cell>
          <cell r="L2001" t="str">
            <v>LUISA FERNANDA MAHECHA MORENO</v>
          </cell>
          <cell r="M2001">
            <v>31</v>
          </cell>
          <cell r="N2001" t="str">
            <v>RESOLUCION</v>
          </cell>
          <cell r="O2001">
            <v>1283</v>
          </cell>
          <cell r="P2001">
            <v>43147</v>
          </cell>
          <cell r="Q2001" t="str">
            <v>Asignacion del instrumento financiero a las familias ocupantes del predio que hayan superado la fase de verificacion dentro  del marco del Decreto 457 de 2017. LOCALIDAD: KENNEDY; BARRIO: VEREDITAS; ID: 2018-8-383930</v>
          </cell>
          <cell r="R2001">
            <v>54686940</v>
          </cell>
          <cell r="S2001">
            <v>0</v>
          </cell>
          <cell r="T2001">
            <v>0</v>
          </cell>
          <cell r="U2001">
            <v>54686940</v>
          </cell>
          <cell r="V2001">
            <v>54686940</v>
          </cell>
        </row>
        <row r="2002">
          <cell r="J2002">
            <v>1376</v>
          </cell>
          <cell r="K2002">
            <v>43147</v>
          </cell>
          <cell r="L2002" t="str">
            <v>VICTOR LEONARDO CERON ESPINOSA</v>
          </cell>
          <cell r="M2002">
            <v>31</v>
          </cell>
          <cell r="N2002" t="str">
            <v>RESOLUCION</v>
          </cell>
          <cell r="O2002">
            <v>1282</v>
          </cell>
          <cell r="P2002">
            <v>43147</v>
          </cell>
          <cell r="Q2002" t="str">
            <v>Asignacion del instrumento financiero a las familias ocupantes del predio que hayan superado la fase de verificacion dentro  del marco del Decreto 457 de 2017. LOCALIDAD: KENNEDY; BARRIO: VEREDITAS; ID: 2018-8-383920</v>
          </cell>
          <cell r="R2002">
            <v>54686940</v>
          </cell>
          <cell r="S2002">
            <v>0</v>
          </cell>
          <cell r="T2002">
            <v>0</v>
          </cell>
          <cell r="U2002">
            <v>54686940</v>
          </cell>
          <cell r="V2002">
            <v>54686940</v>
          </cell>
        </row>
        <row r="2003">
          <cell r="J2003">
            <v>1377</v>
          </cell>
          <cell r="K2003">
            <v>43147</v>
          </cell>
          <cell r="L2003" t="str">
            <v>JOSE DAVID RODRIGUEZ VALDES</v>
          </cell>
          <cell r="M2003">
            <v>31</v>
          </cell>
          <cell r="N2003" t="str">
            <v>RESOLUCION</v>
          </cell>
          <cell r="O2003">
            <v>1281</v>
          </cell>
          <cell r="P2003">
            <v>43147</v>
          </cell>
          <cell r="Q2003" t="str">
            <v>Asignacion del instrumento financiero a las familias ocupantes del predio que hayan superado la fase de verificacion dentro  del marco del Decreto 457 de 2017. LOCALIDAD: KENNEDY; BARRIO: VEREDITAS; ID: 2018-8-383912.</v>
          </cell>
          <cell r="R2003">
            <v>54686940</v>
          </cell>
          <cell r="S2003">
            <v>0</v>
          </cell>
          <cell r="T2003">
            <v>0</v>
          </cell>
          <cell r="U2003">
            <v>54686940</v>
          </cell>
          <cell r="V2003">
            <v>54686940</v>
          </cell>
        </row>
        <row r="2004">
          <cell r="J2004">
            <v>1381</v>
          </cell>
          <cell r="K2004">
            <v>43150</v>
          </cell>
          <cell r="L2004" t="str">
            <v>RUBIELA  LEON OBANDO</v>
          </cell>
          <cell r="M2004">
            <v>31</v>
          </cell>
          <cell r="N2004" t="str">
            <v>RESOLUCION</v>
          </cell>
          <cell r="O2004">
            <v>1284</v>
          </cell>
          <cell r="P2004">
            <v>43150</v>
          </cell>
          <cell r="Q2004" t="str">
            <v>Asignacion del instrumento financiero a las familias ocupantes del predio que hayan superado la fase de verificacion dentro  del marco del Decreto 457 de 2017. LOCALIDAD: KENNEDY; BARRIO: VEREDITAS; ID: 2017-8-383607</v>
          </cell>
          <cell r="R2004">
            <v>54686940</v>
          </cell>
          <cell r="S2004">
            <v>0</v>
          </cell>
          <cell r="T2004">
            <v>0</v>
          </cell>
          <cell r="U2004">
            <v>54686940</v>
          </cell>
          <cell r="V2004">
            <v>54686940</v>
          </cell>
        </row>
        <row r="2005">
          <cell r="J2005">
            <v>1382</v>
          </cell>
          <cell r="K2005">
            <v>43150</v>
          </cell>
          <cell r="L2005" t="str">
            <v>EDWIN  PATIÑO LEON</v>
          </cell>
          <cell r="M2005">
            <v>31</v>
          </cell>
          <cell r="N2005" t="str">
            <v>RESOLUCION</v>
          </cell>
          <cell r="O2005">
            <v>1285</v>
          </cell>
          <cell r="P2005">
            <v>43150</v>
          </cell>
          <cell r="Q2005" t="str">
            <v>Asignacion del instrumento financiero a las familias ocupantes del predio que hayan superado la fase de verificacion dentro  del marco del Decreto 457 de 2017. LOCALIDAD: KENNEDY; BARRIO: VEREDITAS; ID: 2017-8-383615</v>
          </cell>
          <cell r="R2005">
            <v>54686940</v>
          </cell>
          <cell r="S2005">
            <v>0</v>
          </cell>
          <cell r="T2005">
            <v>0</v>
          </cell>
          <cell r="U2005">
            <v>54686940</v>
          </cell>
          <cell r="V2005">
            <v>54686940</v>
          </cell>
        </row>
        <row r="2006">
          <cell r="J2006">
            <v>1383</v>
          </cell>
          <cell r="K2006">
            <v>43150</v>
          </cell>
          <cell r="L2006" t="str">
            <v>CAROLINA  NOPE ARIAS</v>
          </cell>
          <cell r="M2006">
            <v>31</v>
          </cell>
          <cell r="N2006" t="str">
            <v>RESOLUCION</v>
          </cell>
          <cell r="O2006">
            <v>1280</v>
          </cell>
          <cell r="P2006">
            <v>43150</v>
          </cell>
          <cell r="Q2006" t="str">
            <v>ASIGNACION DEL INSTRUMENTO FINANCIERO A LAS FAMILIAS OCUPANTES DEL PREDIO QUE HAYAN SUPERADO LA FASE DE VERIFICACION; DENTRO DEL MARCO DELDECRETO 457 DE 2017. LOCALIDAD: KENNEDY; BARRIO: VEREDITAS; ID: 2018-8-15013 - CAROLINA NOPE ARIAS, REPRESENTANTE LEGAL DEL BENEFICIARIO ROBERT STEVEN RUSINQUE NOPE CON T.I.  1,001,052,651</v>
          </cell>
          <cell r="R2006">
            <v>54686940</v>
          </cell>
          <cell r="S2006">
            <v>0</v>
          </cell>
          <cell r="T2006">
            <v>0</v>
          </cell>
          <cell r="U2006">
            <v>54686940</v>
          </cell>
          <cell r="V2006">
            <v>54686940</v>
          </cell>
        </row>
        <row r="2007">
          <cell r="J2007">
            <v>1392</v>
          </cell>
          <cell r="K2007">
            <v>43151</v>
          </cell>
          <cell r="L2007" t="str">
            <v>FABIO IVAN ESPITIA GONZALEZ</v>
          </cell>
          <cell r="M2007">
            <v>31</v>
          </cell>
          <cell r="N2007" t="str">
            <v>RESOLUCION</v>
          </cell>
          <cell r="O2007">
            <v>1347</v>
          </cell>
          <cell r="P2007">
            <v>43151</v>
          </cell>
          <cell r="Q2007" t="str">
            <v>AYUDA TEMPORAL A LAS FAMILIAS DE VARIAS LOCALIDADES, PARA RELOCALIZACIÓN DE HOGARES LOCALIZADOS EN ZONAS DE ALTO RIESGO NO MITIGABLE ID:2014-OTR-01128, LOCALIDAD:11 SUBA, UPZ:71 TIBABUYES, SECTOR:GAVILANES</v>
          </cell>
          <cell r="R2007">
            <v>2550450</v>
          </cell>
          <cell r="S2007">
            <v>425075</v>
          </cell>
          <cell r="T2007">
            <v>0</v>
          </cell>
          <cell r="U2007">
            <v>2125375</v>
          </cell>
          <cell r="V2007">
            <v>2125375</v>
          </cell>
        </row>
        <row r="2008">
          <cell r="J2008">
            <v>1393</v>
          </cell>
          <cell r="K2008">
            <v>43151</v>
          </cell>
          <cell r="L2008" t="str">
            <v>CONSUELO DEL CARMEN HERNANDEZ ARCIA</v>
          </cell>
          <cell r="M2008">
            <v>31</v>
          </cell>
          <cell r="N2008" t="str">
            <v>RESOLUCION</v>
          </cell>
          <cell r="O2008">
            <v>1333</v>
          </cell>
          <cell r="P2008">
            <v>43151</v>
          </cell>
          <cell r="Q2008" t="str">
            <v>AYUDA TEMPORAL A LAS FAMILIAS DE VARIAS LOCALIDADES, PARA RELOCALIZACIÓN DE HOGARES LOCALIZADOS EN ZONAS DE ALTO RIESGO NO MITIGABLE ID:2015-Q04-01434, LOCALIDAD:19 CIUDAD BOLÍVAR, UPZ:67 LUCERO, SECTOR:PEÑA COLORADA</v>
          </cell>
          <cell r="R2008">
            <v>2706270</v>
          </cell>
          <cell r="S2008">
            <v>451045</v>
          </cell>
          <cell r="T2008">
            <v>0</v>
          </cell>
          <cell r="U2008">
            <v>2255225</v>
          </cell>
          <cell r="V2008">
            <v>2255225</v>
          </cell>
        </row>
        <row r="2009">
          <cell r="J2009">
            <v>1394</v>
          </cell>
          <cell r="K2009">
            <v>43151</v>
          </cell>
          <cell r="L2009" t="str">
            <v>JOSE ORLANDO GANZO MORALES</v>
          </cell>
          <cell r="M2009">
            <v>31</v>
          </cell>
          <cell r="N2009" t="str">
            <v>RESOLUCION</v>
          </cell>
          <cell r="O2009">
            <v>1334</v>
          </cell>
          <cell r="P2009">
            <v>43151</v>
          </cell>
          <cell r="Q2009" t="str">
            <v>AYUDA TEMPORAL A LAS FAMILIAS DE VARIAS LOCALIDADES, PARA RELOCALIZACIÓN DE HOGARES LOCALIZADOS EN ZONAS DE ALTO RIESGO NO MITIGABLE ID:2011-4-12724, LOCALIDAD:04 SAN CRISTÓBAL, UPZ:32 SAN BLAS</v>
          </cell>
          <cell r="R2009">
            <v>2213148</v>
          </cell>
          <cell r="S2009">
            <v>368858</v>
          </cell>
          <cell r="T2009">
            <v>0</v>
          </cell>
          <cell r="U2009">
            <v>1844290</v>
          </cell>
          <cell r="V2009">
            <v>1844290</v>
          </cell>
        </row>
        <row r="2010">
          <cell r="J2010">
            <v>1395</v>
          </cell>
          <cell r="K2010">
            <v>43151</v>
          </cell>
          <cell r="L2010" t="str">
            <v>ALBA LUCIA PEÑA LINARES</v>
          </cell>
          <cell r="M2010">
            <v>31</v>
          </cell>
          <cell r="N2010" t="str">
            <v>RESOLUCION</v>
          </cell>
          <cell r="O2010">
            <v>1335</v>
          </cell>
          <cell r="P2010">
            <v>43151</v>
          </cell>
          <cell r="Q2010" t="str">
            <v>AYUDA TEMPORAL A LAS FAMILIAS DE VARIAS LOCALIDADES, PARA RELOCALIZACIÓN DE HOGARES LOCALIZADOS EN ZONAS DE ALTO RIESGO NO MITIGABLE ID:2012-T314-09, LOCALIDAD:04 SAN CRISTÓBAL, UPZ:50 LA GLORIA</v>
          </cell>
          <cell r="R2010">
            <v>3054150</v>
          </cell>
          <cell r="S2010">
            <v>509025</v>
          </cell>
          <cell r="T2010">
            <v>0</v>
          </cell>
          <cell r="U2010">
            <v>2545125</v>
          </cell>
          <cell r="V2010">
            <v>2545125</v>
          </cell>
        </row>
        <row r="2011">
          <cell r="J2011">
            <v>1396</v>
          </cell>
          <cell r="K2011">
            <v>43151</v>
          </cell>
          <cell r="L2011" t="str">
            <v>ANA ISABEL FORERO SOTO</v>
          </cell>
          <cell r="M2011">
            <v>31</v>
          </cell>
          <cell r="N2011" t="str">
            <v>RESOLUCION</v>
          </cell>
          <cell r="O2011">
            <v>1336</v>
          </cell>
          <cell r="P2011">
            <v>43151</v>
          </cell>
          <cell r="Q2011" t="str">
            <v>AYUDA TEMPORAL A LAS FAMILIAS DE VARIAS LOCALIDADES, PARA RELOCALIZACIÓN DE HOGARES LOCALIZADOS EN ZONAS DE ALTO RIESGO NO MITIGABLE ID:2014-OTR-00879, LOCALIDAD:03 SANTA FE, UPZ:96 LOURDES, SECTOR:CASA 2</v>
          </cell>
          <cell r="R2011">
            <v>3014166</v>
          </cell>
          <cell r="S2011">
            <v>502361</v>
          </cell>
          <cell r="T2011">
            <v>0</v>
          </cell>
          <cell r="U2011">
            <v>2511805</v>
          </cell>
          <cell r="V2011">
            <v>2511805</v>
          </cell>
        </row>
        <row r="2012">
          <cell r="J2012">
            <v>1397</v>
          </cell>
          <cell r="K2012">
            <v>43151</v>
          </cell>
          <cell r="L2012" t="str">
            <v>MARLENY  MARTINEZ MARTINEZ</v>
          </cell>
          <cell r="M2012">
            <v>31</v>
          </cell>
          <cell r="N2012" t="str">
            <v>RESOLUCION</v>
          </cell>
          <cell r="O2012">
            <v>1337</v>
          </cell>
          <cell r="P2012">
            <v>43151</v>
          </cell>
          <cell r="Q2012" t="str">
            <v>AYUDA TEMPORAL A LAS FAMILIAS DE VARIAS LOCALIDADES, PARA RELOCALIZACIÓN DE HOGARES LOCALIZADOS EN ZONAS DE ALTO RIESGO NO MITIGABLE ID:2011-19-12731, LOCALIDAD:19 CIUDAD BOLÍVAR, UPZ:67 LUCERO, SECTOR:OLA INVERNAL 2010 FOPAE</v>
          </cell>
          <cell r="R2012">
            <v>2301678</v>
          </cell>
          <cell r="S2012">
            <v>383613</v>
          </cell>
          <cell r="T2012">
            <v>0</v>
          </cell>
          <cell r="U2012">
            <v>1918065</v>
          </cell>
          <cell r="V2012">
            <v>1918065</v>
          </cell>
        </row>
        <row r="2013">
          <cell r="J2013">
            <v>1398</v>
          </cell>
          <cell r="K2013">
            <v>43151</v>
          </cell>
          <cell r="L2013" t="str">
            <v>JOSE GUILLERMO ARIZA</v>
          </cell>
          <cell r="M2013">
            <v>31</v>
          </cell>
          <cell r="N2013" t="str">
            <v>RESOLUCION</v>
          </cell>
          <cell r="O2013">
            <v>1338</v>
          </cell>
          <cell r="P2013">
            <v>43151</v>
          </cell>
          <cell r="Q2013" t="str">
            <v>AYUDA TEMPORAL A LAS FAMILIAS DE VARIAS LOCALIDADES, PARA RELOCALIZACIÓN DE HOGARES LOCALIZADOS EN ZONAS DE ALTO RIESGO NO MITIGABLE ID:2011-4-12643, LOCALIDAD:04 SAN CRISTÓBAL, UPZ:32 SAN BLAS</v>
          </cell>
          <cell r="R2013">
            <v>2854338</v>
          </cell>
          <cell r="S2013">
            <v>475723</v>
          </cell>
          <cell r="T2013">
            <v>0</v>
          </cell>
          <cell r="U2013">
            <v>2378615</v>
          </cell>
          <cell r="V2013">
            <v>2378615</v>
          </cell>
        </row>
        <row r="2014">
          <cell r="J2014">
            <v>1399</v>
          </cell>
          <cell r="K2014">
            <v>43151</v>
          </cell>
          <cell r="L2014" t="str">
            <v>VICTOR MANUEL FIGUEROA RAMOS</v>
          </cell>
          <cell r="M2014">
            <v>31</v>
          </cell>
          <cell r="N2014" t="str">
            <v>RESOLUCION</v>
          </cell>
          <cell r="O2014">
            <v>1339</v>
          </cell>
          <cell r="P2014">
            <v>43151</v>
          </cell>
          <cell r="Q2014" t="str">
            <v>AYUDA TEMPORAL A LAS FAMILIAS DE VARIAS LOCALIDADES, PARA RELOCALIZACIÓN DE HOGARES LOCALIZADOS EN ZONAS DE ALTO RIESGO NO MITIGABLE ID:2014-Q03-01043, LOCALIDAD:19 CIUDAD BOLÍVAR, UPZ:66 SAN FRANCISCO, SECTOR:LIMAS</v>
          </cell>
          <cell r="R2014">
            <v>2987262</v>
          </cell>
          <cell r="S2014">
            <v>497877</v>
          </cell>
          <cell r="T2014">
            <v>0</v>
          </cell>
          <cell r="U2014">
            <v>2489385</v>
          </cell>
          <cell r="V2014">
            <v>2489385</v>
          </cell>
        </row>
        <row r="2015">
          <cell r="J2015">
            <v>1400</v>
          </cell>
          <cell r="K2015">
            <v>43151</v>
          </cell>
          <cell r="L2015" t="str">
            <v>JENNY PAOLA CABALLERO TORRES</v>
          </cell>
          <cell r="M2015">
            <v>31</v>
          </cell>
          <cell r="N2015" t="str">
            <v>RESOLUCION</v>
          </cell>
          <cell r="O2015">
            <v>1340</v>
          </cell>
          <cell r="P2015">
            <v>43151</v>
          </cell>
          <cell r="Q2015" t="str">
            <v>AYUDA TEMPORAL A LAS FAMILIAS DE VARIAS LOCALIDADES, PARA RELOCALIZACIÓN DE HOGARES LOCALIZADOS EN ZONAS DE ALTO RIESGO NO MITIGABLE ID:2015-Q03-01432, LOCALIDAD:19 CIUDAD BOLÍVAR, UPZ:66 SAN FRANCISCO, SECTOR:LIMAS</v>
          </cell>
          <cell r="R2015">
            <v>2706270</v>
          </cell>
          <cell r="S2015">
            <v>451045</v>
          </cell>
          <cell r="T2015">
            <v>0</v>
          </cell>
          <cell r="U2015">
            <v>2255225</v>
          </cell>
          <cell r="V2015">
            <v>2255225</v>
          </cell>
        </row>
        <row r="2016">
          <cell r="J2016">
            <v>1401</v>
          </cell>
          <cell r="K2016">
            <v>43151</v>
          </cell>
          <cell r="L2016" t="str">
            <v>MARIA GILMA RAMOS ROLDAN</v>
          </cell>
          <cell r="M2016">
            <v>31</v>
          </cell>
          <cell r="N2016" t="str">
            <v>RESOLUCION</v>
          </cell>
          <cell r="O2016">
            <v>1341</v>
          </cell>
          <cell r="P2016">
            <v>43151</v>
          </cell>
          <cell r="Q2016" t="str">
            <v>AYUDA TEMPORAL A LAS FAMILIAS DE VARIAS LOCALIDADES, PARA RELOCALIZACIÓN DE HOGARES LOCALIZADOS EN ZONAS DE ALTO RIESGO NO MITIGABLE ID:2014-OTR-00900, LOCALIDAD:03 SANTA FE, UPZ:96 LOURDES, SECTOR:CASA 3</v>
          </cell>
          <cell r="R2016">
            <v>2213148</v>
          </cell>
          <cell r="S2016">
            <v>368858</v>
          </cell>
          <cell r="T2016">
            <v>0</v>
          </cell>
          <cell r="U2016">
            <v>1844290</v>
          </cell>
          <cell r="V2016">
            <v>1844290</v>
          </cell>
        </row>
        <row r="2017">
          <cell r="J2017">
            <v>1402</v>
          </cell>
          <cell r="K2017">
            <v>43151</v>
          </cell>
          <cell r="L2017" t="str">
            <v>MARCELINA  VARGAS GONZALEZ</v>
          </cell>
          <cell r="M2017">
            <v>31</v>
          </cell>
          <cell r="N2017" t="str">
            <v>RESOLUCION</v>
          </cell>
          <cell r="O2017">
            <v>1302</v>
          </cell>
          <cell r="P2017">
            <v>43151</v>
          </cell>
          <cell r="Q2017" t="str">
            <v>AYUDA TEMPORAL A LAS FAMILIAS DE VARIAS LOCALIDADES, PARA RELOCALIZACIÓN DE HOGARES LOCALIZADOS EN ZONAS DE ALTO RIESGO NO MITIGABLE ID:2005-19-5791, LOCALIDAD:19 CIUDAD BOLÍVAR, UPZ:67 LUCERO, SECTOR:LIMAS</v>
          </cell>
          <cell r="R2017">
            <v>3054150</v>
          </cell>
          <cell r="S2017">
            <v>3054150</v>
          </cell>
          <cell r="T2017">
            <v>0</v>
          </cell>
          <cell r="U2017">
            <v>0</v>
          </cell>
          <cell r="V2017">
            <v>0</v>
          </cell>
        </row>
        <row r="2018">
          <cell r="J2018">
            <v>1403</v>
          </cell>
          <cell r="K2018">
            <v>43151</v>
          </cell>
          <cell r="L2018" t="str">
            <v>OFELIA  MARTINEZ DE GUTIERREZ</v>
          </cell>
          <cell r="M2018">
            <v>31</v>
          </cell>
          <cell r="N2018" t="str">
            <v>RESOLUCION</v>
          </cell>
          <cell r="O2018">
            <v>1342</v>
          </cell>
          <cell r="P2018">
            <v>43151</v>
          </cell>
          <cell r="Q2018" t="str">
            <v>AYUDA TEMPORAL A LAS FAMILIAS DE VARIAS LOCALIDADES, PARA RELOCALIZACIÓN DE HOGARES LOCALIZADOS EN ZONAS DE ALTO RIESGO NO MITIGABLE ID:2014-LC-00810, LOCALIDAD:19 CIUDAD BOLÍVAR, UPZ:69 ISMAEL PERDOMO</v>
          </cell>
          <cell r="R2018">
            <v>2439360</v>
          </cell>
          <cell r="S2018">
            <v>406560</v>
          </cell>
          <cell r="T2018">
            <v>0</v>
          </cell>
          <cell r="U2018">
            <v>2032800</v>
          </cell>
          <cell r="V2018">
            <v>2032800</v>
          </cell>
        </row>
        <row r="2019">
          <cell r="J2019">
            <v>1404</v>
          </cell>
          <cell r="K2019">
            <v>43151</v>
          </cell>
          <cell r="L2019" t="str">
            <v>ORLANDO  RODRIGUEZ ANZOLA</v>
          </cell>
          <cell r="M2019">
            <v>31</v>
          </cell>
          <cell r="N2019" t="str">
            <v>RESOLUCION</v>
          </cell>
          <cell r="O2019">
            <v>1306</v>
          </cell>
          <cell r="P2019">
            <v>43151</v>
          </cell>
          <cell r="Q2019" t="str">
            <v>AYUDA TEMPORAL A LAS FAMILIAS DE VARIAS LOCALIDADES, PARA RELOCALIZACIÓN DE HOGARES LOCALIZADOS EN ZONAS DE ALTO RIESGO NO MITIGABLE ID:2015-Q03-03362, LOCALIDAD:19 CIUDAD BOLÍVAR, UPZ:67 LUCERO, SECTOR:LIMAS</v>
          </cell>
          <cell r="R2019">
            <v>2655780</v>
          </cell>
          <cell r="S2019">
            <v>442630</v>
          </cell>
          <cell r="T2019">
            <v>0</v>
          </cell>
          <cell r="U2019">
            <v>2213150</v>
          </cell>
          <cell r="V2019">
            <v>2213150</v>
          </cell>
        </row>
        <row r="2020">
          <cell r="J2020">
            <v>1405</v>
          </cell>
          <cell r="K2020">
            <v>43151</v>
          </cell>
          <cell r="L2020" t="str">
            <v>FABIO NELSON BARRAGAN PERILLA</v>
          </cell>
          <cell r="M2020">
            <v>31</v>
          </cell>
          <cell r="N2020" t="str">
            <v>RESOLUCION</v>
          </cell>
          <cell r="O2020">
            <v>1343</v>
          </cell>
          <cell r="P2020">
            <v>43151</v>
          </cell>
          <cell r="Q2020" t="str">
            <v>AYUDA TEMPORAL A LAS FAMILIAS DE VARIAS LOCALIDADES, PARA RELOCALIZACIÓN DE HOGARES LOCALIZADOS EN ZONAS DE ALTO RIESGO NO MITIGABLE ID:2011-4-12644, LOCALIDAD:04 SAN CRISTÓBAL, UPZ:32 SAN BLAS</v>
          </cell>
          <cell r="R2020">
            <v>2899932</v>
          </cell>
          <cell r="S2020">
            <v>483322</v>
          </cell>
          <cell r="T2020">
            <v>0</v>
          </cell>
          <cell r="U2020">
            <v>2416610</v>
          </cell>
          <cell r="V2020">
            <v>2416610</v>
          </cell>
        </row>
        <row r="2021">
          <cell r="J2021">
            <v>1406</v>
          </cell>
          <cell r="K2021">
            <v>43151</v>
          </cell>
          <cell r="L2021" t="str">
            <v>MARYLIN  REALPE CAMACHO</v>
          </cell>
          <cell r="M2021">
            <v>31</v>
          </cell>
          <cell r="N2021" t="str">
            <v>RESOLUCION</v>
          </cell>
          <cell r="O2021">
            <v>1344</v>
          </cell>
          <cell r="P2021">
            <v>43151</v>
          </cell>
          <cell r="Q2021" t="str">
            <v>AYUDA TEMPORAL A LAS FAMILIAS DE VARIAS LOCALIDADES, PARA RELOCALIZACIÓN DE HOGARES LOCALIZADOS EN ZONAS DE ALTO RIESGO NO MITIGABLE ID:2014-OTR-00877, LOCALIDAD:03 SANTA FE, UPZ:96 LOURDES, SECTOR:CASA 1</v>
          </cell>
          <cell r="R2021">
            <v>2551518</v>
          </cell>
          <cell r="S2021">
            <v>425253</v>
          </cell>
          <cell r="T2021">
            <v>0</v>
          </cell>
          <cell r="U2021">
            <v>2126265</v>
          </cell>
          <cell r="V2021">
            <v>2126265</v>
          </cell>
        </row>
        <row r="2022">
          <cell r="J2022">
            <v>1407</v>
          </cell>
          <cell r="K2022">
            <v>43151</v>
          </cell>
          <cell r="L2022" t="str">
            <v>CLAUDIA MARCELA RUBIO MANCIPE</v>
          </cell>
          <cell r="M2022">
            <v>31</v>
          </cell>
          <cell r="N2022" t="str">
            <v>RESOLUCION</v>
          </cell>
          <cell r="O2022">
            <v>1307</v>
          </cell>
          <cell r="P2022">
            <v>43151</v>
          </cell>
          <cell r="Q2022" t="str">
            <v>AYUDA TEMPORAL A LAS FAMILIAS DE VARIAS LOCALIDADES, PARA RELOCALIZACIÓN DE HOGARES LOCALIZADOS EN ZONAS DE ALTO RIESGO NO MITIGABLE ID:2015-19-14753, LOCALIDAD:19 CIUDAD BOLÍVAR, UPZ:67 LUCERO</v>
          </cell>
          <cell r="R2022">
            <v>2844810</v>
          </cell>
          <cell r="S2022">
            <v>474135</v>
          </cell>
          <cell r="T2022">
            <v>0</v>
          </cell>
          <cell r="U2022">
            <v>2370675</v>
          </cell>
          <cell r="V2022">
            <v>2370675</v>
          </cell>
        </row>
        <row r="2023">
          <cell r="J2023">
            <v>1408</v>
          </cell>
          <cell r="K2023">
            <v>43151</v>
          </cell>
          <cell r="L2023" t="str">
            <v>MARYSOL  ROJAS</v>
          </cell>
          <cell r="M2023">
            <v>31</v>
          </cell>
          <cell r="N2023" t="str">
            <v>RESOLUCION</v>
          </cell>
          <cell r="O2023">
            <v>1308</v>
          </cell>
          <cell r="P2023">
            <v>43151</v>
          </cell>
          <cell r="Q2023" t="str">
            <v>AYUDA TEMPORAL A LAS FAMILIAS DE VARIAS LOCALIDADES, PARA RELOCALIZACIÓN DE HOGARES LOCALIZADOS EN ZONAS DE ALTO RIESGO NO MITIGABLE ID:2014-Q20-01175, LOCALIDAD:04 SAN CRISTÓBAL, UPZ:50 LA GLORIA, SECTOR:LA CHIGUAZA</v>
          </cell>
          <cell r="R2023">
            <v>2358570</v>
          </cell>
          <cell r="S2023">
            <v>393095</v>
          </cell>
          <cell r="T2023">
            <v>0</v>
          </cell>
          <cell r="U2023">
            <v>1965475</v>
          </cell>
          <cell r="V2023">
            <v>1965475</v>
          </cell>
        </row>
        <row r="2024">
          <cell r="J2024">
            <v>1409</v>
          </cell>
          <cell r="K2024">
            <v>43151</v>
          </cell>
          <cell r="L2024" t="str">
            <v>EZEQUIEL  ARISTIZABAL RAMOS</v>
          </cell>
          <cell r="M2024">
            <v>86</v>
          </cell>
          <cell r="N2024" t="str">
            <v>ESCRITURA PUBLICA</v>
          </cell>
          <cell r="O2024">
            <v>1345</v>
          </cell>
          <cell r="P2024">
            <v>43151</v>
          </cell>
          <cell r="Q2024" t="str">
            <v>AYUDA TEMPORAL A LAS FAMILIAS DE VARIAS LOCALIDADES, PARA RELOCALIZACIÓN DE HOGARES LOCALIZADOS EN ZONAS DE ALTO RIESGO NO MITIGABLE ID:2014-OTR-00899, LOCALIDAD:03 SANTA FE, UPZ:96 LOURDES, SECTOR:CASA 3</v>
          </cell>
          <cell r="R2024">
            <v>3014166</v>
          </cell>
          <cell r="S2024">
            <v>3014166</v>
          </cell>
          <cell r="T2024">
            <v>0</v>
          </cell>
          <cell r="U2024">
            <v>0</v>
          </cell>
          <cell r="V2024">
            <v>0</v>
          </cell>
        </row>
        <row r="2025">
          <cell r="J2025">
            <v>1410</v>
          </cell>
          <cell r="K2025">
            <v>43151</v>
          </cell>
          <cell r="L2025" t="str">
            <v>LUCILA  MEDINA</v>
          </cell>
          <cell r="M2025">
            <v>31</v>
          </cell>
          <cell r="N2025" t="str">
            <v>RESOLUCION</v>
          </cell>
          <cell r="O2025">
            <v>1346</v>
          </cell>
          <cell r="P2025">
            <v>43151</v>
          </cell>
          <cell r="Q2025" t="str">
            <v>AYUDA TEMPORAL A LAS FAMILIAS DE VARIAS LOCALIDADES, PARA RELOCALIZACIÓN DE HOGARES LOCALIZADOS EN ZONAS DE ALTO RIESGO NO MITIGABLE ID:2011-4-12683, LOCALIDAD:04 SAN CRISTÓBAL, UPZ:32 SAN BLAS</v>
          </cell>
          <cell r="R2025">
            <v>2474274</v>
          </cell>
          <cell r="S2025">
            <v>412379</v>
          </cell>
          <cell r="T2025">
            <v>0</v>
          </cell>
          <cell r="U2025">
            <v>2061895</v>
          </cell>
          <cell r="V2025">
            <v>2061895</v>
          </cell>
        </row>
        <row r="2026">
          <cell r="J2026">
            <v>1411</v>
          </cell>
          <cell r="K2026">
            <v>43151</v>
          </cell>
          <cell r="L2026" t="str">
            <v>ARQUIMEDES  VEGA ANZOLA</v>
          </cell>
          <cell r="M2026">
            <v>31</v>
          </cell>
          <cell r="N2026" t="str">
            <v>RESOLUCION</v>
          </cell>
          <cell r="O2026">
            <v>1309</v>
          </cell>
          <cell r="P2026">
            <v>43151</v>
          </cell>
          <cell r="Q2026" t="str">
            <v>AYUDA TEMPORAL A LAS FAMILIAS DE VARIAS LOCALIDADES, PARA RELOCALIZACIÓN DE HOGARES LOCALIZADOS EN ZONAS DE ALTO RIESGO NO MITIGABLE ID:2015-D227-00001, LOCALIDAD:04 SAN CRISTÓBAL, UPZ:51 LOS LIBERTADORES, SECTOR:SANTA TERESITA</v>
          </cell>
          <cell r="R2026">
            <v>2474274</v>
          </cell>
          <cell r="S2026">
            <v>412379</v>
          </cell>
          <cell r="T2026">
            <v>0</v>
          </cell>
          <cell r="U2026">
            <v>2061895</v>
          </cell>
          <cell r="V2026">
            <v>2061895</v>
          </cell>
        </row>
        <row r="2027">
          <cell r="J2027">
            <v>1412</v>
          </cell>
          <cell r="K2027">
            <v>43151</v>
          </cell>
          <cell r="L2027" t="str">
            <v>EZEQUIEL  ARISTIZABAL RAMOS</v>
          </cell>
          <cell r="M2027">
            <v>31</v>
          </cell>
          <cell r="N2027" t="str">
            <v>RESOLUCION</v>
          </cell>
          <cell r="O2027">
            <v>1409</v>
          </cell>
          <cell r="P2027">
            <v>43151</v>
          </cell>
          <cell r="Q2027" t="str">
            <v>AYUDA TEMPORAL A LAS FAMILIAS DE VARIAS LOCALIDADES, PARA RELOCALIZACIÓN DE HOGARES LOCALIZADOS EN ZONAS DE ALTO RIESGO NO MITIGABLE ID:2014-OTR-00899, LOCALIDAD:03 SANTA FE, UPZ:96 LOURDES, SECTOR:CASA 3</v>
          </cell>
          <cell r="R2027">
            <v>3014166</v>
          </cell>
          <cell r="S2027">
            <v>3014166</v>
          </cell>
          <cell r="T2027">
            <v>0</v>
          </cell>
          <cell r="U2027">
            <v>0</v>
          </cell>
          <cell r="V2027">
            <v>0</v>
          </cell>
        </row>
        <row r="2028">
          <cell r="J2028">
            <v>1413</v>
          </cell>
          <cell r="K2028">
            <v>43151</v>
          </cell>
          <cell r="L2028" t="str">
            <v>MARIA AURORA BELLO</v>
          </cell>
          <cell r="M2028">
            <v>31</v>
          </cell>
          <cell r="N2028" t="str">
            <v>RESOLUCION</v>
          </cell>
          <cell r="O2028">
            <v>1349</v>
          </cell>
          <cell r="P2028">
            <v>43151</v>
          </cell>
          <cell r="Q2028" t="str">
            <v>AYUDA TEMPORAL A LAS FAMILIAS DE VARIAS LOCALIDADES, PARA RELOCALIZACIÓN DE HOGARES LOCALIZADOS EN ZONAS DE ALTO RIESGO NO MITIGABLE ID:2013-Q21-00419, LOCALIDAD:19 CIUDAD BOLÍVAR, UPZ:67 LUCERO, SECTOR:BRAZO DERECHO DE LIMAS</v>
          </cell>
          <cell r="R2028">
            <v>2706270</v>
          </cell>
          <cell r="S2028">
            <v>451045</v>
          </cell>
          <cell r="T2028">
            <v>0</v>
          </cell>
          <cell r="U2028">
            <v>2255225</v>
          </cell>
          <cell r="V2028">
            <v>2255225</v>
          </cell>
        </row>
        <row r="2029">
          <cell r="J2029">
            <v>1414</v>
          </cell>
          <cell r="K2029">
            <v>43151</v>
          </cell>
          <cell r="L2029" t="str">
            <v>MARIA BEATRIZ NARANJO PATARROYO</v>
          </cell>
          <cell r="M2029">
            <v>31</v>
          </cell>
          <cell r="N2029" t="str">
            <v>RESOLUCION</v>
          </cell>
          <cell r="O2029">
            <v>1310</v>
          </cell>
          <cell r="P2029">
            <v>43151</v>
          </cell>
          <cell r="Q2029" t="str">
            <v>AYUDA TEMPORAL A LAS FAMILIAS DE VARIAS LOCALIDADES, PARA RELOCALIZACIÓN DE HOGARES LOCALIZADOS EN ZONAS DE ALTO RIESGO NO MITIGABLE ID:2014-OTR-00880, LOCALIDAD:03 SANTA FE, UPZ:96 LOURDES, SECTOR:CASA 2</v>
          </cell>
          <cell r="R2029">
            <v>2550450</v>
          </cell>
          <cell r="S2029">
            <v>425075</v>
          </cell>
          <cell r="T2029">
            <v>0</v>
          </cell>
          <cell r="U2029">
            <v>2125375</v>
          </cell>
          <cell r="V2029">
            <v>2125375</v>
          </cell>
        </row>
        <row r="2030">
          <cell r="J2030">
            <v>1415</v>
          </cell>
          <cell r="K2030">
            <v>43151</v>
          </cell>
          <cell r="L2030" t="str">
            <v>BAUDILIO  TOLOZA CASTILLO</v>
          </cell>
          <cell r="M2030">
            <v>31</v>
          </cell>
          <cell r="N2030" t="str">
            <v>RESOLUCION</v>
          </cell>
          <cell r="O2030">
            <v>1291</v>
          </cell>
          <cell r="P2030">
            <v>43151</v>
          </cell>
          <cell r="Q2030" t="str">
            <v>AYUDA TEMPORAL A LAS FAMILIAS DE VARIAS LOCALIDADES, PARA RELOCALIZACIÓN DE HOGARES LOCALIZADOS EN ZONAS DE ALTO RIESGO NO MITIGABLE ID:2014-LC-00790, LOCALIDAD:19 CIUDAD BOLÍVAR, UPZ:69 ISMAEL PERDOMO</v>
          </cell>
          <cell r="R2030">
            <v>2882880</v>
          </cell>
          <cell r="S2030">
            <v>480480</v>
          </cell>
          <cell r="T2030">
            <v>0</v>
          </cell>
          <cell r="U2030">
            <v>2402400</v>
          </cell>
          <cell r="V2030">
            <v>2402400</v>
          </cell>
        </row>
        <row r="2031">
          <cell r="J2031">
            <v>1416</v>
          </cell>
          <cell r="K2031">
            <v>43151</v>
          </cell>
          <cell r="L2031" t="str">
            <v>DIANA MARCELA OSORIO MORALES</v>
          </cell>
          <cell r="M2031">
            <v>31</v>
          </cell>
          <cell r="N2031" t="str">
            <v>RESOLUCION</v>
          </cell>
          <cell r="O2031">
            <v>1292</v>
          </cell>
          <cell r="P2031">
            <v>43151</v>
          </cell>
          <cell r="Q2031" t="str">
            <v>AYUDA TEMPORAL A LAS FAMILIAS DE VARIAS LOCALIDADES, PARA RELOCALIZACIÓN DE HOGARES LOCALIZADOS EN ZONAS DE ALTO RIESGO NO MITIGABLE ID:2014-LC-00791, LOCALIDAD:19 CIUDAD BOLÍVAR, UPZ:69 ISMAEL PERDOMO</v>
          </cell>
          <cell r="R2031">
            <v>2439360</v>
          </cell>
          <cell r="S2031">
            <v>406560</v>
          </cell>
          <cell r="T2031">
            <v>0</v>
          </cell>
          <cell r="U2031">
            <v>2032800</v>
          </cell>
          <cell r="V2031">
            <v>2032800</v>
          </cell>
        </row>
        <row r="2032">
          <cell r="J2032">
            <v>1417</v>
          </cell>
          <cell r="K2032">
            <v>43151</v>
          </cell>
          <cell r="L2032" t="str">
            <v>YURY JOHANNA BRICEÑO MORENO</v>
          </cell>
          <cell r="M2032">
            <v>31</v>
          </cell>
          <cell r="N2032" t="str">
            <v>RESOLUCION</v>
          </cell>
          <cell r="O2032">
            <v>1311</v>
          </cell>
          <cell r="P2032">
            <v>43151</v>
          </cell>
          <cell r="Q2032" t="str">
            <v>AYUDA TEMPORAL A LAS FAMILIAS DE VARIAS LOCALIDADES, PARA RELOCALIZACIÓN DE HOGARES LOCALIZADOS EN ZONAS DE ALTO RIESGO NO MITIGABLE ID:2014-OTR-00910, LOCALIDAD:03 SANTA FE, UPZ:96 LOURDES, SECTOR:CASA 3</v>
          </cell>
          <cell r="R2032">
            <v>2553138</v>
          </cell>
          <cell r="S2032">
            <v>425523</v>
          </cell>
          <cell r="T2032">
            <v>0</v>
          </cell>
          <cell r="U2032">
            <v>2127615</v>
          </cell>
          <cell r="V2032">
            <v>2127615</v>
          </cell>
        </row>
        <row r="2033">
          <cell r="J2033">
            <v>1418</v>
          </cell>
          <cell r="K2033">
            <v>43151</v>
          </cell>
          <cell r="L2033" t="str">
            <v>FLOR MARINA BAQUERO UMAÑA</v>
          </cell>
          <cell r="M2033">
            <v>31</v>
          </cell>
          <cell r="N2033" t="str">
            <v>RESOLUCION</v>
          </cell>
          <cell r="O2033">
            <v>1293</v>
          </cell>
          <cell r="P2033">
            <v>43151</v>
          </cell>
          <cell r="Q2033" t="str">
            <v>AYUDA TEMPORAL A LAS FAMILIAS DE VARIAS LOCALIDADES, PARA RELOCALIZACIÓN DE HOGARES LOCALIZADOS EN ZONAS DE ALTO RIESGO NO MITIGABLE ID:2015-Q03-01481, LOCALIDAD:19 CIUDAD BOLÍVAR, UPZ:66 SAN FRANCISCO, SECTOR:LIMAS</v>
          </cell>
          <cell r="R2033">
            <v>2887073</v>
          </cell>
          <cell r="S2033">
            <v>412439</v>
          </cell>
          <cell r="T2033">
            <v>0</v>
          </cell>
          <cell r="U2033">
            <v>2474634</v>
          </cell>
          <cell r="V2033">
            <v>2474634</v>
          </cell>
        </row>
        <row r="2034">
          <cell r="J2034">
            <v>1419</v>
          </cell>
          <cell r="K2034">
            <v>43151</v>
          </cell>
          <cell r="L2034" t="str">
            <v>JUAN EVANGELISTA NARANJO PATARROYO</v>
          </cell>
          <cell r="M2034">
            <v>31</v>
          </cell>
          <cell r="N2034" t="str">
            <v>RESOLUCION</v>
          </cell>
          <cell r="O2034">
            <v>1312</v>
          </cell>
          <cell r="P2034">
            <v>43151</v>
          </cell>
          <cell r="Q2034" t="str">
            <v>AYUDA TEMPORAL A LAS FAMILIAS DE VARIAS LOCALIDADES, PARA RELOCALIZACIÓN DE HOGARES LOCALIZADOS EN ZONAS DE ALTO RIESGO NO MITIGABLE ID:2014-OTR-00886, LOCALIDAD:03 SANTA FE, UPZ:96 LOURDES, SECTOR:CASA 2</v>
          </cell>
          <cell r="R2034">
            <v>3014166</v>
          </cell>
          <cell r="S2034">
            <v>502361</v>
          </cell>
          <cell r="T2034">
            <v>0</v>
          </cell>
          <cell r="U2034">
            <v>2511805</v>
          </cell>
          <cell r="V2034">
            <v>2511805</v>
          </cell>
        </row>
        <row r="2035">
          <cell r="J2035">
            <v>1420</v>
          </cell>
          <cell r="K2035">
            <v>43151</v>
          </cell>
          <cell r="L2035" t="str">
            <v>ALEXANDRA  REY GUTIERREZ</v>
          </cell>
          <cell r="M2035">
            <v>31</v>
          </cell>
          <cell r="N2035" t="str">
            <v>RESOLUCION</v>
          </cell>
          <cell r="O2035">
            <v>1313</v>
          </cell>
          <cell r="P2035">
            <v>43151</v>
          </cell>
          <cell r="Q2035" t="str">
            <v>AYUDA TEMPORAL A LAS FAMILIAS DE VARIAS LOCALIDADES, PARA RELOCALIZACIÓN DE HOGARES LOCALIZADOS EN ZONAS DE ALTO RIESGO NO MITIGABLE ID:2012-T314-05, LOCALIDAD:04 SAN CRISTÓBAL, UPZ:50 LA GLORIA,</v>
          </cell>
          <cell r="R2035">
            <v>3060180</v>
          </cell>
          <cell r="S2035">
            <v>510030</v>
          </cell>
          <cell r="T2035">
            <v>0</v>
          </cell>
          <cell r="U2035">
            <v>2550150</v>
          </cell>
          <cell r="V2035">
            <v>2550150</v>
          </cell>
        </row>
        <row r="2036">
          <cell r="J2036">
            <v>1421</v>
          </cell>
          <cell r="K2036">
            <v>43151</v>
          </cell>
          <cell r="L2036" t="str">
            <v>LUZ MARINA TUNJUELO BARBOSA</v>
          </cell>
          <cell r="M2036">
            <v>31</v>
          </cell>
          <cell r="N2036" t="str">
            <v>RESOLUCION</v>
          </cell>
          <cell r="O2036">
            <v>1314</v>
          </cell>
          <cell r="P2036">
            <v>43151</v>
          </cell>
          <cell r="Q2036" t="str">
            <v>AYUDA TEMPORAL A LAS FAMILIAS DE VARIAS LOCALIDADES, PARA RELOCALIZACIÓN DE HOGARES LOCALIZADOS EN ZONAS DE ALTO RIESGO NO MITIGABLE ID:2011-4-12662, LOCALIDAD:04 SAN CRISTÓBAL, UPZ:32 SAN BLAS, SECTOR:</v>
          </cell>
          <cell r="R2036">
            <v>2590566</v>
          </cell>
          <cell r="S2036">
            <v>431761</v>
          </cell>
          <cell r="T2036">
            <v>0</v>
          </cell>
          <cell r="U2036">
            <v>2158805</v>
          </cell>
          <cell r="V2036">
            <v>2158805</v>
          </cell>
        </row>
        <row r="2037">
          <cell r="J2037">
            <v>1422</v>
          </cell>
          <cell r="K2037">
            <v>43151</v>
          </cell>
          <cell r="L2037" t="str">
            <v>CLARA INES ESCOBAR DE BENAVIDES</v>
          </cell>
          <cell r="M2037">
            <v>31</v>
          </cell>
          <cell r="N2037" t="str">
            <v>RESOLUCION</v>
          </cell>
          <cell r="O2037">
            <v>1315</v>
          </cell>
          <cell r="P2037">
            <v>43151</v>
          </cell>
          <cell r="Q2037" t="str">
            <v>AYUDA TEMPORAL A LAS FAMILIAS DE VARIAS LOCALIDADES, PARA RELOCALIZACIÓN DE HOGARES LOCALIZADOS EN ZONAS DE ALTO RIESGO NO MITIGABLE ID:2014-Q04-00825, LOCALIDAD:19 CIUDAD BOLÍVAR, UPZ:67 LUCERO, SECTOR:PEÑA COLORADA</v>
          </cell>
          <cell r="R2037">
            <v>2706270</v>
          </cell>
          <cell r="S2037">
            <v>451045</v>
          </cell>
          <cell r="T2037">
            <v>0</v>
          </cell>
          <cell r="U2037">
            <v>2255225</v>
          </cell>
          <cell r="V2037">
            <v>2255225</v>
          </cell>
        </row>
        <row r="2038">
          <cell r="J2038">
            <v>1423</v>
          </cell>
          <cell r="K2038">
            <v>43151</v>
          </cell>
          <cell r="L2038" t="str">
            <v>MAURICIO  CAMARGO RODRIGUEZ</v>
          </cell>
          <cell r="M2038">
            <v>31</v>
          </cell>
          <cell r="N2038" t="str">
            <v>RESOLUCION</v>
          </cell>
          <cell r="O2038">
            <v>1316</v>
          </cell>
          <cell r="P2038">
            <v>43151</v>
          </cell>
          <cell r="Q2038" t="str">
            <v>AYUDA TEMPORAL A LAS FAMILIAS DE VARIAS LOCALIDADES, PARA RELOCALIZACIÓN DE HOGARES LOCALIZADOS EN ZONAS DE ALTO RIESGO NO MITIGABLE ID:2014-OTR-01166, LOCALIDAD:11 SUBA, UPZ:71 TIBABUYES, SECTOR:GAVILANES</v>
          </cell>
          <cell r="R2038">
            <v>2586000</v>
          </cell>
          <cell r="S2038">
            <v>431000</v>
          </cell>
          <cell r="T2038">
            <v>0</v>
          </cell>
          <cell r="U2038">
            <v>2155000</v>
          </cell>
          <cell r="V2038">
            <v>2155000</v>
          </cell>
        </row>
        <row r="2039">
          <cell r="J2039">
            <v>1424</v>
          </cell>
          <cell r="K2039">
            <v>43151</v>
          </cell>
          <cell r="L2039" t="str">
            <v>GREGORIA  VARGAS</v>
          </cell>
          <cell r="M2039">
            <v>31</v>
          </cell>
          <cell r="N2039" t="str">
            <v>RESOLUCION</v>
          </cell>
          <cell r="O2039">
            <v>1317</v>
          </cell>
          <cell r="P2039">
            <v>43151</v>
          </cell>
          <cell r="Q2039" t="str">
            <v>AYUDA TEMPORAL A LAS FAMILIAS DE VARIAS LOCALIDADES, PARA RELOCALIZACIÓN DE HOGARES LOCALIZADOS EN ZONAS DE ALTO RIESGO NO MITIGABLE ID:2014-OTR-00872, LOCALIDAD:03 SANTA FE, UPZ:96 LOURDES, SECTOR:CASA 1</v>
          </cell>
          <cell r="R2039">
            <v>2281062</v>
          </cell>
          <cell r="S2039">
            <v>380177</v>
          </cell>
          <cell r="T2039">
            <v>0</v>
          </cell>
          <cell r="U2039">
            <v>1900885</v>
          </cell>
          <cell r="V2039">
            <v>1900885</v>
          </cell>
        </row>
        <row r="2040">
          <cell r="J2040">
            <v>1425</v>
          </cell>
          <cell r="K2040">
            <v>43151</v>
          </cell>
          <cell r="L2040" t="str">
            <v>NELLY ESPERANZA CAMARGO LOZANO</v>
          </cell>
          <cell r="M2040">
            <v>31</v>
          </cell>
          <cell r="N2040" t="str">
            <v>RESOLUCION</v>
          </cell>
          <cell r="O2040">
            <v>1318</v>
          </cell>
          <cell r="P2040">
            <v>43151</v>
          </cell>
          <cell r="Q2040" t="str">
            <v>AYUDA TEMPORAL A LAS FAMILIAS DE VARIAS LOCALIDADES, PARA RELOCALIZACIÓN DE HOGARES LOCALIZADOS EN ZONAS DE ALTO RIESGO NO MITIGABLE ID:2015-3-14763, LOCALIDAD:03 SANTA FE, UPZ:96 LOURDES.</v>
          </cell>
          <cell r="R2040">
            <v>2844810</v>
          </cell>
          <cell r="S2040">
            <v>474135</v>
          </cell>
          <cell r="T2040">
            <v>0</v>
          </cell>
          <cell r="U2040">
            <v>2370675</v>
          </cell>
          <cell r="V2040">
            <v>2370675</v>
          </cell>
        </row>
        <row r="2041">
          <cell r="J2041">
            <v>1426</v>
          </cell>
          <cell r="K2041">
            <v>43151</v>
          </cell>
          <cell r="L2041" t="str">
            <v>EZEQUIEL  ARISTIZABAL RAMOS</v>
          </cell>
          <cell r="M2041">
            <v>31</v>
          </cell>
          <cell r="N2041" t="str">
            <v>RESOLUCION</v>
          </cell>
          <cell r="O2041">
            <v>1345</v>
          </cell>
          <cell r="P2041">
            <v>43151</v>
          </cell>
          <cell r="Q2041" t="str">
            <v>AYUDA TEMPORAL A LAS FAMILIAS DE VARIAS LOCALIDADES, PARA RELOCALIZACIÓN DE HOGARES LOCALIZADOS EN ZONAS DE ALTO RIESGO NO MITIGABLE ID:2014-OTR-00899, LOCALIDAD:03 SANTA FE, UPZ:96 LOURDES, SECTOR:CASA 3</v>
          </cell>
          <cell r="R2041">
            <v>3014166</v>
          </cell>
          <cell r="S2041">
            <v>502361</v>
          </cell>
          <cell r="T2041">
            <v>0</v>
          </cell>
          <cell r="U2041">
            <v>2511805</v>
          </cell>
          <cell r="V2041">
            <v>2511805</v>
          </cell>
        </row>
        <row r="2042">
          <cell r="J2042">
            <v>1427</v>
          </cell>
          <cell r="K2042">
            <v>43151</v>
          </cell>
          <cell r="L2042" t="str">
            <v>MARCELINA  VARGAS GONZALEZ</v>
          </cell>
          <cell r="M2042">
            <v>31</v>
          </cell>
          <cell r="N2042" t="str">
            <v>RESOLUCION</v>
          </cell>
          <cell r="O2042">
            <v>1305</v>
          </cell>
          <cell r="P2042">
            <v>43151</v>
          </cell>
          <cell r="Q2042" t="str">
            <v>AYUDA TEMPORAL A LAS FAMILIAS DE VARIAS LOCALIDADES, PARA RELOCALIZACIÓN DE HOGARES LOCALIZADOS EN ZONAS DE ALTO RIESGO NO MITIGABLE ID:2005-19-5791, LOCALIDAD:19 CIUDAD BOLÍVAR, UPZ:67 LUCERO, SECTOR:LIMAS</v>
          </cell>
          <cell r="R2042">
            <v>3054150</v>
          </cell>
          <cell r="S2042">
            <v>509025</v>
          </cell>
          <cell r="T2042">
            <v>0</v>
          </cell>
          <cell r="U2042">
            <v>2545125</v>
          </cell>
          <cell r="V2042">
            <v>2545125</v>
          </cell>
        </row>
        <row r="2043">
          <cell r="J2043">
            <v>1428</v>
          </cell>
          <cell r="K2043">
            <v>43152</v>
          </cell>
          <cell r="L2043" t="str">
            <v>JOSE IGNACIO MARTINEZ RODRIGUEZ</v>
          </cell>
          <cell r="M2043">
            <v>31</v>
          </cell>
          <cell r="N2043" t="str">
            <v>RESOLUCION</v>
          </cell>
          <cell r="O2043">
            <v>1348</v>
          </cell>
          <cell r="P2043">
            <v>43152</v>
          </cell>
          <cell r="Q2043" t="str">
            <v>AYUDA TEMPORAL A LAS FAMILIAS DE VARIAS LOCALIDADES, PARA RELOCALIZACIÓN DE HOGARES LOCALIZADOS EN ZONAS DE ALTO RIESGO NO MITIGABLE ID:2011-4-12646, LOCALIDAD:04 SAN CRISTÓBAL, UPZ:32 SAN BLAS, SECTOR:</v>
          </cell>
          <cell r="R2043">
            <v>2213148</v>
          </cell>
          <cell r="S2043">
            <v>368858</v>
          </cell>
          <cell r="T2043">
            <v>0</v>
          </cell>
          <cell r="U2043">
            <v>1844290</v>
          </cell>
          <cell r="V2043">
            <v>1844290</v>
          </cell>
        </row>
        <row r="2044">
          <cell r="J2044">
            <v>1429</v>
          </cell>
          <cell r="K2044">
            <v>43152</v>
          </cell>
          <cell r="L2044" t="str">
            <v>BLANCA CONSUELO BEJARANO</v>
          </cell>
          <cell r="M2044">
            <v>31</v>
          </cell>
          <cell r="N2044" t="str">
            <v>RESOLUCION</v>
          </cell>
          <cell r="O2044">
            <v>1319</v>
          </cell>
          <cell r="P2044">
            <v>43152</v>
          </cell>
          <cell r="Q2044" t="str">
            <v>AYUDA TEMPORAL A LAS FAMILIAS DE VARIAS LOCALIDADES, PARA RELOCALIZACIÓN DE HOGARES LOCALIZADOS EN ZONAS DE ALTO RIESGO NO MITIGABLE ID:2005-4-6465, LOCALIDAD:04 SAN CRISTÓBAL, UPZ:51 LOS LIBERTADORES, SECTOR:</v>
          </cell>
          <cell r="R2044">
            <v>2213148</v>
          </cell>
          <cell r="S2044">
            <v>368858</v>
          </cell>
          <cell r="T2044">
            <v>0</v>
          </cell>
          <cell r="U2044">
            <v>1844290</v>
          </cell>
          <cell r="V2044">
            <v>1844290</v>
          </cell>
        </row>
        <row r="2045">
          <cell r="J2045">
            <v>1430</v>
          </cell>
          <cell r="K2045">
            <v>43152</v>
          </cell>
          <cell r="L2045" t="str">
            <v>MARTHA FABIOLA CAMACHO ROJAS</v>
          </cell>
          <cell r="M2045">
            <v>31</v>
          </cell>
          <cell r="N2045" t="str">
            <v>RESOLUCION</v>
          </cell>
          <cell r="O2045">
            <v>1320</v>
          </cell>
          <cell r="P2045">
            <v>43152</v>
          </cell>
          <cell r="Q2045" t="str">
            <v>AYUDA TEMPORAL A LAS FAMILIAS DE VARIAS LOCALIDADES, PARA RELOCALIZACIÓN DE HOGARES LOCALIZADOS EN ZONAS DE ALTO RIESGO NO MITIGABLE ID:2014-OTR-00871, LOCALIDAD:03 SANTA FE, UPZ:96 LOURDES, SECTOR:CASA 1</v>
          </cell>
          <cell r="R2045">
            <v>2550450</v>
          </cell>
          <cell r="S2045">
            <v>425075</v>
          </cell>
          <cell r="T2045">
            <v>0</v>
          </cell>
          <cell r="U2045">
            <v>2125375</v>
          </cell>
          <cell r="V2045">
            <v>2125375</v>
          </cell>
        </row>
        <row r="2046">
          <cell r="J2046">
            <v>1431</v>
          </cell>
          <cell r="K2046">
            <v>43152</v>
          </cell>
          <cell r="L2046" t="str">
            <v>EZEQUIEL  TORRES</v>
          </cell>
          <cell r="M2046">
            <v>31</v>
          </cell>
          <cell r="N2046" t="str">
            <v>RESOLUCION</v>
          </cell>
          <cell r="O2046">
            <v>1321</v>
          </cell>
          <cell r="P2046">
            <v>43152</v>
          </cell>
          <cell r="Q2046" t="str">
            <v>AYUDA TEMPORAL A LAS FAMILIAS DE VARIAS LOCALIDADES, PARA RELOCALIZACIÓN DE HOGARES LOCALIZADOS EN ZONAS DE ALTO RIESGO NO MITIGABLE ID:2014-OTR-00889, LOCALIDAD:03 SANTA FE, UPZ:96 LOURDES, SECTOR:CASA 2</v>
          </cell>
          <cell r="R2046">
            <v>2213148</v>
          </cell>
          <cell r="S2046">
            <v>368858</v>
          </cell>
          <cell r="T2046">
            <v>0</v>
          </cell>
          <cell r="U2046">
            <v>1844290</v>
          </cell>
          <cell r="V2046">
            <v>1844290</v>
          </cell>
        </row>
        <row r="2047">
          <cell r="J2047">
            <v>1432</v>
          </cell>
          <cell r="K2047">
            <v>43152</v>
          </cell>
          <cell r="L2047" t="str">
            <v>JOSE FERNANDO MENDEZ GARCIA</v>
          </cell>
          <cell r="M2047">
            <v>31</v>
          </cell>
          <cell r="N2047" t="str">
            <v>RESOLUCION</v>
          </cell>
          <cell r="O2047">
            <v>1322</v>
          </cell>
          <cell r="P2047">
            <v>43152</v>
          </cell>
          <cell r="Q2047" t="str">
            <v>AYUDA TEMPORAL A LAS FAMILIAS DE VARIAS LOCALIDADES, PARA RELOCALIZACIÓN DE HOGARES LOCALIZADOS EN ZONAS DE ALTO RIESGO NO MITIGABLE ID:2014-OTR-00902, LOCALIDAD:03 SANTA FE, UPZ:96 LOURDES, SECTOR:CASA 3</v>
          </cell>
          <cell r="R2047">
            <v>2744310</v>
          </cell>
          <cell r="S2047">
            <v>457385</v>
          </cell>
          <cell r="T2047">
            <v>0</v>
          </cell>
          <cell r="U2047">
            <v>2286925</v>
          </cell>
          <cell r="V2047">
            <v>2286925</v>
          </cell>
        </row>
        <row r="2048">
          <cell r="J2048">
            <v>1433</v>
          </cell>
          <cell r="K2048">
            <v>43152</v>
          </cell>
          <cell r="L2048" t="str">
            <v>SANDRA  GORDILLO CARREÑO</v>
          </cell>
          <cell r="M2048">
            <v>31</v>
          </cell>
          <cell r="N2048" t="str">
            <v>RESOLUCION</v>
          </cell>
          <cell r="O2048">
            <v>1323</v>
          </cell>
          <cell r="P2048">
            <v>43152</v>
          </cell>
          <cell r="Q2048" t="str">
            <v>AYUDA TEMPORAL A LAS FAMILIAS DE VARIAS LOCALIDADES, PARA RELOCALIZACIÓN DE HOGARES LOCALIZADOS EN ZONAS DE ALTO RIESGO NO MITIGABLE ID:2011-4-12655, LOCALIDAD:04 SAN CRISTÓBAL, UPZ:32 SAN BLAS, SECTOR:</v>
          </cell>
          <cell r="R2048">
            <v>3170214</v>
          </cell>
          <cell r="S2048">
            <v>528369</v>
          </cell>
          <cell r="T2048">
            <v>0</v>
          </cell>
          <cell r="U2048">
            <v>2641845</v>
          </cell>
          <cell r="V2048">
            <v>2641845</v>
          </cell>
        </row>
        <row r="2049">
          <cell r="J2049">
            <v>1434</v>
          </cell>
          <cell r="K2049">
            <v>43152</v>
          </cell>
          <cell r="L2049" t="str">
            <v>LINA ANDREA MENDEZ GARCIA</v>
          </cell>
          <cell r="M2049">
            <v>31</v>
          </cell>
          <cell r="N2049" t="str">
            <v>RESOLUCION</v>
          </cell>
          <cell r="O2049">
            <v>1324</v>
          </cell>
          <cell r="P2049">
            <v>43152</v>
          </cell>
          <cell r="Q2049" t="str">
            <v>AYUDA TEMPORAL A LAS FAMILIAS DE VARIAS LOCALIDADES, PARA RELOCALIZACIÓN DE HOGARES LOCALIZADOS EN ZONAS DE ALTO RIESGO NO MITIGABLE ID:2014-OTR-00903, LOCALIDAD:03 SANTA FE, UPZ:96 LOURDES, SECTOR:CASA 3</v>
          </cell>
          <cell r="R2049">
            <v>3479664</v>
          </cell>
          <cell r="S2049">
            <v>579944</v>
          </cell>
          <cell r="T2049">
            <v>0</v>
          </cell>
          <cell r="U2049">
            <v>2899720</v>
          </cell>
          <cell r="V2049">
            <v>2899720</v>
          </cell>
        </row>
        <row r="2050">
          <cell r="J2050">
            <v>1435</v>
          </cell>
          <cell r="K2050">
            <v>43152</v>
          </cell>
          <cell r="L2050" t="str">
            <v>YAMILE  MENDEZ</v>
          </cell>
          <cell r="M2050">
            <v>31</v>
          </cell>
          <cell r="N2050" t="str">
            <v>RESOLUCION</v>
          </cell>
          <cell r="O2050">
            <v>1325</v>
          </cell>
          <cell r="P2050">
            <v>43152</v>
          </cell>
          <cell r="Q2050" t="str">
            <v>AYUDA TEMPORAL A LAS FAMILIAS DE VARIAS LOCALIDADES, PARA RELOCALIZACIÓN DE HOGARES LOCALIZADOS EN ZONAS DE ALTO RIESGO NO MITIGABLE ID:2012-ALES-132, LOCALIDAD:19 CIUDAD BOLÍVAR, UPZ:69 ISMAEL PERDOMO, SECTOR:ALTOS DE LA ESTANCIA</v>
          </cell>
          <cell r="R2050">
            <v>2586000</v>
          </cell>
          <cell r="S2050">
            <v>431000</v>
          </cell>
          <cell r="T2050">
            <v>0</v>
          </cell>
          <cell r="U2050">
            <v>2155000</v>
          </cell>
          <cell r="V2050">
            <v>2155000</v>
          </cell>
        </row>
        <row r="2051">
          <cell r="J2051">
            <v>1436</v>
          </cell>
          <cell r="K2051">
            <v>43152</v>
          </cell>
          <cell r="L2051" t="str">
            <v>YAMILE  CESPEDES JIMENEZ</v>
          </cell>
          <cell r="M2051">
            <v>31</v>
          </cell>
          <cell r="N2051" t="str">
            <v>RESOLUCION</v>
          </cell>
          <cell r="O2051">
            <v>21022018</v>
          </cell>
          <cell r="P2051">
            <v>43152</v>
          </cell>
          <cell r="Q2051" t="str">
            <v>AYUDA TEMPORAL A LAS FAMILIAS DE VARIAS LOCALIDADES, PARA RELOCALIZACIÓN DE HOGARES LOCALIZADOS EN ZONAS DE ALTO RIESGO NO MITIGABLE ID:2014-OTR-00895, LOCALIDAD:03 SANTA FE, UPZ:96 LOURDES, SECTOR:CASA 3</v>
          </cell>
          <cell r="R2051">
            <v>3014166</v>
          </cell>
          <cell r="S2051">
            <v>3014166</v>
          </cell>
          <cell r="T2051">
            <v>0</v>
          </cell>
          <cell r="U2051">
            <v>0</v>
          </cell>
          <cell r="V2051">
            <v>0</v>
          </cell>
        </row>
        <row r="2052">
          <cell r="J2052">
            <v>1437</v>
          </cell>
          <cell r="K2052">
            <v>43152</v>
          </cell>
          <cell r="L2052" t="str">
            <v>MARIA MARGARITA ACERO DE MORENO</v>
          </cell>
          <cell r="M2052">
            <v>31</v>
          </cell>
          <cell r="N2052" t="str">
            <v>RESOLUCION</v>
          </cell>
          <cell r="O2052">
            <v>1295</v>
          </cell>
          <cell r="P2052">
            <v>43152</v>
          </cell>
          <cell r="Q2052" t="str">
            <v>AYUDA TEMPORAL A LAS FAMILIAS DE VARIAS LOCALIDADES, PARA RELOCALIZACIÓN DE HOGARES LOCALIZADOS EN ZONAS DE ALTO RIESGO NO MITIGABLE ID:2014-Q03-00994, LOCALIDAD:19 CIUDAD BOLÍVAR, UPZ:66 SAN FRANCISCO, SECTOR:LIMAS</v>
          </cell>
          <cell r="R2052">
            <v>2217222</v>
          </cell>
          <cell r="S2052">
            <v>369537</v>
          </cell>
          <cell r="T2052">
            <v>0</v>
          </cell>
          <cell r="U2052">
            <v>1847685</v>
          </cell>
          <cell r="V2052">
            <v>1847685</v>
          </cell>
        </row>
        <row r="2053">
          <cell r="J2053">
            <v>1438</v>
          </cell>
          <cell r="K2053">
            <v>43152</v>
          </cell>
          <cell r="L2053" t="str">
            <v>ANGIE CENID TAPIA LOZANO</v>
          </cell>
          <cell r="M2053">
            <v>31</v>
          </cell>
          <cell r="N2053" t="str">
            <v>RESOLUCION</v>
          </cell>
          <cell r="O2053">
            <v>1296</v>
          </cell>
          <cell r="P2053">
            <v>43152</v>
          </cell>
          <cell r="Q2053" t="str">
            <v>AYUDA TEMPORAL A LAS FAMILIAS DE VARIAS LOCALIDADES, PARA RELOCALIZACIÓN DE HOGARES LOCALIZADOS EN ZONAS DE ALTO RIESGO NO MITIGABLE ID:2015-Q03-01486, LOCALIDAD:19 CIUDAD BOLÍVAR, UPZ:66 SAN FRANCISCO, SECTOR:LIMAS</v>
          </cell>
          <cell r="R2053">
            <v>2213148</v>
          </cell>
          <cell r="S2053">
            <v>368858</v>
          </cell>
          <cell r="T2053">
            <v>0</v>
          </cell>
          <cell r="U2053">
            <v>1844290</v>
          </cell>
          <cell r="V2053">
            <v>1844290</v>
          </cell>
        </row>
        <row r="2054">
          <cell r="J2054">
            <v>1439</v>
          </cell>
          <cell r="K2054">
            <v>43152</v>
          </cell>
          <cell r="L2054" t="str">
            <v>MARISOL  BURGOS</v>
          </cell>
          <cell r="M2054">
            <v>31</v>
          </cell>
          <cell r="N2054" t="str">
            <v>RESOLUCION</v>
          </cell>
          <cell r="O2054">
            <v>1297</v>
          </cell>
          <cell r="P2054">
            <v>43152</v>
          </cell>
          <cell r="Q2054" t="str">
            <v>AYUDA TEMPORAL A LAS FAMILIAS DE VARIAS LOCALIDADES, PARA RELOCALIZACIÓN DE HOGARES LOCALIZADOS EN ZONAS DE ALTO RIESGO NO MITIGABLE ID:2014-LC-00813, LOCALIDAD:19 CIUDAD BOLÍVAR, UPZ:69 ISMAEL PERDOMO</v>
          </cell>
          <cell r="R2054">
            <v>2590566</v>
          </cell>
          <cell r="S2054">
            <v>431761</v>
          </cell>
          <cell r="T2054">
            <v>0</v>
          </cell>
          <cell r="U2054">
            <v>2158805</v>
          </cell>
          <cell r="V2054">
            <v>2158805</v>
          </cell>
        </row>
        <row r="2055">
          <cell r="J2055">
            <v>1440</v>
          </cell>
          <cell r="K2055">
            <v>43152</v>
          </cell>
          <cell r="L2055" t="str">
            <v>JOSE ANGEL TORRES SAGANOME</v>
          </cell>
          <cell r="M2055">
            <v>31</v>
          </cell>
          <cell r="N2055" t="str">
            <v>RESOLUCION</v>
          </cell>
          <cell r="O2055">
            <v>1298</v>
          </cell>
          <cell r="P2055">
            <v>43152</v>
          </cell>
          <cell r="Q2055" t="str">
            <v>AYUDA TEMPORAL A LAS FAMILIAS DE VARIAS LOCALIDADES, PARA RELOCALIZACIÓN DE HOGARES LOCALIZADOS EN ZONAS DE ALTO RIESGO NO MITIGABLE ID:2014-OTR-01149, LOCALIDAD:11 SUBA, UPZ:71 TIBABUYES, SECTOR:GAVILANES</v>
          </cell>
          <cell r="R2055">
            <v>2550450</v>
          </cell>
          <cell r="S2055">
            <v>0</v>
          </cell>
          <cell r="T2055">
            <v>0</v>
          </cell>
          <cell r="U2055">
            <v>2550450</v>
          </cell>
          <cell r="V2055">
            <v>1275225</v>
          </cell>
        </row>
        <row r="2056">
          <cell r="J2056">
            <v>1441</v>
          </cell>
          <cell r="K2056">
            <v>43152</v>
          </cell>
          <cell r="L2056" t="str">
            <v>ROSA ELENA TORRES MOLINA</v>
          </cell>
          <cell r="M2056">
            <v>31</v>
          </cell>
          <cell r="N2056" t="str">
            <v>RESOLUCION</v>
          </cell>
          <cell r="O2056">
            <v>1326</v>
          </cell>
          <cell r="P2056">
            <v>43152</v>
          </cell>
          <cell r="Q2056" t="str">
            <v>AYUDA TEMPORAL A LAS FAMILIAS DE VARIAS LOCALIDADES, PARA RELOCALIZACIÓN DE HOGARES LOCALIZADOS EN ZONAS DE ALTO RIESGO NO MITIGABLE ID:2011-4-12715, LOCALIDAD:04 SAN CRISTÓBAL, UPZ:32 SAN BLAS, SECTOR:</v>
          </cell>
          <cell r="R2056">
            <v>2390202</v>
          </cell>
          <cell r="S2056">
            <v>398367</v>
          </cell>
          <cell r="T2056">
            <v>0</v>
          </cell>
          <cell r="U2056">
            <v>1991835</v>
          </cell>
          <cell r="V2056">
            <v>1991835</v>
          </cell>
        </row>
        <row r="2057">
          <cell r="J2057">
            <v>1442</v>
          </cell>
          <cell r="K2057">
            <v>43152</v>
          </cell>
          <cell r="L2057" t="str">
            <v>ERIKA LILIANA LAGUNA CUELLAR</v>
          </cell>
          <cell r="M2057">
            <v>31</v>
          </cell>
          <cell r="N2057" t="str">
            <v>RESOLUCION</v>
          </cell>
          <cell r="O2057">
            <v>1327</v>
          </cell>
          <cell r="P2057">
            <v>43152</v>
          </cell>
          <cell r="Q2057" t="str">
            <v>AYUDA TEMPORAL A LAS FAMILIAS DE VARIAS LOCALIDADES, PARA RELOCALIZACIÓN DE HOGARES LOCALIZADOS EN ZONAS DE ALTO RIESGO NO MITIGABLE ID:2014-Q09-01199, LOCALIDAD:19 CIUDAD BOLÍVAR, UPZ:67 LUCERO, SECTOR:QUEBRADA TROMPETA</v>
          </cell>
          <cell r="R2057">
            <v>2877096</v>
          </cell>
          <cell r="S2057">
            <v>479516</v>
          </cell>
          <cell r="T2057">
            <v>0</v>
          </cell>
          <cell r="U2057">
            <v>2397580</v>
          </cell>
          <cell r="V2057">
            <v>2397580</v>
          </cell>
        </row>
        <row r="2058">
          <cell r="J2058">
            <v>1443</v>
          </cell>
          <cell r="K2058">
            <v>43152</v>
          </cell>
          <cell r="L2058" t="str">
            <v>IDALI  GUZMAN ROCHA</v>
          </cell>
          <cell r="M2058">
            <v>31</v>
          </cell>
          <cell r="N2058" t="str">
            <v>RESOLUCION</v>
          </cell>
          <cell r="O2058">
            <v>1328</v>
          </cell>
          <cell r="P2058">
            <v>43152</v>
          </cell>
          <cell r="Q2058" t="str">
            <v>AYUDA TEMPORAL A LAS FAMILIAS DE VARIAS LOCALIDADES, PARA RELOCALIZACIÓN DE HOGARES LOCALIZADOS EN ZONAS DE ALTO RIESGO NO MITIGABLE ID:2014-Q09-01208, LOCALIDAD:19 CIUDAD BOLÍVAR, UPZ:67 LUCERO, SECTOR:QUEBRADA TROMPETA</v>
          </cell>
          <cell r="R2058">
            <v>2539035</v>
          </cell>
          <cell r="S2058">
            <v>0</v>
          </cell>
          <cell r="T2058">
            <v>0</v>
          </cell>
          <cell r="U2058">
            <v>2539035</v>
          </cell>
          <cell r="V2058">
            <v>1523421</v>
          </cell>
        </row>
        <row r="2059">
          <cell r="J2059">
            <v>1444</v>
          </cell>
          <cell r="K2059">
            <v>43152</v>
          </cell>
          <cell r="L2059" t="str">
            <v>JOSE MONZAIDE MAHECHA GONZALEZ</v>
          </cell>
          <cell r="M2059">
            <v>31</v>
          </cell>
          <cell r="N2059" t="str">
            <v>RESOLUCION</v>
          </cell>
          <cell r="O2059">
            <v>1300</v>
          </cell>
          <cell r="P2059">
            <v>43152</v>
          </cell>
          <cell r="Q2059" t="str">
            <v>AYUDA TEMPORAL A LAS FAMILIAS DE VARIAS LOCALIDADES, PARA RELOCALIZACIÓN DE HOGARES LOCALIZADOS EN ZONAS DE ALTO RIESGO NO MITIGABLE ID:2011-4-12667, LOCALIDAD:04 SAN CRISTÓBAL, UPZ:32 SAN BLAS.</v>
          </cell>
          <cell r="R2059">
            <v>2301678</v>
          </cell>
          <cell r="S2059">
            <v>383613</v>
          </cell>
          <cell r="T2059">
            <v>0</v>
          </cell>
          <cell r="U2059">
            <v>1918065</v>
          </cell>
          <cell r="V2059">
            <v>1918065</v>
          </cell>
        </row>
        <row r="2060">
          <cell r="J2060">
            <v>1445</v>
          </cell>
          <cell r="K2060">
            <v>43152</v>
          </cell>
          <cell r="L2060" t="str">
            <v>GLORIA INES MEJIA VARGAS</v>
          </cell>
          <cell r="M2060">
            <v>31</v>
          </cell>
          <cell r="N2060" t="str">
            <v>RESOLUCION</v>
          </cell>
          <cell r="O2060">
            <v>1301</v>
          </cell>
          <cell r="P2060">
            <v>43152</v>
          </cell>
          <cell r="Q2060" t="str">
            <v>AYUDA TEMPORAL A LAS FAMILIAS DE VARIAS LOCALIDADES, PARA RELOCALIZACIÓN DE HOGARES LOCALIZADOS EN ZONAS DE ALTO RIESGO NO MITIGABLE ID:2012-T314-11, LOCALIDAD:04 SAN CRISTÓBAL, UPZ:50 LA GLORIA.</v>
          </cell>
          <cell r="R2060">
            <v>2590566</v>
          </cell>
          <cell r="S2060">
            <v>431761</v>
          </cell>
          <cell r="T2060">
            <v>0</v>
          </cell>
          <cell r="U2060">
            <v>2158805</v>
          </cell>
          <cell r="V2060">
            <v>2158805</v>
          </cell>
        </row>
        <row r="2061">
          <cell r="J2061">
            <v>1446</v>
          </cell>
          <cell r="K2061">
            <v>43152</v>
          </cell>
          <cell r="L2061" t="str">
            <v>HERMENCIA EMILIA CASTAÑEDA BERNAL</v>
          </cell>
          <cell r="M2061">
            <v>31</v>
          </cell>
          <cell r="N2061" t="str">
            <v>RESOLUCION</v>
          </cell>
          <cell r="O2061">
            <v>1302</v>
          </cell>
          <cell r="P2061">
            <v>43152</v>
          </cell>
          <cell r="Q2061" t="str">
            <v>AYUDA TEMPORAL A LAS FAMILIAS DE VARIAS LOCALIDADES, PARA RELOCALIZACIÓN DE HOGARES LOCALIZADOS EN ZONAS DE ALTO RIESGO NO MITIGABLE ID:2012-19-14070, LOCALIDAD:19 CIUDAD BOLÍVAR, UPZ:68 EL TESORO, SECTOR:QUEBRADA TROMPETA</v>
          </cell>
          <cell r="R2061">
            <v>2892240</v>
          </cell>
          <cell r="S2061">
            <v>482040</v>
          </cell>
          <cell r="T2061">
            <v>0</v>
          </cell>
          <cell r="U2061">
            <v>2410200</v>
          </cell>
          <cell r="V2061">
            <v>2410200</v>
          </cell>
        </row>
        <row r="2062">
          <cell r="J2062">
            <v>1447</v>
          </cell>
          <cell r="K2062">
            <v>43152</v>
          </cell>
          <cell r="L2062" t="str">
            <v>OSWALDO ANTONIO GARCIA GOMEZ</v>
          </cell>
          <cell r="M2062">
            <v>31</v>
          </cell>
          <cell r="N2062" t="str">
            <v>RESOLUCION</v>
          </cell>
          <cell r="O2062">
            <v>1303</v>
          </cell>
          <cell r="P2062">
            <v>43152</v>
          </cell>
          <cell r="Q2062" t="str">
            <v>AYUDA TEMPORAL A LAS FAMILIAS DE VARIAS LOCALIDADES, PARA RELOCALIZACIÓN DE HOGARES LOCALIZADOS EN ZONAS DE ALTO RIESGO NO MITIGABLE ID:2011-4-12691, LOCALIDAD:04 SAN CRISTÓBAL, UPZ:32 SAN BLAS.</v>
          </cell>
          <cell r="R2062">
            <v>3093150</v>
          </cell>
          <cell r="S2062">
            <v>515525</v>
          </cell>
          <cell r="T2062">
            <v>0</v>
          </cell>
          <cell r="U2062">
            <v>2577625</v>
          </cell>
          <cell r="V2062">
            <v>2577625</v>
          </cell>
        </row>
        <row r="2063">
          <cell r="J2063">
            <v>1448</v>
          </cell>
          <cell r="K2063">
            <v>43152</v>
          </cell>
          <cell r="L2063" t="str">
            <v>INGRID YULIET BARRAGAN CARVAJAL</v>
          </cell>
          <cell r="M2063">
            <v>31</v>
          </cell>
          <cell r="N2063" t="str">
            <v>RESOLUCION</v>
          </cell>
          <cell r="O2063">
            <v>1304</v>
          </cell>
          <cell r="P2063">
            <v>43152</v>
          </cell>
          <cell r="Q2063" t="str">
            <v>AYUDA TEMPORAL A LAS FAMILIAS DE VARIAS LOCALIDADES, PARA RELOCALIZACIÓN DE HOGARES LOCALIZADOS EN ZONAS DE ALTO RIESGO NO MITIGABLE ID:2014-LC-00792, LOCALIDAD:19 CIUDAD BOLÍVAR, UPZ:69 ISMAEL PERDOMO.</v>
          </cell>
          <cell r="R2063">
            <v>2439960</v>
          </cell>
          <cell r="S2063">
            <v>406660</v>
          </cell>
          <cell r="T2063">
            <v>0</v>
          </cell>
          <cell r="U2063">
            <v>2033300</v>
          </cell>
          <cell r="V2063">
            <v>2033300</v>
          </cell>
        </row>
        <row r="2064">
          <cell r="J2064">
            <v>1449</v>
          </cell>
          <cell r="K2064">
            <v>43152</v>
          </cell>
          <cell r="L2064" t="str">
            <v>OMAIRA  VANEGAS QUINCHO</v>
          </cell>
          <cell r="M2064">
            <v>31</v>
          </cell>
          <cell r="N2064" t="str">
            <v>RESOLUCION</v>
          </cell>
          <cell r="O2064">
            <v>1329</v>
          </cell>
          <cell r="P2064">
            <v>43152</v>
          </cell>
          <cell r="Q2064" t="str">
            <v>AYUDA TEMPORAL A LAS FAMILIAS DE VARIAS LOCALIDADES, PARA RELOCALIZACIÓN DE HOGARES LOCALIZADOS EN ZONAS DE ALTO RIESGO NO MITIGABLE ID:2013000263, LOCALIDAD:04 SAN CRISTÓBAL, UPZ:51 LOS LIBERTADORES, SECTOR:QUEBRADA VEREJONES</v>
          </cell>
          <cell r="R2064">
            <v>4310000</v>
          </cell>
          <cell r="S2064">
            <v>0</v>
          </cell>
          <cell r="T2064">
            <v>0</v>
          </cell>
          <cell r="U2064">
            <v>4310000</v>
          </cell>
          <cell r="V2064">
            <v>3017000</v>
          </cell>
        </row>
        <row r="2065">
          <cell r="J2065">
            <v>1450</v>
          </cell>
          <cell r="K2065">
            <v>43152</v>
          </cell>
          <cell r="L2065" t="str">
            <v>GLORIA  NIÑO VILLALBA</v>
          </cell>
          <cell r="M2065">
            <v>31</v>
          </cell>
          <cell r="N2065" t="str">
            <v>RESOLUCION</v>
          </cell>
          <cell r="O2065">
            <v>1330</v>
          </cell>
          <cell r="P2065">
            <v>43152</v>
          </cell>
          <cell r="Q2065" t="str">
            <v>AYUDA TEMPORAL A LAS FAMILIAS DE VARIAS LOCALIDADES, PARA RELOCALIZACIÓN DE HOGARES LOCALIZADOS EN ZONAS DE ALTO RIESGO NO MITIGABLE ID:2014-OTR-00897, LOCALIDAD:03 SANTA FE, UPZ:96 LOURDES, SECTOR:CASA 3</v>
          </cell>
          <cell r="R2065">
            <v>2551518</v>
          </cell>
          <cell r="S2065">
            <v>425253</v>
          </cell>
          <cell r="T2065">
            <v>0</v>
          </cell>
          <cell r="U2065">
            <v>2126265</v>
          </cell>
          <cell r="V2065">
            <v>2126265</v>
          </cell>
        </row>
        <row r="2066">
          <cell r="J2066">
            <v>1451</v>
          </cell>
          <cell r="K2066">
            <v>43152</v>
          </cell>
          <cell r="L2066" t="str">
            <v>YAMILE  CESPEDES JIMENEZ</v>
          </cell>
          <cell r="M2066">
            <v>31</v>
          </cell>
          <cell r="N2066" t="str">
            <v>RESOLUCION</v>
          </cell>
          <cell r="O2066">
            <v>1294</v>
          </cell>
          <cell r="P2066">
            <v>43152</v>
          </cell>
          <cell r="Q2066" t="str">
            <v>AYUDA TEMPORAL A LAS FAMILIAS DE VARIAS LOCALIDADES, PARA RELOCALIZACIÓN DE HOGARES LOCALIZADOS EN ZONAS DE ALTO RIESGO NO MITIGABLE ID:2014-OTR-00895, LOCALIDAD:03 SANTA FE, UPZ:96 LOURDES, SECTOR:CASA 3</v>
          </cell>
          <cell r="R2066">
            <v>3014166</v>
          </cell>
          <cell r="S2066">
            <v>502361</v>
          </cell>
          <cell r="T2066">
            <v>0</v>
          </cell>
          <cell r="U2066">
            <v>2511805</v>
          </cell>
          <cell r="V2066">
            <v>2511805</v>
          </cell>
        </row>
        <row r="2067">
          <cell r="J2067">
            <v>1452</v>
          </cell>
          <cell r="K2067">
            <v>43152</v>
          </cell>
          <cell r="L2067" t="str">
            <v>MARIA NIBIA HERNANDEZ MUNEVAR</v>
          </cell>
          <cell r="M2067">
            <v>31</v>
          </cell>
          <cell r="N2067" t="str">
            <v>RESOLUCION</v>
          </cell>
          <cell r="O2067">
            <v>1331</v>
          </cell>
          <cell r="P2067">
            <v>43152</v>
          </cell>
          <cell r="Q2067" t="str">
            <v>AYUDA TEMPORAL A LAS FAMILIAS DE VARIAS LOCALIDADES, PARA RELOCALIZACIÓN DE HOGARES LOCALIZADOS EN ZONAS DE ALTO RIESGO NO MITIGABLE ID:2011-4-12642, LOCALIDAD:04 SAN CRISTÓBAL, UPZ:32 SAN BLAS, SECTOR:</v>
          </cell>
          <cell r="R2067">
            <v>2213148</v>
          </cell>
          <cell r="S2067">
            <v>368858</v>
          </cell>
          <cell r="T2067">
            <v>0</v>
          </cell>
          <cell r="U2067">
            <v>1844290</v>
          </cell>
          <cell r="V2067">
            <v>1844290</v>
          </cell>
        </row>
        <row r="2068">
          <cell r="J2068">
            <v>1453</v>
          </cell>
          <cell r="K2068">
            <v>43152</v>
          </cell>
          <cell r="L2068" t="str">
            <v>MARIA DE LOS ANGELES LOPEZ RUIZ</v>
          </cell>
          <cell r="M2068">
            <v>31</v>
          </cell>
          <cell r="N2068" t="str">
            <v>RESOLUCION</v>
          </cell>
          <cell r="O2068">
            <v>1332</v>
          </cell>
          <cell r="P2068">
            <v>43152</v>
          </cell>
          <cell r="Q2068" t="str">
            <v>AYUDA TEMPORAL A LAS FAMILIAS DE VARIAS LOCALIDADES, PARA RELOCALIZACIÓN DE HOGARES LOCALIZADOS EN ZONAS DE ALTO RIESGO NO MITIGABLE ID:2012-ALES-131, LOCALIDAD:19 CIUDAD BOLÍVAR, UPZ:69 ISMAEL PERDOMO, SECTOR:</v>
          </cell>
          <cell r="R2068">
            <v>3102000</v>
          </cell>
          <cell r="S2068">
            <v>517000</v>
          </cell>
          <cell r="T2068">
            <v>0</v>
          </cell>
          <cell r="U2068">
            <v>2585000</v>
          </cell>
          <cell r="V2068">
            <v>2585000</v>
          </cell>
        </row>
        <row r="2069">
          <cell r="J2069">
            <v>1454</v>
          </cell>
          <cell r="K2069">
            <v>43152</v>
          </cell>
          <cell r="L2069" t="str">
            <v>JOHAN MANUEL TORRES GALINDO</v>
          </cell>
          <cell r="M2069">
            <v>31</v>
          </cell>
          <cell r="N2069" t="str">
            <v>RESOLUCION</v>
          </cell>
          <cell r="O2069">
            <v>1355</v>
          </cell>
          <cell r="P2069">
            <v>43152</v>
          </cell>
          <cell r="Q2069" t="str">
            <v>Asignacion del instrumento financiero a las familias ocupantes del predio que hayan superado la fase de verificacion dentro  del marco del Decreto 457 de 2017. LOCALIDAD: KENNEDY; BARRIO: VEREDITAS; ID: 2018-8-383909</v>
          </cell>
          <cell r="R2069">
            <v>54686940</v>
          </cell>
          <cell r="S2069">
            <v>0</v>
          </cell>
          <cell r="T2069">
            <v>0</v>
          </cell>
          <cell r="U2069">
            <v>54686940</v>
          </cell>
          <cell r="V2069">
            <v>54686940</v>
          </cell>
        </row>
        <row r="2070">
          <cell r="J2070">
            <v>1455</v>
          </cell>
          <cell r="K2070">
            <v>43153</v>
          </cell>
          <cell r="L2070" t="str">
            <v>JUAN CARLOS LOPEZ RODRIGUEZ</v>
          </cell>
          <cell r="M2070">
            <v>31</v>
          </cell>
          <cell r="N2070" t="str">
            <v>RESOLUCION</v>
          </cell>
          <cell r="O2070">
            <v>1357</v>
          </cell>
          <cell r="P2070">
            <v>43153</v>
          </cell>
          <cell r="Q2070" t="str">
            <v>Asignacion del instrumento financiero a las familias ocupantes del predio que hayan superado la fase de verificacion dentro  del marco del Decreto 457 de 2017. LOCALIDAD: KENNEDY; BARRIO: VEREDITAS; ID: 2017-8-383811</v>
          </cell>
          <cell r="R2070">
            <v>54686940</v>
          </cell>
          <cell r="S2070">
            <v>0</v>
          </cell>
          <cell r="T2070">
            <v>0</v>
          </cell>
          <cell r="U2070">
            <v>54686940</v>
          </cell>
          <cell r="V2070">
            <v>54686940</v>
          </cell>
        </row>
        <row r="2071">
          <cell r="J2071">
            <v>1458</v>
          </cell>
          <cell r="K2071">
            <v>43154</v>
          </cell>
          <cell r="L2071" t="str">
            <v>JAIME  TORO VALENCIA</v>
          </cell>
          <cell r="M2071">
            <v>31</v>
          </cell>
          <cell r="N2071" t="str">
            <v>RESOLUCION</v>
          </cell>
          <cell r="O2071">
            <v>1378</v>
          </cell>
          <cell r="P2071">
            <v>43154</v>
          </cell>
          <cell r="Q2071" t="str">
            <v>Asignación de Vur por nuevo avaluo comercial a fin de resolver recurso de reposición (segunda vez).Dto 255 de 2013. LOCALIDAD:CIUDAD BOLIVAR; BARRIO: SAN RAFAEL; ID:2013-Q21-00660</v>
          </cell>
          <cell r="R2071">
            <v>4739060</v>
          </cell>
          <cell r="S2071">
            <v>0</v>
          </cell>
          <cell r="T2071">
            <v>0</v>
          </cell>
          <cell r="U2071">
            <v>4739060</v>
          </cell>
          <cell r="V2071">
            <v>4739060</v>
          </cell>
        </row>
        <row r="2072">
          <cell r="J2072">
            <v>1461</v>
          </cell>
          <cell r="K2072">
            <v>43154</v>
          </cell>
          <cell r="L2072" t="str">
            <v>JEIMY ALEJANDRA RUEDA LEON</v>
          </cell>
          <cell r="M2072">
            <v>31</v>
          </cell>
          <cell r="N2072" t="str">
            <v>RESOLUCION</v>
          </cell>
          <cell r="O2072">
            <v>1356</v>
          </cell>
          <cell r="P2072">
            <v>43154</v>
          </cell>
          <cell r="Q2072" t="str">
            <v>Asignacion del instrumento financiero a las familias ocupantes del predio que hayan superado la fase de verificacion dentro  del marco del Decreto 457 de 2017. LOCALIDAD: KENNEDY; BARRIO: VEREDITAS; ID: 2018-8-383929</v>
          </cell>
          <cell r="R2072">
            <v>54686940</v>
          </cell>
          <cell r="S2072">
            <v>0</v>
          </cell>
          <cell r="T2072">
            <v>0</v>
          </cell>
          <cell r="U2072">
            <v>54686940</v>
          </cell>
          <cell r="V2072">
            <v>54686940</v>
          </cell>
        </row>
        <row r="2073">
          <cell r="J2073">
            <v>1462</v>
          </cell>
          <cell r="K2073">
            <v>43154</v>
          </cell>
          <cell r="L2073" t="str">
            <v>LEYDI ALEXANDRA MESA CORREA</v>
          </cell>
          <cell r="M2073">
            <v>31</v>
          </cell>
          <cell r="N2073" t="str">
            <v>RESOLUCION</v>
          </cell>
          <cell r="O2073">
            <v>1299</v>
          </cell>
          <cell r="P2073">
            <v>43154</v>
          </cell>
          <cell r="Q2073" t="str">
            <v>AYUDA TEMPORAL A LAS FAMILIAS DE VARIAS LOCALIDADES, PARA RELOCALIZACIÓN DE HOGARES LOCALIZADOS EN ZONAS DE ALTO RIESGO NO MITIGABLE ID:2011-4-13344, LOCALIDAD:04 SAN CRISTÓBAL, UPZ:50 LA GLORIA</v>
          </cell>
          <cell r="R2073">
            <v>6296810</v>
          </cell>
          <cell r="S2073">
            <v>0</v>
          </cell>
          <cell r="T2073">
            <v>0</v>
          </cell>
          <cell r="U2073">
            <v>6296810</v>
          </cell>
          <cell r="V2073">
            <v>2906220</v>
          </cell>
        </row>
        <row r="2074">
          <cell r="J2074">
            <v>1463</v>
          </cell>
          <cell r="K2074">
            <v>43154</v>
          </cell>
          <cell r="L2074" t="str">
            <v>MERCEDES  CHAPARRO</v>
          </cell>
          <cell r="M2074">
            <v>31</v>
          </cell>
          <cell r="N2074" t="str">
            <v>RESOLUCION</v>
          </cell>
          <cell r="O2074">
            <v>1381</v>
          </cell>
          <cell r="P2074">
            <v>43154</v>
          </cell>
          <cell r="Q2074" t="str">
            <v>AYUDA TEMPORAL A LAS FAMILIAS DE VARIAS LOCALIDADES, PARA RELOCALIZACIÓN DE HOGARES LOCALIZADOS EN ZONAS DE ALTO RIESGO NO MITIGABLE ID:2013-Q10-00520, LOCALIDAD:04 SAN CRISTÓBAL, UPZ:51 LOS LIBERTADORES, SECTOR:QUEBRADA VEREJONES</v>
          </cell>
          <cell r="R2074">
            <v>2301678</v>
          </cell>
          <cell r="S2074">
            <v>383613</v>
          </cell>
          <cell r="T2074">
            <v>0</v>
          </cell>
          <cell r="U2074">
            <v>1918065</v>
          </cell>
          <cell r="V2074">
            <v>1918065</v>
          </cell>
        </row>
        <row r="2075">
          <cell r="J2075">
            <v>1464</v>
          </cell>
          <cell r="K2075">
            <v>43154</v>
          </cell>
          <cell r="L2075" t="str">
            <v>ANA MARIA JIMENEZ MARTINEZ</v>
          </cell>
          <cell r="M2075">
            <v>31</v>
          </cell>
          <cell r="N2075" t="str">
            <v>RESOLUCION</v>
          </cell>
          <cell r="O2075">
            <v>1376</v>
          </cell>
          <cell r="P2075">
            <v>43154</v>
          </cell>
          <cell r="Q2075" t="str">
            <v>AYUDA TEMPORAL A LAS FAMILIAS DE VARIAS LOCALIDADES, PARA RELOCALIZACIÓN DE HOGARES LOCALIZADOS EN ZONAS DE ALTO RIESGO NO MITIGABLE ID:2013-4-14643, LOCALIDAD:04 SAN CRISTÓBAL, UPZ:32 SAN BLAS</v>
          </cell>
          <cell r="R2075">
            <v>3619000</v>
          </cell>
          <cell r="S2075">
            <v>517000</v>
          </cell>
          <cell r="T2075">
            <v>0</v>
          </cell>
          <cell r="U2075">
            <v>3102000</v>
          </cell>
          <cell r="V2075">
            <v>3102000</v>
          </cell>
        </row>
        <row r="2076">
          <cell r="J2076">
            <v>1465</v>
          </cell>
          <cell r="K2076">
            <v>43154</v>
          </cell>
          <cell r="L2076" t="str">
            <v>JORGE ARNULFO PACANCHIQUE LOPEZ</v>
          </cell>
          <cell r="M2076">
            <v>31</v>
          </cell>
          <cell r="N2076" t="str">
            <v>RESOLUCION</v>
          </cell>
          <cell r="O2076">
            <v>1377</v>
          </cell>
          <cell r="P2076">
            <v>43154</v>
          </cell>
          <cell r="Q2076" t="str">
            <v>AYUDA TEMPORAL A LAS FAMILIAS DE VARIAS LOCALIDADES, PARA RELOCALIZACIÓN DE HOGARES LOCALIZADOS EN ZONAS DE ALTO RIESGO NO MITIGABLE ID:2014-OTR-01155, LOCALIDAD:11 SUBA, UPZ:71 TIBABUYES, SECTOR:GAVILANES</v>
          </cell>
          <cell r="R2076">
            <v>3017000</v>
          </cell>
          <cell r="S2076">
            <v>431000</v>
          </cell>
          <cell r="T2076">
            <v>0</v>
          </cell>
          <cell r="U2076">
            <v>2586000</v>
          </cell>
          <cell r="V2076">
            <v>2586000</v>
          </cell>
        </row>
        <row r="2077">
          <cell r="J2077">
            <v>1469</v>
          </cell>
          <cell r="K2077">
            <v>43154</v>
          </cell>
          <cell r="L2077" t="str">
            <v>BLANCA RUTH NARANJO PATARROYO</v>
          </cell>
          <cell r="M2077">
            <v>31</v>
          </cell>
          <cell r="N2077" t="str">
            <v>RESOLUCION</v>
          </cell>
          <cell r="O2077">
            <v>1380</v>
          </cell>
          <cell r="P2077">
            <v>43154</v>
          </cell>
          <cell r="Q2077" t="str">
            <v>AYUDA TEMPORAL A LAS FAMILIAS DE VARIAS LOCALIDADES, PARA RELOCALIZACIÓN DE HOGARES LOCALIZADOS EN ZONAS DE ALTO RIESGO NO MITIGABLE ID:2014-OTR-00887, LOCALIDAD:03 SANTA FE, UPZ:96 LOURDES, SECTOR:CASA 2</v>
          </cell>
          <cell r="R2077">
            <v>2550450</v>
          </cell>
          <cell r="S2077">
            <v>425075</v>
          </cell>
          <cell r="T2077">
            <v>0</v>
          </cell>
          <cell r="U2077">
            <v>2125375</v>
          </cell>
          <cell r="V2077">
            <v>2125375</v>
          </cell>
        </row>
        <row r="2078">
          <cell r="J2078">
            <v>1470</v>
          </cell>
          <cell r="K2078">
            <v>43158</v>
          </cell>
          <cell r="L2078" t="str">
            <v>AMERICO  CABEZON PIRAZA</v>
          </cell>
          <cell r="M2078">
            <v>31</v>
          </cell>
          <cell r="N2078" t="str">
            <v>RESOLUCION</v>
          </cell>
          <cell r="O2078">
            <v>1391</v>
          </cell>
          <cell r="P2078">
            <v>43158</v>
          </cell>
          <cell r="Q2078" t="str">
            <v>AYUDA TEMPORAL A LAS FAMILIAS DE VARIAS LOCALIDADES, PARA RELOCALIZACIÓN DE HOGARES LOCALIZADOS EN ZONAS DE ALTO RIESGO NO MITIGABLE ID:2014-W166-040, LOCALIDAD:19 CIUDAD BOLÍVAR, UPZ:68 EL TESORO, SECTOR:WOUNAAN</v>
          </cell>
          <cell r="R2078">
            <v>3357900</v>
          </cell>
          <cell r="S2078">
            <v>479700</v>
          </cell>
          <cell r="T2078">
            <v>0</v>
          </cell>
          <cell r="U2078">
            <v>2878200</v>
          </cell>
          <cell r="V2078">
            <v>2878200</v>
          </cell>
        </row>
        <row r="2079">
          <cell r="J2079">
            <v>1471</v>
          </cell>
          <cell r="K2079">
            <v>43158</v>
          </cell>
          <cell r="L2079" t="str">
            <v>RODRIGO  CORREDOR</v>
          </cell>
          <cell r="M2079">
            <v>31</v>
          </cell>
          <cell r="N2079" t="str">
            <v>RESOLUCION</v>
          </cell>
          <cell r="O2079">
            <v>1392</v>
          </cell>
          <cell r="P2079">
            <v>43158</v>
          </cell>
          <cell r="Q2079" t="str">
            <v>AYUDA TEMPORAL A LAS FAMILIAS DE VARIAS LOCALIDADES, PARA RELOCALIZACIÓN DE HOGARES LOCALIZADOS EN ZONAS DE ALTO RIESGO NO MITIGABLE ID:2013-Q09-00577, LOCALIDAD:19 CIUDAD BOLÍVAR, UPZ:67 LUCERO, SECTOR:QUEBRADA TROMPETA</v>
          </cell>
          <cell r="R2079">
            <v>3102000</v>
          </cell>
          <cell r="S2079">
            <v>517000</v>
          </cell>
          <cell r="T2079">
            <v>0</v>
          </cell>
          <cell r="U2079">
            <v>2585000</v>
          </cell>
          <cell r="V2079">
            <v>2585000</v>
          </cell>
        </row>
        <row r="2080">
          <cell r="J2080">
            <v>1472</v>
          </cell>
          <cell r="K2080">
            <v>43158</v>
          </cell>
          <cell r="L2080" t="str">
            <v>NELSON  BERMUDEZ RAMIREZ</v>
          </cell>
          <cell r="M2080">
            <v>31</v>
          </cell>
          <cell r="N2080" t="str">
            <v>RESOLUCION</v>
          </cell>
          <cell r="O2080">
            <v>1394</v>
          </cell>
          <cell r="P2080">
            <v>43158</v>
          </cell>
          <cell r="Q2080" t="str">
            <v>AYUDA TEMPORAL A LAS FAMILIAS DE VARIAS LOCALIDADES, PARA RELOCALIZACIÓN DE HOGARES LOCALIZADOS EN ZONAS DE ALTO RIESGO NO MITIGABLE ID:2011-4-12636, LOCALIDAD:04 SAN CRISTÓBAL, UPZ:32 SAN BLAS</v>
          </cell>
          <cell r="R2080">
            <v>2590566</v>
          </cell>
          <cell r="S2080">
            <v>431761</v>
          </cell>
          <cell r="T2080">
            <v>0</v>
          </cell>
          <cell r="U2080">
            <v>2158805</v>
          </cell>
          <cell r="V2080">
            <v>2158805</v>
          </cell>
        </row>
        <row r="2081">
          <cell r="J2081">
            <v>1473</v>
          </cell>
          <cell r="K2081">
            <v>43159</v>
          </cell>
          <cell r="L2081" t="str">
            <v>LUIS CARLOS COY GUIO</v>
          </cell>
          <cell r="M2081">
            <v>31</v>
          </cell>
          <cell r="N2081" t="str">
            <v>RESOLUCION</v>
          </cell>
          <cell r="O2081">
            <v>1395</v>
          </cell>
          <cell r="P2081">
            <v>43159</v>
          </cell>
          <cell r="Q2081" t="str">
            <v>AYUDA TEMPORAL A LAS FAMILIAS DE VARIAS LOCALIDADES, PARA RELOCALIZACIÓN DE HOGARES LOCALIZADOS EN ZONAS DE ALTO RIESGO NO MITIGABLE ID:2011-4-12631, LOCALIDAD:04 SAN CRISTÓBAL, UPZ:32 SAN BLAS</v>
          </cell>
          <cell r="R2081">
            <v>2281062</v>
          </cell>
          <cell r="S2081">
            <v>380177</v>
          </cell>
          <cell r="T2081">
            <v>0</v>
          </cell>
          <cell r="U2081">
            <v>1900885</v>
          </cell>
          <cell r="V2081">
            <v>1900885</v>
          </cell>
        </row>
        <row r="2082">
          <cell r="J2082">
            <v>1474</v>
          </cell>
          <cell r="K2082">
            <v>43159</v>
          </cell>
          <cell r="L2082" t="str">
            <v>LUZ MARINA ADAN</v>
          </cell>
          <cell r="M2082">
            <v>31</v>
          </cell>
          <cell r="N2082" t="str">
            <v>RESOLUCION</v>
          </cell>
          <cell r="O2082">
            <v>1393</v>
          </cell>
          <cell r="P2082">
            <v>43159</v>
          </cell>
          <cell r="Q2082" t="str">
            <v>AYUDA TEMPORAL A LAS FAMILIAS DE VARIAS LOCALIDADES, PARA RELOCALIZACIÓN DE HOGARES LOCALIZADOS EN ZONAS DE ALTO RIESGO NO MITIGABLE ID:2014-OTR-00869, LOCALIDAD:03 SANTA FE, UPZ:96 LOURDES, SECTOR:CASA 1</v>
          </cell>
          <cell r="R2082">
            <v>2550450</v>
          </cell>
          <cell r="S2082">
            <v>425075</v>
          </cell>
          <cell r="T2082">
            <v>0</v>
          </cell>
          <cell r="U2082">
            <v>2125375</v>
          </cell>
          <cell r="V2082">
            <v>2125375</v>
          </cell>
        </row>
        <row r="2083">
          <cell r="J2083">
            <v>1476</v>
          </cell>
          <cell r="K2083">
            <v>43160</v>
          </cell>
          <cell r="L2083" t="str">
            <v>YENNI MAYERLY GARCIA DIAZ</v>
          </cell>
          <cell r="M2083">
            <v>31</v>
          </cell>
          <cell r="N2083" t="str">
            <v>RESOLUCION</v>
          </cell>
          <cell r="O2083">
            <v>1415</v>
          </cell>
          <cell r="P2083">
            <v>43160</v>
          </cell>
          <cell r="Q2083" t="str">
            <v>Asignacion del instrumento financiero a las familias ocupantes del predio que hayan superado la fase de verificacion dentro  del marco del Decreto 457 de 2017. LOCALIDAD: KENNEDY; BARRIO: VEREDITAS; ID: 2017-8-383848</v>
          </cell>
          <cell r="R2083">
            <v>54686940</v>
          </cell>
          <cell r="S2083">
            <v>0</v>
          </cell>
          <cell r="T2083">
            <v>0</v>
          </cell>
          <cell r="U2083">
            <v>54686940</v>
          </cell>
          <cell r="V2083">
            <v>54686940</v>
          </cell>
        </row>
        <row r="2084">
          <cell r="J2084">
            <v>1477</v>
          </cell>
          <cell r="K2084">
            <v>43160</v>
          </cell>
          <cell r="L2084" t="str">
            <v>YENNY CATERINE ALVAREZ AREVALO</v>
          </cell>
          <cell r="M2084">
            <v>31</v>
          </cell>
          <cell r="N2084" t="str">
            <v>RESOLUCION</v>
          </cell>
          <cell r="O2084">
            <v>1416</v>
          </cell>
          <cell r="P2084">
            <v>43160</v>
          </cell>
          <cell r="Q2084" t="str">
            <v>Asignacion del instrumento financiero a las familias ocupantes del predio que hayan superado la fase de verificacion dentro  del marco del Decreto 457 de 2017. LOCALIDAD: KENNEDY; BARRIO: VEREDITAS; ID: 2017-8-383671</v>
          </cell>
          <cell r="R2084">
            <v>54686940</v>
          </cell>
          <cell r="S2084">
            <v>0</v>
          </cell>
          <cell r="T2084">
            <v>0</v>
          </cell>
          <cell r="U2084">
            <v>54686940</v>
          </cell>
          <cell r="V2084">
            <v>54686940</v>
          </cell>
        </row>
        <row r="2085">
          <cell r="J2085">
            <v>1478</v>
          </cell>
          <cell r="K2085">
            <v>43160</v>
          </cell>
          <cell r="L2085" t="str">
            <v>PAULA ANDREA LONDOÑO LEON</v>
          </cell>
          <cell r="M2085">
            <v>31</v>
          </cell>
          <cell r="N2085" t="str">
            <v>RESOLUCION</v>
          </cell>
          <cell r="O2085">
            <v>1413</v>
          </cell>
          <cell r="P2085">
            <v>43160</v>
          </cell>
          <cell r="Q2085" t="str">
            <v>Asignacion del instrumento financiero a las familias ocupantes del predio que hayan superado la fase de verificacion dentro  del marco del Decreto 457 de 2017. LOCALIDAD: KENNEDY; BARRIO: VEREDITAS; ID: 2018-8-383928.</v>
          </cell>
          <cell r="R2085">
            <v>54686940</v>
          </cell>
          <cell r="S2085">
            <v>0</v>
          </cell>
          <cell r="T2085">
            <v>0</v>
          </cell>
          <cell r="U2085">
            <v>54686940</v>
          </cell>
          <cell r="V2085">
            <v>54686940</v>
          </cell>
        </row>
        <row r="2086">
          <cell r="J2086">
            <v>1479</v>
          </cell>
          <cell r="K2086">
            <v>43160</v>
          </cell>
          <cell r="L2086" t="str">
            <v>ANGELICA MARIA MONSALVE MALAGON</v>
          </cell>
          <cell r="M2086">
            <v>31</v>
          </cell>
          <cell r="N2086" t="str">
            <v>RESOLUCION</v>
          </cell>
          <cell r="O2086">
            <v>1417</v>
          </cell>
          <cell r="P2086">
            <v>43160</v>
          </cell>
          <cell r="Q2086" t="str">
            <v>Asignacion del instrumento financiero a las familias ocupantes del predio que hayan superado la fase de verificacion dentro  del marco del Decreto 457 de 2017. LOCALIDAD: KENNEDY; BARRIO: VEREDITAS; ID: 2017-8-383758</v>
          </cell>
          <cell r="R2086">
            <v>54686940</v>
          </cell>
          <cell r="S2086">
            <v>0</v>
          </cell>
          <cell r="T2086">
            <v>0</v>
          </cell>
          <cell r="U2086">
            <v>54686940</v>
          </cell>
          <cell r="V2086">
            <v>54686940</v>
          </cell>
        </row>
        <row r="2087">
          <cell r="J2087">
            <v>1480</v>
          </cell>
          <cell r="K2087">
            <v>43160</v>
          </cell>
          <cell r="L2087" t="str">
            <v>CAROLINA  RAMIREZ PEÑA</v>
          </cell>
          <cell r="M2087">
            <v>31</v>
          </cell>
          <cell r="N2087" t="str">
            <v>RESOLUCION</v>
          </cell>
          <cell r="O2087">
            <v>1414</v>
          </cell>
          <cell r="P2087">
            <v>43160</v>
          </cell>
          <cell r="Q2087" t="str">
            <v>Asignacion del instrumento financiero a las familias ocupantes del predio que hayan superado la fase de verificacion dentro  del marco del Decreto 457 de 2017. LOCALIDAD: KENNEDY; BARRIO: VEREDITAS; ID: 2018-8-383925</v>
          </cell>
          <cell r="R2087">
            <v>54686940</v>
          </cell>
          <cell r="S2087">
            <v>0</v>
          </cell>
          <cell r="T2087">
            <v>0</v>
          </cell>
          <cell r="U2087">
            <v>54686940</v>
          </cell>
          <cell r="V2087">
            <v>54686940</v>
          </cell>
        </row>
        <row r="2088">
          <cell r="J2088">
            <v>1481</v>
          </cell>
          <cell r="K2088">
            <v>43160</v>
          </cell>
          <cell r="L2088" t="str">
            <v>WILLIAM  GALINDO CASTEBLANCO</v>
          </cell>
          <cell r="M2088">
            <v>31</v>
          </cell>
          <cell r="N2088" t="str">
            <v>RESOLUCION</v>
          </cell>
          <cell r="O2088">
            <v>1418</v>
          </cell>
          <cell r="P2088">
            <v>43160</v>
          </cell>
          <cell r="Q2088" t="str">
            <v>Asignacion del instrumento financiero a las familias ocupantes del predio que hayan superado la fase de verificacion dentro  del marco del Decreto 457 de 2017. LOCALIDAD: KENNEDY; BARRIO: VEREDITAS; ID: 2018-8-383927</v>
          </cell>
          <cell r="R2088">
            <v>54686940</v>
          </cell>
          <cell r="S2088">
            <v>0</v>
          </cell>
          <cell r="T2088">
            <v>0</v>
          </cell>
          <cell r="U2088">
            <v>54686940</v>
          </cell>
          <cell r="V2088">
            <v>54686940</v>
          </cell>
        </row>
        <row r="2089">
          <cell r="J2089">
            <v>1482</v>
          </cell>
          <cell r="K2089">
            <v>43160</v>
          </cell>
          <cell r="L2089" t="str">
            <v>ANA MARIA GOMEZ RAMIREZ</v>
          </cell>
          <cell r="M2089">
            <v>31</v>
          </cell>
          <cell r="N2089" t="str">
            <v>RESOLUCION</v>
          </cell>
          <cell r="O2089">
            <v>1462</v>
          </cell>
          <cell r="P2089">
            <v>43160</v>
          </cell>
          <cell r="Q2089" t="str">
            <v>Asignacion del instrumento financiero a las familias ocupantes del predio que hayan superado la fase de verificacion dentro  del marco del Decreto 457 de 2017. LOCALIDAD: KENNEDY; BARRIO: VEREDITAS; ID: 2017-8-383601</v>
          </cell>
          <cell r="R2089">
            <v>54686940</v>
          </cell>
          <cell r="S2089">
            <v>0</v>
          </cell>
          <cell r="T2089">
            <v>0</v>
          </cell>
          <cell r="U2089">
            <v>54686940</v>
          </cell>
          <cell r="V2089">
            <v>54686940</v>
          </cell>
        </row>
        <row r="2090">
          <cell r="J2090">
            <v>1483</v>
          </cell>
          <cell r="K2090">
            <v>43160</v>
          </cell>
          <cell r="L2090" t="str">
            <v>IVAN RIVERA CESPEDES</v>
          </cell>
          <cell r="M2090">
            <v>31</v>
          </cell>
          <cell r="N2090" t="str">
            <v>RESOLUCION</v>
          </cell>
          <cell r="O2090">
            <v>1461</v>
          </cell>
          <cell r="P2090">
            <v>43160</v>
          </cell>
          <cell r="Q2090" t="str">
            <v>Asignacion del instrumento financiero a las familias ocupantes del predio que hayan superado la fase de verificacion dentro  del marco del Decreto 457 de 2017. LOCALIDAD: KENNEDY; BARRIO: VEREDITAS; ID: 2018-8-383919</v>
          </cell>
          <cell r="R2090">
            <v>54686940</v>
          </cell>
          <cell r="S2090">
            <v>0</v>
          </cell>
          <cell r="T2090">
            <v>0</v>
          </cell>
          <cell r="U2090">
            <v>54686940</v>
          </cell>
          <cell r="V2090">
            <v>54686940</v>
          </cell>
        </row>
        <row r="2091">
          <cell r="J2091">
            <v>1485</v>
          </cell>
          <cell r="K2091">
            <v>43160</v>
          </cell>
          <cell r="L2091" t="str">
            <v>PAOLA ANDREA GOMEZ RAMIREZ</v>
          </cell>
          <cell r="M2091">
            <v>31</v>
          </cell>
          <cell r="N2091" t="str">
            <v>RESOLUCION</v>
          </cell>
          <cell r="O2091">
            <v>1460</v>
          </cell>
          <cell r="P2091">
            <v>43160</v>
          </cell>
          <cell r="Q2091" t="str">
            <v>Asignacion del instrumento financiero a las familias ocupantes del predio que hayan superado la fase de verificacion dentro  del marco del Decreto 457 de 2017. LOCALIDAD: KENNEDY; BARRIO: VEREDITAS; ID: 2018-8-383918</v>
          </cell>
          <cell r="R2091">
            <v>54686940</v>
          </cell>
          <cell r="S2091">
            <v>0</v>
          </cell>
          <cell r="T2091">
            <v>0</v>
          </cell>
          <cell r="U2091">
            <v>54686940</v>
          </cell>
          <cell r="V2091">
            <v>54686940</v>
          </cell>
        </row>
        <row r="2092">
          <cell r="J2092">
            <v>1486</v>
          </cell>
          <cell r="K2092">
            <v>43161</v>
          </cell>
          <cell r="L2092" t="str">
            <v>LUZ MARINA MESA MOLINA</v>
          </cell>
          <cell r="M2092">
            <v>31</v>
          </cell>
          <cell r="N2092" t="str">
            <v>RESOLUCION</v>
          </cell>
          <cell r="O2092">
            <v>1436</v>
          </cell>
          <cell r="P2092">
            <v>43161</v>
          </cell>
          <cell r="Q2092" t="str">
            <v>AYUDA TEMPORAL A LAS FAMILIAS DE VARIAS LOCALIDADES, PARA LA RELOCALIZACIÓN DE HOGARES LOCALIZADOS EN ZONAS DE ALTO RIESGO NO MITIGABLE ID:2007-4-10615, LOCALIDAD:04 SAN CRISTÓBAL, UPZ:34 20 DE JULIO</v>
          </cell>
          <cell r="R2092">
            <v>3201695</v>
          </cell>
          <cell r="S2092">
            <v>457385</v>
          </cell>
          <cell r="T2092">
            <v>0</v>
          </cell>
          <cell r="U2092">
            <v>2744310</v>
          </cell>
          <cell r="V2092">
            <v>2744310</v>
          </cell>
        </row>
        <row r="2093">
          <cell r="J2093">
            <v>1487</v>
          </cell>
          <cell r="K2093">
            <v>43161</v>
          </cell>
          <cell r="L2093" t="str">
            <v>AIDA LILA MENDIVELSO ALAPE</v>
          </cell>
          <cell r="M2093">
            <v>31</v>
          </cell>
          <cell r="N2093" t="str">
            <v>RESOLUCION</v>
          </cell>
          <cell r="O2093">
            <v>1437</v>
          </cell>
          <cell r="P2093">
            <v>43161</v>
          </cell>
          <cell r="Q2093" t="str">
            <v>AYUDA TEMPORAL A LAS FAMILIAS DE VARIAS LOCALIDADES, PARA LA RELOCALIZACIÓN DE HOGARES LOCALIZADOS EN ZONAS DE ALTO RIESGO NO MITIGABLE ID:2013-4-14655, LOCALIDAD:04 SAN CRISTÓBAL, UPZ:32 SAN BLAS</v>
          </cell>
          <cell r="R2093">
            <v>4101524</v>
          </cell>
          <cell r="S2093">
            <v>0</v>
          </cell>
          <cell r="T2093">
            <v>0</v>
          </cell>
          <cell r="U2093">
            <v>4101524</v>
          </cell>
          <cell r="V2093">
            <v>3515592</v>
          </cell>
        </row>
        <row r="2094">
          <cell r="J2094">
            <v>1488</v>
          </cell>
          <cell r="K2094">
            <v>43161</v>
          </cell>
          <cell r="L2094" t="str">
            <v>RITA  GONZALEZ</v>
          </cell>
          <cell r="M2094">
            <v>31</v>
          </cell>
          <cell r="N2094" t="str">
            <v>RESOLUCION</v>
          </cell>
          <cell r="O2094">
            <v>1438</v>
          </cell>
          <cell r="P2094">
            <v>43161</v>
          </cell>
          <cell r="Q2094" t="str">
            <v>AYUDA TEMPORAL A LAS FAMILIAS DE VARIAS LOCALIDADES, PARA LA RELOCALIZACIÓN DE HOGARES LOCALIZADOS EN ZONAS DE ALTO RIESGO NO MITIGABLE ID:2012-19-13843, LOCALIDAD:19 CIUDAD BOLÍVAR, UPZ:67 LUCERO</v>
          </cell>
          <cell r="R2094">
            <v>3712284</v>
          </cell>
          <cell r="S2094">
            <v>0</v>
          </cell>
          <cell r="T2094">
            <v>0</v>
          </cell>
          <cell r="U2094">
            <v>3712284</v>
          </cell>
          <cell r="V2094">
            <v>2474856</v>
          </cell>
        </row>
        <row r="2095">
          <cell r="J2095">
            <v>1489</v>
          </cell>
          <cell r="K2095">
            <v>43161</v>
          </cell>
          <cell r="L2095" t="str">
            <v>DIANA MARCELA HOYOS</v>
          </cell>
          <cell r="M2095">
            <v>31</v>
          </cell>
          <cell r="N2095" t="str">
            <v>RESOLUCION</v>
          </cell>
          <cell r="O2095">
            <v>1439</v>
          </cell>
          <cell r="P2095">
            <v>43161</v>
          </cell>
          <cell r="Q2095" t="str">
            <v>AYUDA TEMPORAL A LAS FAMILIAS DE VARIAS LOCALIDADES, PARA LA RELOCALIZACIÓN DE HOGARES LOCALIZADOS EN ZONAS DE ALTO RIESGO NO MITIGABLE ID:2015-Q03-01243, LOCALIDAD:19 CIUDAD BOLÍVAR, UPZ:66 SAN FRANCISCO, SECTOR:LIMAS</v>
          </cell>
          <cell r="R2095">
            <v>4296831</v>
          </cell>
          <cell r="S2095">
            <v>0</v>
          </cell>
          <cell r="T2095">
            <v>0</v>
          </cell>
          <cell r="U2095">
            <v>4296831</v>
          </cell>
          <cell r="V2095">
            <v>1953105</v>
          </cell>
        </row>
        <row r="2096">
          <cell r="J2096">
            <v>1490</v>
          </cell>
          <cell r="K2096">
            <v>43161</v>
          </cell>
          <cell r="L2096" t="str">
            <v>JUAN CARLOS DUEÑAS HERNANDEZ</v>
          </cell>
          <cell r="M2096">
            <v>31</v>
          </cell>
          <cell r="N2096" t="str">
            <v>RESOLUCION</v>
          </cell>
          <cell r="O2096">
            <v>1440</v>
          </cell>
          <cell r="P2096">
            <v>43161</v>
          </cell>
          <cell r="Q2096" t="str">
            <v>AYUDA TEMPORAL A LAS FAMILIAS DE VARIAS LOCALIDADES, PARA LA RELOCALIZACIÓN DE HOGARES LOCALIZADOS EN ZONAS DE ALTO RIESGO NO MITIGABLE ID:2012-19-13977, LOCALIDAD:19 CIUDAD BOLÍVAR, UPZ:68 EL TESORO</v>
          </cell>
          <cell r="R2096">
            <v>3098410</v>
          </cell>
          <cell r="S2096">
            <v>442630</v>
          </cell>
          <cell r="T2096">
            <v>0</v>
          </cell>
          <cell r="U2096">
            <v>2655780</v>
          </cell>
          <cell r="V2096">
            <v>2655780</v>
          </cell>
        </row>
        <row r="2097">
          <cell r="J2097">
            <v>1491</v>
          </cell>
          <cell r="K2097">
            <v>43161</v>
          </cell>
          <cell r="L2097" t="str">
            <v>PATRICIA  MALAGON RINCON</v>
          </cell>
          <cell r="M2097">
            <v>31</v>
          </cell>
          <cell r="N2097" t="str">
            <v>RESOLUCION</v>
          </cell>
          <cell r="O2097">
            <v>1441</v>
          </cell>
          <cell r="P2097">
            <v>43161</v>
          </cell>
          <cell r="Q2097" t="str">
            <v>AYUDA TEMPORAL A LAS FAMILIAS DE VARIAS LOCALIDADES, PARA LA RELOCALIZACIÓN DE HOGARES LOCALIZADOS EN ZONAS DE ALTO RIESGO NO MITIGABLE ID:2016-08-14840, LOCALIDAD:08 KENNEDY, UPZ:82 PATIO BONITO, SECTOR:PALMITAS</v>
          </cell>
          <cell r="R2097">
            <v>3098410</v>
          </cell>
          <cell r="S2097">
            <v>442630</v>
          </cell>
          <cell r="T2097">
            <v>0</v>
          </cell>
          <cell r="U2097">
            <v>2655780</v>
          </cell>
          <cell r="V2097">
            <v>2655780</v>
          </cell>
        </row>
        <row r="2098">
          <cell r="J2098">
            <v>1492</v>
          </cell>
          <cell r="K2098">
            <v>43161</v>
          </cell>
          <cell r="L2098" t="str">
            <v>NELLY FRANCISCA VALENCIA MEJIA</v>
          </cell>
          <cell r="M2098">
            <v>31</v>
          </cell>
          <cell r="N2098" t="str">
            <v>RESOLUCION</v>
          </cell>
          <cell r="O2098">
            <v>1442</v>
          </cell>
          <cell r="P2098">
            <v>43161</v>
          </cell>
          <cell r="Q2098" t="str">
            <v>AYUDA TEMPORAL A LAS FAMILIAS DE VARIAS LOCALIDADES, PARA LA RELOCALIZACIÓN DE HOGARES LOCALIZADOS EN ZONAS DE ALTO RIESGO NO MITIGABLE ID:2015-W166-212, LOCALIDAD:04 SAN CRISTÓBAL, UPZ:33 SOSIEGO, SECTOR:EPERARA</v>
          </cell>
          <cell r="R2098">
            <v>5532880</v>
          </cell>
          <cell r="S2098">
            <v>0</v>
          </cell>
          <cell r="T2098">
            <v>0</v>
          </cell>
          <cell r="U2098">
            <v>5532880</v>
          </cell>
          <cell r="V2098">
            <v>2766440</v>
          </cell>
        </row>
        <row r="2099">
          <cell r="J2099">
            <v>1493</v>
          </cell>
          <cell r="K2099">
            <v>43161</v>
          </cell>
          <cell r="L2099" t="str">
            <v>YONELY  MERCAZA BURGARA</v>
          </cell>
          <cell r="M2099">
            <v>31</v>
          </cell>
          <cell r="N2099" t="str">
            <v>RESOLUCION</v>
          </cell>
          <cell r="O2099">
            <v>1443</v>
          </cell>
          <cell r="P2099">
            <v>43161</v>
          </cell>
          <cell r="Q2099" t="str">
            <v>AYUDA TEMPORAL A LAS FAMILIAS DE VARIAS LOCALIDADES, PARA LA RELOCALIZACIÓN DE HOGARES LOCALIZADOS EN ZONAS DE ALTO RIESGO NO MITIGABLE ID:2015-W166-419, LOCALIDAD:19 CIUDAD BOLÍVAR, UPZ:67 LUCERO, SECTOR:WOUNAAN</v>
          </cell>
          <cell r="R2099">
            <v>5947019</v>
          </cell>
          <cell r="S2099">
            <v>0</v>
          </cell>
          <cell r="T2099">
            <v>0</v>
          </cell>
          <cell r="U2099">
            <v>5947019</v>
          </cell>
          <cell r="V2099">
            <v>2744778</v>
          </cell>
        </row>
        <row r="2100">
          <cell r="J2100">
            <v>1494</v>
          </cell>
          <cell r="K2100">
            <v>43161</v>
          </cell>
          <cell r="L2100" t="str">
            <v>MARIA FAY CASTAÑEDA MONTEALEGRE</v>
          </cell>
          <cell r="M2100">
            <v>31</v>
          </cell>
          <cell r="N2100" t="str">
            <v>RESOLUCION</v>
          </cell>
          <cell r="O2100">
            <v>1435</v>
          </cell>
          <cell r="P2100">
            <v>43161</v>
          </cell>
          <cell r="Q2100" t="str">
            <v>AYUDA TEMPORAL A LAS FAMILIAS DE VARIAS LOCALIDADES, PARA LA RELOCALIZACIÓN DE HOGARES LOCALIZADOS EN ZONAS DE ALTO RIESGO NO MITIGABLE ID:2015-Q23-01502, LOCALIDAD:19 CIUDAD BOLÍVAR, UPZ:67 LUCERO, SECTOR:PIEDRA DEL MUERTO / PIEDRA DEL ANGEL</v>
          </cell>
          <cell r="R2100">
            <v>4640581</v>
          </cell>
          <cell r="S2100">
            <v>0</v>
          </cell>
          <cell r="T2100">
            <v>0</v>
          </cell>
          <cell r="U2100">
            <v>4640581</v>
          </cell>
          <cell r="V2100">
            <v>2531226</v>
          </cell>
        </row>
        <row r="2101">
          <cell r="J2101">
            <v>1495</v>
          </cell>
          <cell r="K2101">
            <v>43161</v>
          </cell>
          <cell r="L2101" t="str">
            <v>KAREN JULIETH MORA REY</v>
          </cell>
          <cell r="M2101">
            <v>31</v>
          </cell>
          <cell r="N2101" t="str">
            <v>RESOLUCION</v>
          </cell>
          <cell r="O2101">
            <v>1427</v>
          </cell>
          <cell r="P2101">
            <v>43161</v>
          </cell>
          <cell r="Q2101" t="str">
            <v>AYUDA TEMPORAL A LAS FAMILIAS DE VARIAS LOCALIDADES, PARA LA RELOCALIZACIÓN DE HOGARES LOCALIZADOS EN ZONAS DE ALTO RIESGO NO MITIGABLE ID:2015-W166-412, LOCALIDAD:03 SANTA FE, UPZ:95 LAS CRUCES, SECTOR:UITOTO</v>
          </cell>
          <cell r="R2101">
            <v>4890237</v>
          </cell>
          <cell r="S2101">
            <v>0</v>
          </cell>
          <cell r="T2101">
            <v>0</v>
          </cell>
          <cell r="U2101">
            <v>4890237</v>
          </cell>
          <cell r="V2101">
            <v>2222835</v>
          </cell>
        </row>
        <row r="2102">
          <cell r="J2102">
            <v>1496</v>
          </cell>
          <cell r="K2102">
            <v>43161</v>
          </cell>
          <cell r="L2102" t="str">
            <v>EUTIMIO  CHAPARRO HUERFANO</v>
          </cell>
          <cell r="M2102">
            <v>31</v>
          </cell>
          <cell r="N2102" t="str">
            <v>RESOLUCION</v>
          </cell>
          <cell r="O2102">
            <v>1463</v>
          </cell>
          <cell r="P2102">
            <v>43161</v>
          </cell>
          <cell r="Q2102" t="str">
            <v>ASIGNACIÓN DE VUR CONFORME AL AVALÚO COMERCIAL (ASIGNACIÓN PRIMERA VEZ).DTO. 255 DE 2013. LOCALIDAD: USAQUEN; BARRIO: ARAUQUITA; ID: 2009-1-11282</v>
          </cell>
          <cell r="R2102">
            <v>420100300</v>
          </cell>
          <cell r="S2102">
            <v>0</v>
          </cell>
          <cell r="T2102">
            <v>0</v>
          </cell>
          <cell r="U2102">
            <v>420100300</v>
          </cell>
          <cell r="V2102">
            <v>420100300</v>
          </cell>
        </row>
        <row r="2103">
          <cell r="J2103">
            <v>1497</v>
          </cell>
          <cell r="K2103">
            <v>43161</v>
          </cell>
          <cell r="L2103" t="str">
            <v>LUZ MARY GUZMAN DIAZ</v>
          </cell>
          <cell r="M2103">
            <v>31</v>
          </cell>
          <cell r="N2103" t="str">
            <v>RESOLUCION</v>
          </cell>
          <cell r="O2103">
            <v>1428</v>
          </cell>
          <cell r="P2103">
            <v>43161</v>
          </cell>
          <cell r="Q2103" t="str">
            <v>AYUDA TEMPORAL A LAS FAMILIAS DE VARIAS LOCALIDADES, PARA LA RELOCALIZACIÓN DE HOGARES LOCALIZADOS EN ZONAS DE ALTO RIESGO NO MITIGABLE ID:2015-OTR-01536, LOCALIDAD:18 RAFAEL URIBE URIBE, UPZ:55 DIANA TURBAY, SECTOR:CERROS DE ORIENTE</v>
          </cell>
          <cell r="R2103">
            <v>2255225</v>
          </cell>
          <cell r="S2103">
            <v>451045</v>
          </cell>
          <cell r="T2103">
            <v>0</v>
          </cell>
          <cell r="U2103">
            <v>1804180</v>
          </cell>
          <cell r="V2103">
            <v>1804180</v>
          </cell>
        </row>
        <row r="2104">
          <cell r="J2104">
            <v>1498</v>
          </cell>
          <cell r="K2104">
            <v>43161</v>
          </cell>
          <cell r="L2104" t="str">
            <v>BLANCA AURORA LOZANO ROZO</v>
          </cell>
          <cell r="M2104">
            <v>31</v>
          </cell>
          <cell r="N2104" t="str">
            <v>RESOLUCION</v>
          </cell>
          <cell r="O2104">
            <v>1429</v>
          </cell>
          <cell r="P2104">
            <v>43161</v>
          </cell>
          <cell r="Q2104" t="str">
            <v>AYUDA TEMPORAL A LAS FAMILIAS DE VARIAS LOCALIDADES, PARA LA RELOCALIZACIÓN DE HOGARES LOCALIZADOS EN ZONAS DE ALTO RIESGO NO MITIGABLE ID:2015-3-14761, LOCALIDAD:03 SANTA FE, UPZ:96 LOURDES</v>
          </cell>
          <cell r="R2104">
            <v>4759785</v>
          </cell>
          <cell r="S2104">
            <v>0</v>
          </cell>
          <cell r="T2104">
            <v>0</v>
          </cell>
          <cell r="U2104">
            <v>4759785</v>
          </cell>
          <cell r="V2104">
            <v>3173190</v>
          </cell>
        </row>
        <row r="2105">
          <cell r="J2105">
            <v>1499</v>
          </cell>
          <cell r="K2105">
            <v>43161</v>
          </cell>
          <cell r="L2105" t="str">
            <v>MARIA INES SALAMANCA ROJAS</v>
          </cell>
          <cell r="M2105">
            <v>31</v>
          </cell>
          <cell r="N2105" t="str">
            <v>RESOLUCION</v>
          </cell>
          <cell r="O2105">
            <v>1430</v>
          </cell>
          <cell r="P2105">
            <v>43161</v>
          </cell>
          <cell r="Q2105" t="str">
            <v>AYUDA TEMPORAL A LAS FAMILIAS DE VARIAS LOCALIDADES, PARA LA RELOCALIZACIÓN DE HOGARES LOCALIZADOS EN ZONAS DE ALTO RIESGO NO MITIGABLE ID:2015-Q09-01473, LOCALIDAD:19 CIUDAD BOLÍVAR, UPZ:67 LUCERO, SECTOR:QUEBRADA TROMPETA</v>
          </cell>
          <cell r="R2105">
            <v>4749371</v>
          </cell>
          <cell r="S2105">
            <v>0</v>
          </cell>
          <cell r="T2105">
            <v>0</v>
          </cell>
          <cell r="U2105">
            <v>4749371</v>
          </cell>
          <cell r="V2105">
            <v>2590566</v>
          </cell>
        </row>
        <row r="2106">
          <cell r="J2106">
            <v>1500</v>
          </cell>
          <cell r="K2106">
            <v>43161</v>
          </cell>
          <cell r="L2106" t="str">
            <v>YENNY ROCIO MOTTA BERNAL</v>
          </cell>
          <cell r="M2106">
            <v>31</v>
          </cell>
          <cell r="N2106" t="str">
            <v>RESOLUCION</v>
          </cell>
          <cell r="O2106">
            <v>1419</v>
          </cell>
          <cell r="P2106">
            <v>43161</v>
          </cell>
          <cell r="Q2106" t="str">
            <v>AYUDA TEMPORAL A LAS FAMILIAS DE VARIAS LOCALIDADES, PARA LA RELOCALIZACIÓN DE HOGARES LOCALIZADOS EN ZONAS DE ALTO RIESGO NO MITIGABLE ID:2012-4-14497, LOCALIDAD:04 SAN CRISTÓBAL, UPZ:32 SAN BLAS</v>
          </cell>
          <cell r="R2106">
            <v>5078073</v>
          </cell>
          <cell r="S2106">
            <v>0</v>
          </cell>
          <cell r="T2106">
            <v>0</v>
          </cell>
          <cell r="U2106">
            <v>5078073</v>
          </cell>
          <cell r="V2106">
            <v>3124968</v>
          </cell>
        </row>
        <row r="2107">
          <cell r="J2107">
            <v>1501</v>
          </cell>
          <cell r="K2107">
            <v>43161</v>
          </cell>
          <cell r="L2107" t="str">
            <v>ROSA MARIA ROMERO SARMIENTO</v>
          </cell>
          <cell r="M2107">
            <v>31</v>
          </cell>
          <cell r="N2107" t="str">
            <v>RESOLUCION</v>
          </cell>
          <cell r="O2107">
            <v>1444</v>
          </cell>
          <cell r="P2107">
            <v>43161</v>
          </cell>
          <cell r="Q2107" t="str">
            <v>AYUDA TEMPORAL A LAS FAMILIAS DE VARIAS LOCALIDADES, PARA LA RELOCALIZACIÓN DE HOGARES LOCALIZADOS EN ZONAS DE ALTO RIESGO NO MITIGABLE ID:2015-Q24-01534, LOCALIDAD:03 SANTA FE, UPZ:96 LOURDES, SECTOR:SAN BRUNO</v>
          </cell>
          <cell r="R2107">
            <v>4453080</v>
          </cell>
          <cell r="S2107">
            <v>0</v>
          </cell>
          <cell r="T2107">
            <v>0</v>
          </cell>
          <cell r="U2107">
            <v>4453080</v>
          </cell>
          <cell r="V2107">
            <v>2671848</v>
          </cell>
        </row>
        <row r="2108">
          <cell r="J2108">
            <v>1502</v>
          </cell>
          <cell r="K2108">
            <v>43161</v>
          </cell>
          <cell r="L2108" t="str">
            <v>YUDY JENNIFER PABON VEGA</v>
          </cell>
          <cell r="M2108">
            <v>31</v>
          </cell>
          <cell r="N2108" t="str">
            <v>RESOLUCION</v>
          </cell>
          <cell r="O2108">
            <v>1431</v>
          </cell>
          <cell r="P2108">
            <v>43161</v>
          </cell>
          <cell r="Q2108" t="str">
            <v>AYUDA TEMPORAL A LAS FAMILIAS DE VARIAS LOCALIDADES, PARA LA RELOCALIZACIÓN DE HOGARES LOCALIZADOS EN ZONAS DE ALTO RIESGO NO MITIGABLE ID:2011-3-13137, LOCALIDAD:03 SANTA FE, UPZ:96 LOURDES</v>
          </cell>
          <cell r="R2108">
            <v>6499935</v>
          </cell>
          <cell r="S2108">
            <v>0</v>
          </cell>
          <cell r="T2108">
            <v>0</v>
          </cell>
          <cell r="U2108">
            <v>6499935</v>
          </cell>
          <cell r="V2108">
            <v>2999970</v>
          </cell>
        </row>
        <row r="2109">
          <cell r="J2109">
            <v>1503</v>
          </cell>
          <cell r="K2109">
            <v>43161</v>
          </cell>
          <cell r="L2109" t="str">
            <v>GERMAN  RUBIO MORENO</v>
          </cell>
          <cell r="M2109">
            <v>31</v>
          </cell>
          <cell r="N2109" t="str">
            <v>RESOLUCION</v>
          </cell>
          <cell r="O2109">
            <v>1420</v>
          </cell>
          <cell r="P2109">
            <v>43161</v>
          </cell>
          <cell r="Q2109" t="str">
            <v>AYUDA TEMPORAL A LAS FAMILIAS DE VARIAS LOCALIDADES, PARA LA RELOCALIZACIÓN DE HOGARES LOCALIZADOS EN ZONAS DE ALTO RIESGO NO MITIGABLE ID:2011-19-13761, LOCALIDAD:19 CIUDAD BOLÍVAR, UPZ:67 LUCERO</v>
          </cell>
          <cell r="R2109">
            <v>4296831</v>
          </cell>
          <cell r="S2109">
            <v>0</v>
          </cell>
          <cell r="T2109">
            <v>0</v>
          </cell>
          <cell r="U2109">
            <v>4296831</v>
          </cell>
          <cell r="V2109">
            <v>2343726</v>
          </cell>
        </row>
        <row r="2110">
          <cell r="J2110">
            <v>1504</v>
          </cell>
          <cell r="K2110">
            <v>43161</v>
          </cell>
          <cell r="L2110" t="str">
            <v>JOSE  GUISA NARANJO</v>
          </cell>
          <cell r="M2110">
            <v>31</v>
          </cell>
          <cell r="N2110" t="str">
            <v>RESOLUCION</v>
          </cell>
          <cell r="O2110">
            <v>1445</v>
          </cell>
          <cell r="P2110">
            <v>43161</v>
          </cell>
          <cell r="Q2110" t="str">
            <v>AYUDA TEMPORAL A LAS FAMILIAS DE VARIAS LOCALIDADES, PARA LA RELOCALIZACIÓN DE HOGARES LOCALIZADOS EN ZONAS DE ALTO RIESGO NO MITIGABLE ID:2012-18-14374, LOCALIDAD:18 RAFAEL URIBE URIBE, UPZ:55 DIANA TURBAY</v>
          </cell>
          <cell r="R2110">
            <v>2531226</v>
          </cell>
          <cell r="S2110">
            <v>0</v>
          </cell>
          <cell r="T2110">
            <v>0</v>
          </cell>
          <cell r="U2110">
            <v>2531226</v>
          </cell>
          <cell r="V2110">
            <v>2109355</v>
          </cell>
        </row>
        <row r="2111">
          <cell r="J2111">
            <v>1505</v>
          </cell>
          <cell r="K2111">
            <v>43161</v>
          </cell>
          <cell r="L2111" t="str">
            <v>SIERVO ANTONIO ALBARRACIN ALBARRACIN</v>
          </cell>
          <cell r="M2111">
            <v>31</v>
          </cell>
          <cell r="N2111" t="str">
            <v>RESOLUCION</v>
          </cell>
          <cell r="O2111">
            <v>1447</v>
          </cell>
          <cell r="P2111">
            <v>43161</v>
          </cell>
          <cell r="Q2111" t="str">
            <v>AYUDA TEMPORAL A LAS FAMILIAS DE VARIAS LOCALIDADES, PARA LA RELOCALIZACIÓN DE HOGARES LOCALIZADOS EN ZONAS DE ALTO RIESGO NO MITIGABLE ID:2014-P474-00746, LOCALIDAD:04 SAN CRISTÓBAL, UPZ:33 SOSIEGO, SECTOR:PROCESO LA MARIA</v>
          </cell>
          <cell r="R2111">
            <v>3983670</v>
          </cell>
          <cell r="S2111">
            <v>0</v>
          </cell>
          <cell r="T2111">
            <v>0</v>
          </cell>
          <cell r="U2111">
            <v>3983670</v>
          </cell>
          <cell r="V2111">
            <v>1991835</v>
          </cell>
        </row>
        <row r="2112">
          <cell r="J2112">
            <v>1506</v>
          </cell>
          <cell r="K2112">
            <v>43161</v>
          </cell>
          <cell r="L2112" t="str">
            <v>LUZ HERMINDA MURILLO REIVA</v>
          </cell>
          <cell r="M2112">
            <v>31</v>
          </cell>
          <cell r="N2112" t="str">
            <v>RESOLUCION</v>
          </cell>
          <cell r="O2112">
            <v>1432</v>
          </cell>
          <cell r="P2112">
            <v>43161</v>
          </cell>
          <cell r="Q2112" t="str">
            <v>AYUDA TEMPORAL A LAS FAMILIAS DE VARIAS LOCALIDADES, PARA LA RELOCALIZACIÓN DE HOGARES LOCALIZADOS EN ZONAS DE ALTO RIESGO NO MITIGABLE ID:2016-08-14857, LOCALIDAD:08 KENNEDY, UPZ:82 PATIO BONITO, SECTOR:PALMITAS</v>
          </cell>
          <cell r="R2112">
            <v>2522994</v>
          </cell>
          <cell r="S2112">
            <v>420499</v>
          </cell>
          <cell r="T2112">
            <v>0</v>
          </cell>
          <cell r="U2112">
            <v>2102495</v>
          </cell>
          <cell r="V2112">
            <v>2102495</v>
          </cell>
        </row>
        <row r="2113">
          <cell r="J2113">
            <v>1507</v>
          </cell>
          <cell r="K2113">
            <v>43161</v>
          </cell>
          <cell r="L2113" t="str">
            <v>JEIMMY KATHERIN REYES DIAZ</v>
          </cell>
          <cell r="M2113">
            <v>31</v>
          </cell>
          <cell r="N2113" t="str">
            <v>RESOLUCION</v>
          </cell>
          <cell r="O2113">
            <v>1421</v>
          </cell>
          <cell r="P2113">
            <v>43161</v>
          </cell>
          <cell r="Q2113" t="str">
            <v>AYUDA TEMPORAL A LAS FAMILIAS DE VARIAS LOCALIDADES, PARA LA RELOCALIZACIÓN DE HOGARES LOCALIZADOS EN ZONAS DE ALTO RIESGO NO MITIGABLE ID:2015-Q21-01403, LOCALIDAD:19 CIUDAD BOLÍVAR, UPZ:67 LUCERO, SECTOR:BRAZO DERECHO DE LIMAS</v>
          </cell>
          <cell r="R2113">
            <v>5863585</v>
          </cell>
          <cell r="S2113">
            <v>0</v>
          </cell>
          <cell r="T2113">
            <v>0</v>
          </cell>
          <cell r="U2113">
            <v>5863585</v>
          </cell>
          <cell r="V2113">
            <v>3608360</v>
          </cell>
        </row>
        <row r="2114">
          <cell r="J2114">
            <v>1508</v>
          </cell>
          <cell r="K2114">
            <v>43161</v>
          </cell>
          <cell r="L2114" t="str">
            <v>LIZETH  FRANCO OLAYA</v>
          </cell>
          <cell r="M2114">
            <v>31</v>
          </cell>
          <cell r="N2114" t="str">
            <v>RESOLUCION</v>
          </cell>
          <cell r="O2114">
            <v>1448</v>
          </cell>
          <cell r="P2114">
            <v>43161</v>
          </cell>
          <cell r="Q2114" t="str">
            <v>AYUDA TEMPORAL A LAS FAMILIAS DE VARIAS LOCALIDADES, PARA LA RELOCALIZACIÓN DE HOGARES LOCALIZADOS EN ZONAS DE ALTO RIESGO NO MITIGABLE ID:2011-19-12905, LOCALIDAD:19 CIUDAD BOLÍVAR, UPZ:68 EL TESORO</v>
          </cell>
          <cell r="R2114">
            <v>2582006</v>
          </cell>
          <cell r="S2114">
            <v>368858</v>
          </cell>
          <cell r="T2114">
            <v>0</v>
          </cell>
          <cell r="U2114">
            <v>2213148</v>
          </cell>
          <cell r="V2114">
            <v>2213148</v>
          </cell>
        </row>
        <row r="2115">
          <cell r="J2115">
            <v>1509</v>
          </cell>
          <cell r="K2115">
            <v>43161</v>
          </cell>
          <cell r="L2115" t="str">
            <v>ANA TULIA MARTINEZ OVALLE</v>
          </cell>
          <cell r="M2115">
            <v>31</v>
          </cell>
          <cell r="N2115" t="str">
            <v>RESOLUCION</v>
          </cell>
          <cell r="O2115">
            <v>1422</v>
          </cell>
          <cell r="P2115">
            <v>43161</v>
          </cell>
          <cell r="Q2115" t="str">
            <v>AYUDA TEMPORAL A LAS FAMILIAS DE VARIAS LOCALIDADES, PARA LA RELOCALIZACIÓN DE HOGARES LOCALIZADOS EN ZONAS DE ALTO RIESGO NO MITIGABLE ID:2006-4-8834, LOCALIDAD:04 SAN CRISTÓBAL, UPZ:50 LA GLORIA</v>
          </cell>
          <cell r="R2115">
            <v>5062452</v>
          </cell>
          <cell r="S2115">
            <v>0</v>
          </cell>
          <cell r="T2115">
            <v>0</v>
          </cell>
          <cell r="U2115">
            <v>5062452</v>
          </cell>
          <cell r="V2115">
            <v>2531226</v>
          </cell>
        </row>
        <row r="2116">
          <cell r="J2116">
            <v>1510</v>
          </cell>
          <cell r="K2116">
            <v>43161</v>
          </cell>
          <cell r="L2116" t="str">
            <v>YERALDIN  DAZA MALAGON</v>
          </cell>
          <cell r="M2116">
            <v>31</v>
          </cell>
          <cell r="N2116" t="str">
            <v>RESOLUCION</v>
          </cell>
          <cell r="O2116">
            <v>1449</v>
          </cell>
          <cell r="P2116">
            <v>43161</v>
          </cell>
          <cell r="Q2116" t="str">
            <v>AYUDA TEMPORAL A LAS FAMILIAS DE VARIAS LOCALIDADES, PARA LA RELOCALIZACIÓN DE HOGARES LOCALIZADOS EN ZONAS DE ALTO RIESGO NO MITIGABLE ID:2016-08-14911, LOCALIDAD:08 KENNEDY, UPZ:82 PATIO BONITO, SECTOR:PALMITAS</v>
          </cell>
          <cell r="R2116">
            <v>4625489</v>
          </cell>
          <cell r="S2116">
            <v>0</v>
          </cell>
          <cell r="T2116">
            <v>0</v>
          </cell>
          <cell r="U2116">
            <v>4625489</v>
          </cell>
          <cell r="V2116">
            <v>2522994</v>
          </cell>
        </row>
        <row r="2117">
          <cell r="J2117">
            <v>1511</v>
          </cell>
          <cell r="K2117">
            <v>43161</v>
          </cell>
          <cell r="L2117" t="str">
            <v>ANDREA ESTEFANIA DIAZ MENDOZA</v>
          </cell>
          <cell r="M2117">
            <v>31</v>
          </cell>
          <cell r="N2117" t="str">
            <v>RESOLUCION</v>
          </cell>
          <cell r="O2117">
            <v>1433</v>
          </cell>
          <cell r="P2117">
            <v>43161</v>
          </cell>
          <cell r="Q2117" t="str">
            <v>AYUDA TEMPORAL A LAS FAMILIAS DE VARIAS LOCALIDADES, PARA LA RELOCALIZACIÓN DE HOGARES LOCALIZADOS EN ZONAS DE ALTO RIESGO NO MITIGABLE ID:2015-3-14760, LOCALIDAD:03 SANTA FE, UPZ:96 LOURDES</v>
          </cell>
          <cell r="R2117">
            <v>6875245</v>
          </cell>
          <cell r="S2117">
            <v>0</v>
          </cell>
          <cell r="T2117">
            <v>0</v>
          </cell>
          <cell r="U2117">
            <v>6875245</v>
          </cell>
          <cell r="V2117">
            <v>4230920</v>
          </cell>
        </row>
        <row r="2118">
          <cell r="J2118">
            <v>1512</v>
          </cell>
          <cell r="K2118">
            <v>43161</v>
          </cell>
          <cell r="L2118" t="str">
            <v>FREDY DE JESUS SOTO URIBE</v>
          </cell>
          <cell r="M2118">
            <v>31</v>
          </cell>
          <cell r="N2118" t="str">
            <v>RESOLUCION</v>
          </cell>
          <cell r="O2118">
            <v>1450</v>
          </cell>
          <cell r="P2118">
            <v>43161</v>
          </cell>
          <cell r="Q2118" t="str">
            <v>AYUDA TEMPORAL A LAS FAMILIAS DE VARIAS LOCALIDADES, PARA LA RELOCALIZACIÓN DE HOGARES LOCALIZADOS EN ZONAS DE ALTO RIESGO NO MITIGABLE ID:2014-Q03-01244, LOCALIDAD:19 CIUDAD BOLÍVAR, UPZ:66 SAN FRANCISCO, SECTOR:LIMAS</v>
          </cell>
          <cell r="R2118">
            <v>4961495</v>
          </cell>
          <cell r="S2118">
            <v>0</v>
          </cell>
          <cell r="T2118">
            <v>0</v>
          </cell>
          <cell r="U2118">
            <v>4961495</v>
          </cell>
          <cell r="V2118">
            <v>2706270</v>
          </cell>
        </row>
        <row r="2119">
          <cell r="J2119">
            <v>1513</v>
          </cell>
          <cell r="K2119">
            <v>43161</v>
          </cell>
          <cell r="L2119" t="str">
            <v>JACQUELINE ENCARNACIÓN NAVARRO CONDE</v>
          </cell>
          <cell r="M2119">
            <v>31</v>
          </cell>
          <cell r="N2119" t="str">
            <v>RESOLUCION</v>
          </cell>
          <cell r="O2119">
            <v>1423</v>
          </cell>
          <cell r="P2119">
            <v>43161</v>
          </cell>
          <cell r="Q2119" t="str">
            <v>AYUDA TEMPORAL A LAS FAMILIAS DE VARIAS LOCALIDADES, PARA LA RELOCALIZACIÓN DE HOGARES LOCALIZADOS EN ZONAS DE ALTO RIESGO NO MITIGABLE ID:2004-5-5669, LOCALIDAD:05 USME, UPZ:59 ALFONSO LÓPEZ</v>
          </cell>
          <cell r="R2119">
            <v>4296831</v>
          </cell>
          <cell r="S2119">
            <v>0</v>
          </cell>
          <cell r="T2119">
            <v>0</v>
          </cell>
          <cell r="U2119">
            <v>4296831</v>
          </cell>
          <cell r="V2119">
            <v>2343726</v>
          </cell>
        </row>
        <row r="2120">
          <cell r="J2120">
            <v>1514</v>
          </cell>
          <cell r="K2120">
            <v>43161</v>
          </cell>
          <cell r="L2120" t="str">
            <v>FLOR MARIA GARCIA CUAN</v>
          </cell>
          <cell r="M2120">
            <v>31</v>
          </cell>
          <cell r="N2120" t="str">
            <v>RESOLUCION</v>
          </cell>
          <cell r="O2120">
            <v>1451</v>
          </cell>
          <cell r="P2120">
            <v>43161</v>
          </cell>
          <cell r="Q2120" t="str">
            <v>AYUDA TEMPORAL A LAS FAMILIAS DE VARIAS LOCALIDADES, PARA LA RELOCALIZACIÓN DE HOGARES LOCALIZADOS EN ZONAS DE ALTO RIESGO NO MITIGABLE ID:2012-18-14270, LOCALIDAD:18 RAFAEL URIBE URIBE, UPZ:55 DIANA TURBAY</v>
          </cell>
          <cell r="R2120">
            <v>2550150</v>
          </cell>
          <cell r="S2120">
            <v>510030</v>
          </cell>
          <cell r="T2120">
            <v>0</v>
          </cell>
          <cell r="U2120">
            <v>2040120</v>
          </cell>
          <cell r="V2120">
            <v>2040120</v>
          </cell>
        </row>
        <row r="2121">
          <cell r="J2121">
            <v>1515</v>
          </cell>
          <cell r="K2121">
            <v>43161</v>
          </cell>
          <cell r="L2121" t="str">
            <v>MARIA ESPERANZA GOMEZ</v>
          </cell>
          <cell r="M2121">
            <v>31</v>
          </cell>
          <cell r="N2121" t="str">
            <v>RESOLUCION</v>
          </cell>
          <cell r="O2121">
            <v>1434</v>
          </cell>
          <cell r="P2121">
            <v>43161</v>
          </cell>
          <cell r="Q2121" t="str">
            <v>AYUDA TEMPORAL A LAS FAMILIAS DE VARIAS LOCALIDADES, PARA LA RELOCALIZACIÓN DE HOGARES LOCALIZADOS EN ZONAS DE ALTO RIESGO NO MITIGABLE ID:2015-D227-00017, LOCALIDAD:04 SAN CRISTÓBAL, UPZ:51 LOS LIBERTADORES, SECTOR:SANTA TERESITA</v>
          </cell>
          <cell r="R2121">
            <v>5947019</v>
          </cell>
          <cell r="S2121">
            <v>0</v>
          </cell>
          <cell r="T2121">
            <v>0</v>
          </cell>
          <cell r="U2121">
            <v>5947019</v>
          </cell>
          <cell r="V2121">
            <v>3659704</v>
          </cell>
        </row>
        <row r="2122">
          <cell r="J2122">
            <v>1516</v>
          </cell>
          <cell r="K2122">
            <v>43161</v>
          </cell>
          <cell r="L2122" t="str">
            <v>CELIA LORENA AMARIS RIOS</v>
          </cell>
          <cell r="M2122">
            <v>31</v>
          </cell>
          <cell r="N2122" t="str">
            <v>RESOLUCION</v>
          </cell>
          <cell r="O2122">
            <v>1424</v>
          </cell>
          <cell r="P2122">
            <v>43161</v>
          </cell>
          <cell r="Q2122" t="str">
            <v>AYUDA TEMPORAL A LAS FAMILIAS DE VARIAS LOCALIDADES, PARA LA RELOCALIZACIÓN DE HOGARES LOCALIZADOS EN ZONAS DE ALTO RIESGO NO MITIGABLE ID:2013-4-14659, LOCALIDAD:04 SAN CRISTÓBAL, UPZ:32 SAN BLAS</v>
          </cell>
          <cell r="R2122">
            <v>5946005</v>
          </cell>
          <cell r="S2122">
            <v>0</v>
          </cell>
          <cell r="T2122">
            <v>0</v>
          </cell>
          <cell r="U2122">
            <v>5946005</v>
          </cell>
          <cell r="V2122">
            <v>2744310</v>
          </cell>
        </row>
        <row r="2123">
          <cell r="J2123">
            <v>1517</v>
          </cell>
          <cell r="K2123">
            <v>43161</v>
          </cell>
          <cell r="L2123" t="str">
            <v>ALONSO  RAMIREZ SAENZ</v>
          </cell>
          <cell r="M2123">
            <v>31</v>
          </cell>
          <cell r="N2123" t="str">
            <v>RESOLUCION</v>
          </cell>
          <cell r="O2123">
            <v>1452</v>
          </cell>
          <cell r="P2123">
            <v>43161</v>
          </cell>
          <cell r="Q2123" t="str">
            <v>AYUDA TEMPORAL A LAS FAMILIAS DE VARIAS LOCALIDADES, PARA LA RELOCALIZACIÓN DE HOGARES LOCALIZADOS EN ZONAS DE ALTO RIESGO NO MITIGABLE ID:2013000322, LOCALIDAD:19 CIUDAD BOLÍVAR, UPZ:67 LUCERO, SECTOR:PEÑA COLORADA</v>
          </cell>
          <cell r="R2123">
            <v>4961495</v>
          </cell>
          <cell r="S2123">
            <v>0</v>
          </cell>
          <cell r="T2123">
            <v>0</v>
          </cell>
          <cell r="U2123">
            <v>4961495</v>
          </cell>
          <cell r="V2123">
            <v>2706270</v>
          </cell>
        </row>
        <row r="2124">
          <cell r="J2124">
            <v>1518</v>
          </cell>
          <cell r="K2124">
            <v>43161</v>
          </cell>
          <cell r="L2124" t="str">
            <v>ELVIRA  FAJARDO</v>
          </cell>
          <cell r="M2124">
            <v>31</v>
          </cell>
          <cell r="N2124" t="str">
            <v>RESOLUCION</v>
          </cell>
          <cell r="O2124">
            <v>1425</v>
          </cell>
          <cell r="P2124">
            <v>43161</v>
          </cell>
          <cell r="Q2124" t="str">
            <v>AYUDA TEMPORAL A LAS FAMILIAS DE VARIAS LOCALIDADES, PARA LA RELOCALIZACIÓN DE HOGARES LOCALIZADOS EN ZONAS DE ALTO RIESGO NO MITIGABLE ID:2013000529, LOCALIDAD:19 CIUDAD BOLÍVAR, UPZ:67 LUCERO, SECTOR:BRAZO DERECHO DE LIMAS</v>
          </cell>
          <cell r="R2124">
            <v>2695285</v>
          </cell>
          <cell r="S2124">
            <v>539057</v>
          </cell>
          <cell r="T2124">
            <v>0</v>
          </cell>
          <cell r="U2124">
            <v>2156228</v>
          </cell>
          <cell r="V2124">
            <v>2156228</v>
          </cell>
        </row>
        <row r="2125">
          <cell r="J2125">
            <v>1519</v>
          </cell>
          <cell r="K2125">
            <v>43161</v>
          </cell>
          <cell r="L2125" t="str">
            <v>FRANCISCO JAVIER MONTENEGRO GONZALEZ</v>
          </cell>
          <cell r="M2125">
            <v>31</v>
          </cell>
          <cell r="N2125" t="str">
            <v>RESOLUCION</v>
          </cell>
          <cell r="O2125">
            <v>1426</v>
          </cell>
          <cell r="P2125">
            <v>43161</v>
          </cell>
          <cell r="Q2125" t="str">
            <v>AYUDA TEMPORAL A LAS FAMILIAS DE VARIAS LOCALIDADES, PARA LA RELOCALIZACIÓN DE HOGARES LOCALIZADOS EN ZONAS DE ALTO RIESGO NO MITIGABLE ID:2014-Q20-01252, LOCALIDAD:04 SAN CRISTÓBAL, UPZ:50 LA GLORIA, SECTOR:LA CHIGUAZA</v>
          </cell>
          <cell r="R2125">
            <v>1992165</v>
          </cell>
          <cell r="S2125">
            <v>0</v>
          </cell>
          <cell r="T2125">
            <v>0</v>
          </cell>
          <cell r="U2125">
            <v>1992165</v>
          </cell>
          <cell r="V2125">
            <v>398433</v>
          </cell>
        </row>
        <row r="2126">
          <cell r="J2126">
            <v>1520</v>
          </cell>
          <cell r="K2126">
            <v>43161</v>
          </cell>
          <cell r="L2126" t="str">
            <v>ALBENIS  CARRILLO</v>
          </cell>
          <cell r="M2126">
            <v>31</v>
          </cell>
          <cell r="N2126" t="str">
            <v>RESOLUCION</v>
          </cell>
          <cell r="O2126">
            <v>1468</v>
          </cell>
          <cell r="P2126">
            <v>43161</v>
          </cell>
          <cell r="Q2126" t="str">
            <v>AYUDA TEMPORAL A LAS FAMILIAS DE VARIAS LOCALIDADES, PARA LA RELOCALIZACIÓN DE HOGARES LOCALIZADOS EN ZONAS DE ALTO RIESGO NO MITIGABLE ID:2011-4-12661, LOCALIDAD:04 SAN CRISTÓBAL, UPZ:32 SAN BLAS</v>
          </cell>
          <cell r="R2126">
            <v>1562484</v>
          </cell>
          <cell r="S2126">
            <v>0</v>
          </cell>
          <cell r="T2126">
            <v>0</v>
          </cell>
          <cell r="U2126">
            <v>1562484</v>
          </cell>
          <cell r="V2126">
            <v>1171863</v>
          </cell>
        </row>
        <row r="2127">
          <cell r="J2127">
            <v>1521</v>
          </cell>
          <cell r="K2127">
            <v>43161</v>
          </cell>
          <cell r="L2127" t="str">
            <v>DIANA PATRICIA VENEGAS VARGAS</v>
          </cell>
          <cell r="M2127">
            <v>31</v>
          </cell>
          <cell r="N2127" t="str">
            <v>RESOLUCION</v>
          </cell>
          <cell r="O2127">
            <v>1467</v>
          </cell>
          <cell r="P2127">
            <v>43161</v>
          </cell>
          <cell r="Q2127" t="str">
            <v>AYUDA TEMPORAL A LAS FAMILIAS DE VARIAS LOCALIDADES, PARA LA RELOCALIZACIÓN DE HOGARES LOCALIZADOS EN ZONAS DE ALTO RIESGO NO MITIGABLE ID:2014-19-14712, LOCALIDAD:19 CIUDAD BOLIVAR, UPZ:68 EL TESORO</v>
          </cell>
          <cell r="R2127">
            <v>4472160</v>
          </cell>
          <cell r="S2127">
            <v>0</v>
          </cell>
          <cell r="T2127">
            <v>0</v>
          </cell>
          <cell r="U2127">
            <v>4472160</v>
          </cell>
          <cell r="V2127">
            <v>2439360</v>
          </cell>
        </row>
        <row r="2128">
          <cell r="J2128">
            <v>1522</v>
          </cell>
          <cell r="K2128">
            <v>43161</v>
          </cell>
          <cell r="L2128" t="str">
            <v>JOSE ALIRIO MARTINEZ OBANDO</v>
          </cell>
          <cell r="M2128">
            <v>31</v>
          </cell>
          <cell r="N2128" t="str">
            <v>RESOLUCION</v>
          </cell>
          <cell r="O2128">
            <v>1466</v>
          </cell>
          <cell r="P2128">
            <v>43161</v>
          </cell>
          <cell r="Q2128" t="str">
            <v>AYUDA TEMPORAL A LAS FAMILIAS DE VARIAS LOCALIDADES, PARA LA RELOCALIZACIÓN DE HOGARES LOCALIZADOS EN ZONAS DE ALTO RIESGO NO MITIGABLE ID:2015-Q03-01304, LOCALIDAD:19 CIUDAD BOLIVAR, UPZ:67 LUCERO, SECTOR: LIMAS</v>
          </cell>
          <cell r="R2128">
            <v>6296810</v>
          </cell>
          <cell r="S2128">
            <v>0</v>
          </cell>
          <cell r="T2128">
            <v>0</v>
          </cell>
          <cell r="U2128">
            <v>6296810</v>
          </cell>
          <cell r="V2128">
            <v>2906220</v>
          </cell>
        </row>
        <row r="2129">
          <cell r="J2129">
            <v>1523</v>
          </cell>
          <cell r="K2129">
            <v>43164</v>
          </cell>
          <cell r="L2129" t="str">
            <v>GLORIA  LASSO CARDOSO</v>
          </cell>
          <cell r="M2129">
            <v>31</v>
          </cell>
          <cell r="N2129" t="str">
            <v>RESOLUCION</v>
          </cell>
          <cell r="O2129">
            <v>1464</v>
          </cell>
          <cell r="P2129">
            <v>43164</v>
          </cell>
          <cell r="Q2129" t="str">
            <v>AYUDA TEMPORAL A LAS FAMILIAS DE VARIAS LOCALIDADES, PARA LA RELOCALIZACIÓN DE HOGARES LOCALIZADOS EN ZONAS DE ALTO RIESGO NO MITIGABLE ID:2009-5-11196, LOCALIDAD:05 USME, UPZ:60 PARQUE ENTRENUBES</v>
          </cell>
          <cell r="R2129">
            <v>4021290</v>
          </cell>
          <cell r="S2129">
            <v>574470</v>
          </cell>
          <cell r="T2129">
            <v>0</v>
          </cell>
          <cell r="U2129">
            <v>3446820</v>
          </cell>
          <cell r="V2129">
            <v>3446820</v>
          </cell>
        </row>
        <row r="2130">
          <cell r="J2130">
            <v>1524</v>
          </cell>
          <cell r="K2130">
            <v>43164</v>
          </cell>
          <cell r="L2130" t="str">
            <v>MARIA TERESA CASTILLO GONZALEZ</v>
          </cell>
          <cell r="M2130">
            <v>31</v>
          </cell>
          <cell r="N2130" t="str">
            <v>RESOLUCION</v>
          </cell>
          <cell r="O2130">
            <v>1465</v>
          </cell>
          <cell r="P2130">
            <v>43164</v>
          </cell>
          <cell r="Q2130" t="str">
            <v>AYUDA TEMPORAL A LAS FAMILIAS DE VARIAS LOCALIDADES, PARA LA RELOCALIZACIÓN DE HOGARES LOCALIZADOS EN ZONAS DE ALTO RIESGO NO MITIGABLE ID:2009-19-11127, LOCALIDAD:19 CIUDAD BOLÍVAR, UPZ:67 LUCERO</v>
          </cell>
          <cell r="R2130">
            <v>3515589</v>
          </cell>
          <cell r="S2130">
            <v>0</v>
          </cell>
          <cell r="T2130">
            <v>0</v>
          </cell>
          <cell r="U2130">
            <v>3515589</v>
          </cell>
          <cell r="V2130">
            <v>2343726</v>
          </cell>
        </row>
        <row r="2131">
          <cell r="J2131">
            <v>1526</v>
          </cell>
          <cell r="K2131">
            <v>43164</v>
          </cell>
          <cell r="L2131" t="str">
            <v>ANA YIBE BELTRAN HERNANDEZ</v>
          </cell>
          <cell r="M2131">
            <v>31</v>
          </cell>
          <cell r="N2131" t="str">
            <v>RESOLUCION</v>
          </cell>
          <cell r="O2131">
            <v>1479</v>
          </cell>
          <cell r="P2131">
            <v>43164</v>
          </cell>
          <cell r="Q2131" t="str">
            <v>AYUDA TEMPORAL A LAS FAMILIAS DE VARIAS LOCALIDADES, PARA LA RELOCALIZACIÓN DE HOGARES LOCALIZADOS EN ZONAS DE ALTO RIESGO NO MITIGABLE ID:2014-Q04-00834, LOCALIDAD:19 CIUDAD BOLÍVAR, UPZ:67 LUCERO, SECTOR: PEÑA COLORADA</v>
          </cell>
          <cell r="R2131">
            <v>1953105</v>
          </cell>
          <cell r="S2131">
            <v>390621</v>
          </cell>
          <cell r="T2131">
            <v>0</v>
          </cell>
          <cell r="U2131">
            <v>1562484</v>
          </cell>
          <cell r="V2131">
            <v>1562484</v>
          </cell>
        </row>
        <row r="2132">
          <cell r="J2132">
            <v>1527</v>
          </cell>
          <cell r="K2132">
            <v>43164</v>
          </cell>
          <cell r="L2132" t="str">
            <v>JEISSON JAIR GARZON VARGAS</v>
          </cell>
          <cell r="M2132">
            <v>31</v>
          </cell>
          <cell r="N2132" t="str">
            <v>RESOLUCION</v>
          </cell>
          <cell r="O2132">
            <v>1480</v>
          </cell>
          <cell r="P2132">
            <v>43164</v>
          </cell>
          <cell r="Q2132" t="str">
            <v>AYUDA TEMPORAL A LAS FAMILIAS DE VARIAS LOCALIDADES, PARA LA RELOCALIZACIÓN DE HOGARES LOCALIZADOS EN ZONAS DE ALTO RIESGO NO MITIGABLE ID:2016-04-00019, LOCALIDAD:04 SAN CRISTOBAL, UPZ:32 SAN BLAS, SECTOR: TRIANGULO ALTO</v>
          </cell>
          <cell r="R2132">
            <v>3983670</v>
          </cell>
          <cell r="S2132">
            <v>0</v>
          </cell>
          <cell r="T2132">
            <v>0</v>
          </cell>
          <cell r="U2132">
            <v>3983670</v>
          </cell>
          <cell r="V2132">
            <v>2655780</v>
          </cell>
        </row>
        <row r="2133">
          <cell r="J2133">
            <v>1528</v>
          </cell>
          <cell r="K2133">
            <v>43164</v>
          </cell>
          <cell r="L2133" t="str">
            <v>HECTOR JULIO TOVAR AREVALO</v>
          </cell>
          <cell r="M2133">
            <v>31</v>
          </cell>
          <cell r="N2133" t="str">
            <v>RESOLUCION</v>
          </cell>
          <cell r="O2133">
            <v>1478</v>
          </cell>
          <cell r="P2133">
            <v>43164</v>
          </cell>
          <cell r="Q2133" t="str">
            <v>AYUDA TEMPORAL A LAS FAMILIAS DE VARIAS LOCALIDADES, PARA LA RELOCALIZACIÓN DE HOGARES LOCALIZADOS EN ZONAS DE ALTO RIESGO NO MITIGABLE ID:2015-Q03-01449, LOCALIDAD:19 CIUDAD BOLÍVAR, UPZ:66 SAN FRANCISCO, SECTOR:LIMAS</v>
          </cell>
          <cell r="R2133">
            <v>2706270</v>
          </cell>
          <cell r="S2133">
            <v>0</v>
          </cell>
          <cell r="T2133">
            <v>0</v>
          </cell>
          <cell r="U2133">
            <v>2706270</v>
          </cell>
          <cell r="V2133">
            <v>2255225</v>
          </cell>
        </row>
        <row r="2134">
          <cell r="J2134">
            <v>1529</v>
          </cell>
          <cell r="K2134">
            <v>43165</v>
          </cell>
          <cell r="L2134" t="str">
            <v>ERASMO  PORRAS LOPEZ</v>
          </cell>
          <cell r="M2134">
            <v>31</v>
          </cell>
          <cell r="N2134" t="str">
            <v>RESOLUCION</v>
          </cell>
          <cell r="O2134">
            <v>1476</v>
          </cell>
          <cell r="P2134">
            <v>43165</v>
          </cell>
          <cell r="Q2134" t="str">
            <v>AYUDA TEMPORAL A LAS FAMILIAS DE VARIAS LOCALIDADES, PARA LA RELOCALIZACIÓN DE HOGARES LOCALIZADOS EN ZONAS DE ALTO RIESGO NO MITIGABLE ID:2011-20-13381, LOCALIDAD:20 SUMAPAZ, UPZ:5 UPR RIO SUMAPAZ</v>
          </cell>
          <cell r="R2134">
            <v>7109297</v>
          </cell>
          <cell r="S2134">
            <v>0</v>
          </cell>
          <cell r="T2134">
            <v>0</v>
          </cell>
          <cell r="U2134">
            <v>7109297</v>
          </cell>
          <cell r="V2134">
            <v>3281214</v>
          </cell>
        </row>
        <row r="2135">
          <cell r="J2135">
            <v>1530</v>
          </cell>
          <cell r="K2135">
            <v>43165</v>
          </cell>
          <cell r="L2135" t="str">
            <v>LUISA FERNANDA MARULANDA</v>
          </cell>
          <cell r="M2135">
            <v>31</v>
          </cell>
          <cell r="N2135" t="str">
            <v>RESOLUCION</v>
          </cell>
          <cell r="O2135">
            <v>1477</v>
          </cell>
          <cell r="P2135">
            <v>43165</v>
          </cell>
          <cell r="Q2135" t="str">
            <v>AYUDA TEMPORAL A LAS FAMILIAS DE VARIAS LOCALIDADES, PARA LA RELOCALIZACIÓN DE HOGARES LOCALIZADOS EN ZONAS DE ALTO RIESGO NO MITIGABLE ID:2016-08-14789, LOCALIDAD:08 KENNEDY, UPZ:82 PATIO BONITO, SECTOR:PALMITAS</v>
          </cell>
          <cell r="R2135">
            <v>3784491</v>
          </cell>
          <cell r="S2135">
            <v>0</v>
          </cell>
          <cell r="T2135">
            <v>0</v>
          </cell>
          <cell r="U2135">
            <v>3784491</v>
          </cell>
          <cell r="V2135">
            <v>3363992</v>
          </cell>
        </row>
        <row r="2136">
          <cell r="J2136">
            <v>1538</v>
          </cell>
          <cell r="K2136">
            <v>43165</v>
          </cell>
          <cell r="L2136" t="str">
            <v>NOEL  SUSA MAYORGA</v>
          </cell>
          <cell r="M2136">
            <v>31</v>
          </cell>
          <cell r="N2136" t="str">
            <v>RESOLUCION</v>
          </cell>
          <cell r="O2136">
            <v>1446</v>
          </cell>
          <cell r="P2136">
            <v>43165</v>
          </cell>
          <cell r="Q2136" t="str">
            <v>AYUDA TEMPORAL A LAS FAMILIAS DE VARIAS LOCALIDADES, PARA LA RELOCALIZACIÓN DE HOGARES LOCALIZADOS EN ZONAS DE ALTO RIESGO NO MITIGABLE ID:2012-20-14546, LOCALIDAD:20 SUMAPAZ, UPZ:5 UPR RIO SUMAPAZ</v>
          </cell>
          <cell r="R2136">
            <v>5468690</v>
          </cell>
          <cell r="S2136">
            <v>0</v>
          </cell>
          <cell r="T2136">
            <v>0</v>
          </cell>
          <cell r="U2136">
            <v>5468690</v>
          </cell>
          <cell r="V2136">
            <v>3281214</v>
          </cell>
        </row>
        <row r="2137">
          <cell r="J2137">
            <v>1539</v>
          </cell>
          <cell r="K2137">
            <v>43165</v>
          </cell>
          <cell r="L2137" t="str">
            <v>ANDREA  PUENTES NIÑO</v>
          </cell>
          <cell r="M2137">
            <v>31</v>
          </cell>
          <cell r="N2137" t="str">
            <v>RESOLUCION</v>
          </cell>
          <cell r="O2137">
            <v>1484</v>
          </cell>
          <cell r="P2137">
            <v>43165</v>
          </cell>
          <cell r="Q2137" t="str">
            <v>AYUDA TEMPORAL A LAS FAMILIAS DE VARIAS LOCALIDADES, PARA LA RELOCALIZACIÓN DE HOGARES LOCALIZADOS EN ZONAS DE ALTO RIESGO NO MITIGABLE ID:2013000495, LOCALIDAD:19 CIUDAD BOLÍVAR, UPZ:67 LUCERO, SECTOR:PEÑA COLORADA</v>
          </cell>
          <cell r="R2137">
            <v>2102495</v>
          </cell>
          <cell r="S2137">
            <v>0</v>
          </cell>
          <cell r="T2137">
            <v>0</v>
          </cell>
          <cell r="U2137">
            <v>2102495</v>
          </cell>
          <cell r="V2137">
            <v>420499</v>
          </cell>
        </row>
        <row r="2138">
          <cell r="J2138">
            <v>1543</v>
          </cell>
          <cell r="K2138">
            <v>43165</v>
          </cell>
          <cell r="L2138" t="str">
            <v>MARIA NUBIA CALERO DE OSORIO</v>
          </cell>
          <cell r="M2138">
            <v>31</v>
          </cell>
          <cell r="N2138" t="str">
            <v>RESOLUCION</v>
          </cell>
          <cell r="O2138">
            <v>1481</v>
          </cell>
          <cell r="P2138">
            <v>43165</v>
          </cell>
          <cell r="Q2138" t="str">
            <v>AYUDA TEMPORAL A LAS FAMILIAS DE VARIAS LOCALIDADES, PARA RELOCALIZACIÓN DE HOGARES LOCALIZADOS EN ZONAS DE ALTO RIESGO NO MITIGABLE ID:2011-19-12582, LOCALIDAD:19 CIUDAD BOLÍVAR, UPZ:67 LUCERO, SECTOR:LIMAS</v>
          </cell>
          <cell r="R2138">
            <v>3383254</v>
          </cell>
          <cell r="S2138">
            <v>3383254</v>
          </cell>
          <cell r="T2138">
            <v>0</v>
          </cell>
          <cell r="U2138">
            <v>0</v>
          </cell>
          <cell r="V2138">
            <v>0</v>
          </cell>
        </row>
        <row r="2139">
          <cell r="J2139">
            <v>1544</v>
          </cell>
          <cell r="K2139">
            <v>43166</v>
          </cell>
          <cell r="L2139" t="str">
            <v>MARIA ELIZABETH GONZALEZ SIMBACICA</v>
          </cell>
          <cell r="M2139">
            <v>31</v>
          </cell>
          <cell r="N2139" t="str">
            <v>RESOLUCION</v>
          </cell>
          <cell r="O2139">
            <v>1482</v>
          </cell>
          <cell r="P2139">
            <v>43166</v>
          </cell>
          <cell r="Q2139" t="str">
            <v>AYUDA TEMPORAL A LAS FAMILIAS DE VARIAS LOCALIDADES, PARA LA RELOCALIZACIÓN DE HOGARES LOCALIZADOS EN ZONAS DE ALTO RIESGO NO MITIGABLE ID:2013-Q09-00130, LOCALIDAD:19 CIUDAD BOLÍVAR, UPZ:67 LUCERO, SECTOR:QUEBRADA TROMPETA</v>
          </cell>
          <cell r="R2139">
            <v>4296831</v>
          </cell>
          <cell r="S2139">
            <v>0</v>
          </cell>
          <cell r="T2139">
            <v>0</v>
          </cell>
          <cell r="U2139">
            <v>4296831</v>
          </cell>
          <cell r="V2139">
            <v>2343726</v>
          </cell>
        </row>
        <row r="2140">
          <cell r="J2140">
            <v>1545</v>
          </cell>
          <cell r="K2140">
            <v>43166</v>
          </cell>
          <cell r="L2140" t="str">
            <v>ROSA ELENA HIGUERA GUACANEME</v>
          </cell>
          <cell r="M2140">
            <v>31</v>
          </cell>
          <cell r="N2140" t="str">
            <v>RESOLUCION</v>
          </cell>
          <cell r="O2140">
            <v>1483</v>
          </cell>
          <cell r="P2140">
            <v>43166</v>
          </cell>
          <cell r="Q2140" t="str">
            <v>AYUDA TEMPORAL A LAS FAMILIAS DE VARIAS LOCALIDADES, PARA LA RELOCALIZACIÓN DE HOGARES LOCALIZADOS EN ZONAS DE ALTO RIESGO NO MITIGABLE ID:2016-08-14823, LOCALIDAD:08 KENNEDY, UPZ:82 PATIO BONITO, SECTOR:PALMITAS</v>
          </cell>
          <cell r="R2140">
            <v>7170319</v>
          </cell>
          <cell r="S2140">
            <v>0</v>
          </cell>
          <cell r="T2140">
            <v>0</v>
          </cell>
          <cell r="U2140">
            <v>7170319</v>
          </cell>
          <cell r="V2140">
            <v>4412504</v>
          </cell>
        </row>
        <row r="2141">
          <cell r="J2141">
            <v>1548</v>
          </cell>
          <cell r="K2141">
            <v>43172</v>
          </cell>
          <cell r="L2141" t="str">
            <v>JORGE ADELMO LEAL</v>
          </cell>
          <cell r="M2141">
            <v>31</v>
          </cell>
          <cell r="N2141" t="str">
            <v>RESOLUCION</v>
          </cell>
          <cell r="O2141">
            <v>1503</v>
          </cell>
          <cell r="P2141">
            <v>43172</v>
          </cell>
          <cell r="Q2141" t="str">
            <v>AYUDA TEMPORAL A LAS FAMILIAS DE VARIAS LOCALIDADES, PARA LA RELOCALIZACIÓN DE HOGARES LOCALIZADOS EN ZONAS DE ALTO RIESGO NO MITIGABLE ID:1999-4-3094, LOCALIDAD:04 SAN CRISTÓBAL, UPZ:32 SAN BLAS</v>
          </cell>
          <cell r="R2141">
            <v>4317610</v>
          </cell>
          <cell r="S2141">
            <v>0</v>
          </cell>
          <cell r="T2141">
            <v>0</v>
          </cell>
          <cell r="U2141">
            <v>4317610</v>
          </cell>
          <cell r="V2141">
            <v>2590566</v>
          </cell>
        </row>
        <row r="2142">
          <cell r="J2142">
            <v>1549</v>
          </cell>
          <cell r="K2142">
            <v>43172</v>
          </cell>
          <cell r="L2142" t="str">
            <v>JADIR LEONARDO RODRIGUEZ VELASQUEZ</v>
          </cell>
          <cell r="M2142">
            <v>31</v>
          </cell>
          <cell r="N2142" t="str">
            <v>RESOLUCION</v>
          </cell>
          <cell r="O2142">
            <v>1498</v>
          </cell>
          <cell r="P2142">
            <v>43144</v>
          </cell>
          <cell r="Q2142" t="str">
            <v>AYUDA TEMPORAL A LAS FAMILIAS DE VARIAS LOCALIDADES, PARA LA RELOCALIZACIÓN DE HOGARES LOCALIZADOS EN ZONAS DE ALTO RIESGO NO MITIGABLE ID:2015-OTR-01377, LOCALIDAD:11 SUBA, UPZ:71 TIBABUYES, SECTOR:GAVILANES</v>
          </cell>
          <cell r="R2142">
            <v>3516527</v>
          </cell>
          <cell r="S2142">
            <v>0</v>
          </cell>
          <cell r="T2142">
            <v>0</v>
          </cell>
          <cell r="U2142">
            <v>3516527</v>
          </cell>
          <cell r="V2142">
            <v>3014166</v>
          </cell>
        </row>
        <row r="2143">
          <cell r="J2143">
            <v>1550</v>
          </cell>
          <cell r="K2143">
            <v>43172</v>
          </cell>
          <cell r="L2143" t="str">
            <v>VIVIANA AIDE HERRERA SALGADO</v>
          </cell>
          <cell r="M2143">
            <v>31</v>
          </cell>
          <cell r="N2143" t="str">
            <v>RESOLUCION</v>
          </cell>
          <cell r="O2143">
            <v>1499</v>
          </cell>
          <cell r="P2143">
            <v>43172</v>
          </cell>
          <cell r="Q2143" t="str">
            <v>AYUDA TEMPORAL A LAS FAMILIAS DE VARIAS LOCALIDADES, PARA LA RELOCALIZACIÓN DE HOGARES LOCALIZADOS EN ZONAS DE ALTO RIESGO NO MITIGABLE ID:2007-4-9326, LOCALIDAD:04 SAN CRISTÓBAL, UPZ:32 SAN BLAS</v>
          </cell>
          <cell r="R2143">
            <v>5531994</v>
          </cell>
          <cell r="S2143">
            <v>0</v>
          </cell>
          <cell r="T2143">
            <v>0</v>
          </cell>
          <cell r="U2143">
            <v>5531994</v>
          </cell>
          <cell r="V2143">
            <v>2553228</v>
          </cell>
        </row>
        <row r="2144">
          <cell r="J2144">
            <v>1551</v>
          </cell>
          <cell r="K2144">
            <v>43172</v>
          </cell>
          <cell r="L2144" t="str">
            <v>SANDRA NATALIA ORTEGA SORIANO</v>
          </cell>
          <cell r="M2144">
            <v>31</v>
          </cell>
          <cell r="N2144" t="str">
            <v>RESOLUCION</v>
          </cell>
          <cell r="O2144">
            <v>1500</v>
          </cell>
          <cell r="P2144">
            <v>43172</v>
          </cell>
          <cell r="Q2144" t="str">
            <v>AYUDA TEMPORAL A LAS FAMILIAS DE VARIAS LOCALIDADES, PARA RELOCALIZACIÓN DE HOGARES LOCALIZADOS EN ZONAS DE ALTO RIESGO NO MITIGABLE ID:2013000120, LOCALIDAD:19 CIUDAD BOLÍVAR, UPZ:67 LUCERO, SECTOR:QUEBRADA CAÑO BAÚL</v>
          </cell>
          <cell r="R2144">
            <v>4310000</v>
          </cell>
          <cell r="S2144">
            <v>0</v>
          </cell>
          <cell r="T2144">
            <v>0</v>
          </cell>
          <cell r="U2144">
            <v>4310000</v>
          </cell>
          <cell r="V2144">
            <v>3448000</v>
          </cell>
        </row>
        <row r="2145">
          <cell r="J2145">
            <v>1552</v>
          </cell>
          <cell r="K2145">
            <v>43172</v>
          </cell>
          <cell r="L2145" t="str">
            <v>BAYRON STIVEN URIBE CASTELLANOS</v>
          </cell>
          <cell r="M2145">
            <v>31</v>
          </cell>
          <cell r="N2145" t="str">
            <v>RESOLUCION</v>
          </cell>
          <cell r="O2145">
            <v>1497</v>
          </cell>
          <cell r="P2145">
            <v>43172</v>
          </cell>
          <cell r="Q2145" t="str">
            <v>AYUDA TEMPORAL A LAS FAMILIAS DE VARIAS LOCALIDADES, PARA LA RELOCALIZACIÓN DE HOGARES LOCALIZADOS EN ZONAS DE ALTO RIESGO NO MITIGABLE ID:2015-Q03-01300, LOCALIDAD:19 CIUDAD BOLÍVAR, UPZ:67 LUCERO, SECTOR:LIMAS</v>
          </cell>
          <cell r="R2145">
            <v>4961495</v>
          </cell>
          <cell r="S2145">
            <v>0</v>
          </cell>
          <cell r="T2145">
            <v>0</v>
          </cell>
          <cell r="U2145">
            <v>4961495</v>
          </cell>
          <cell r="V2145">
            <v>2706270</v>
          </cell>
        </row>
        <row r="2146">
          <cell r="J2146">
            <v>1553</v>
          </cell>
          <cell r="K2146">
            <v>43172</v>
          </cell>
          <cell r="L2146" t="str">
            <v>JAIRO HUMBERTO GARCIA BAREÑO</v>
          </cell>
          <cell r="M2146">
            <v>31</v>
          </cell>
          <cell r="N2146" t="str">
            <v>RESOLUCION</v>
          </cell>
          <cell r="O2146">
            <v>1496</v>
          </cell>
          <cell r="P2146">
            <v>43172</v>
          </cell>
          <cell r="Q2146" t="str">
            <v>AYUDA TEMPORAL A LAS FAMILIAS DE VARIAS LOCALIDADES, PARA LA RELOCALIZACIÓN DE HOGARES LOCALIZADOS EN ZONAS DE ALTO RIESGO NO MITIGABLE ID:2012-19-13915, LOCALIDAD:19 CIUDAD BOLÍVAR, UPZ:67 LUCERO</v>
          </cell>
          <cell r="R2146">
            <v>2976827</v>
          </cell>
          <cell r="S2146">
            <v>425261</v>
          </cell>
          <cell r="T2146">
            <v>0</v>
          </cell>
          <cell r="U2146">
            <v>2551566</v>
          </cell>
          <cell r="V2146">
            <v>2551566</v>
          </cell>
        </row>
        <row r="2147">
          <cell r="J2147">
            <v>1554</v>
          </cell>
          <cell r="K2147">
            <v>43172</v>
          </cell>
          <cell r="L2147" t="str">
            <v>DANIEL CALIXTO ORDOÑEZ BOLIVAR</v>
          </cell>
          <cell r="M2147">
            <v>31</v>
          </cell>
          <cell r="N2147" t="str">
            <v>RESOLUCION</v>
          </cell>
          <cell r="O2147">
            <v>1495</v>
          </cell>
          <cell r="P2147">
            <v>43172</v>
          </cell>
          <cell r="Q2147" t="str">
            <v>AYUDA TEMPORAL A LAS FAMILIAS DE VARIAS LOCALIDADES, PARA LA RELOCALIZACIÓN DE HOGARES LOCALIZADOS EN ZONAS DE ALTO RIESGO NO MITIGABLE ID:2014-OTR-00976, LOCALIDAD:19 CIUDAD BOLÍVAR, UPZ:67 LUCERO, SECTOR:TABOR ALTALOMA</v>
          </cell>
          <cell r="R2147">
            <v>5104011</v>
          </cell>
          <cell r="S2147">
            <v>0</v>
          </cell>
          <cell r="T2147">
            <v>0</v>
          </cell>
          <cell r="U2147">
            <v>5104011</v>
          </cell>
          <cell r="V2147">
            <v>2784006</v>
          </cell>
        </row>
        <row r="2148">
          <cell r="J2148">
            <v>1557</v>
          </cell>
          <cell r="K2148">
            <v>43173</v>
          </cell>
          <cell r="L2148" t="str">
            <v>MARTA CECILIA GARCIA</v>
          </cell>
          <cell r="M2148">
            <v>31</v>
          </cell>
          <cell r="N2148" t="str">
            <v>RESOLUCION</v>
          </cell>
          <cell r="O2148">
            <v>1523</v>
          </cell>
          <cell r="P2148">
            <v>43173</v>
          </cell>
          <cell r="Q2148" t="str">
            <v>AYUDA TEMPORAL A LAS FAMILIAS DE VARIAS LOCALIDADES, PARA LA RELOCALIZACIÓN DE HOGARES LOCALIZADOS EN ZONAS DE ALTO RIESGO NO MITIGABLE ID:2011-4-12716, LOCALIDAD:04 SAN CRISTÓBAL, UPZ:32 SAN BLAS</v>
          </cell>
          <cell r="R2148">
            <v>5780541</v>
          </cell>
          <cell r="S2148">
            <v>0</v>
          </cell>
          <cell r="T2148">
            <v>0</v>
          </cell>
          <cell r="U2148">
            <v>5780541</v>
          </cell>
          <cell r="V2148">
            <v>2667942</v>
          </cell>
        </row>
        <row r="2149">
          <cell r="J2149">
            <v>1558</v>
          </cell>
          <cell r="K2149">
            <v>43173</v>
          </cell>
          <cell r="L2149" t="str">
            <v>CARMEN ELISA RODRIGUEZ SANABRIA</v>
          </cell>
          <cell r="M2149">
            <v>31</v>
          </cell>
          <cell r="N2149" t="str">
            <v>RESOLUCION</v>
          </cell>
          <cell r="O2149">
            <v>1524</v>
          </cell>
          <cell r="P2149">
            <v>43173</v>
          </cell>
          <cell r="Q2149" t="str">
            <v>AYUDA TEMPORAL A LAS FAMILIAS DE VARIAS LOCALIDADES, PARA LA RELOCALIZACIÓN DE HOGARES LOCALIZADOS EN ZONAS DE ALTO RIESGO NO MITIGABLE ID:2015-D227-00013, LOCALIDAD:04 SAN CRISTÓBAL, UPZ:51 LOS LIBERTADORES, SECTOR:SANTA TERESITA</v>
          </cell>
          <cell r="R2149">
            <v>4942301</v>
          </cell>
          <cell r="S2149">
            <v>0</v>
          </cell>
          <cell r="T2149">
            <v>0</v>
          </cell>
          <cell r="U2149">
            <v>4942301</v>
          </cell>
          <cell r="V2149">
            <v>3041416</v>
          </cell>
        </row>
        <row r="2150">
          <cell r="J2150">
            <v>1559</v>
          </cell>
          <cell r="K2150">
            <v>43173</v>
          </cell>
          <cell r="L2150" t="str">
            <v>MARIA CELINA ÑEÑETOFE MATIAS</v>
          </cell>
          <cell r="M2150">
            <v>31</v>
          </cell>
          <cell r="N2150" t="str">
            <v>RESOLUCION</v>
          </cell>
          <cell r="O2150">
            <v>1525</v>
          </cell>
          <cell r="P2150">
            <v>43173</v>
          </cell>
          <cell r="Q2150" t="str">
            <v>AYUDA TEMPORAL A LAS FAMILIAS DE VARIAS LOCALIDADES, PARA LA RELOCALIZACIÓN DE HOGARES LOCALIZADOS EN ZONAS DE ALTO RIESGO NO MITIGABLE ID:2015-W166-524, LOCALIDAD:04 SAN CRISTÓBAL, UPZ:32 SAN BLAS, SECTOR:UITOTO</v>
          </cell>
          <cell r="R2150">
            <v>5219370</v>
          </cell>
          <cell r="S2150">
            <v>0</v>
          </cell>
          <cell r="T2150">
            <v>0</v>
          </cell>
          <cell r="U2150">
            <v>5219370</v>
          </cell>
          <cell r="V2150">
            <v>2899650</v>
          </cell>
        </row>
        <row r="2151">
          <cell r="J2151">
            <v>1560</v>
          </cell>
          <cell r="K2151">
            <v>43173</v>
          </cell>
          <cell r="L2151" t="str">
            <v>JUAN  ROMERO HERRERA</v>
          </cell>
          <cell r="M2151">
            <v>31</v>
          </cell>
          <cell r="N2151" t="str">
            <v>RESOLUCION</v>
          </cell>
          <cell r="O2151">
            <v>1517</v>
          </cell>
          <cell r="P2151">
            <v>43173</v>
          </cell>
          <cell r="Q2151" t="str">
            <v>AYUDA TEMPORAL A LAS FAMILIAS DE VARIAS LOCALIDADES, PARA LA RELOCALIZACIÓN DE HOGARES LOCALIZADOS EN ZONAS DE ALTO RIESGO NO MITIGABLE ID:2006-19-8562, LOCALIDAD:19 CIUDAD BOLÍVAR, UPZ:68 EL TESORO, SECTOR:QUEBRADA EL INFIERNO</v>
          </cell>
          <cell r="R2151">
            <v>7109297</v>
          </cell>
          <cell r="S2151">
            <v>0</v>
          </cell>
          <cell r="T2151">
            <v>0</v>
          </cell>
          <cell r="U2151">
            <v>7109297</v>
          </cell>
          <cell r="V2151">
            <v>2734345</v>
          </cell>
        </row>
        <row r="2152">
          <cell r="J2152">
            <v>1561</v>
          </cell>
          <cell r="K2152">
            <v>43173</v>
          </cell>
          <cell r="L2152" t="str">
            <v>ALIRIO  HOYOS</v>
          </cell>
          <cell r="M2152">
            <v>31</v>
          </cell>
          <cell r="N2152" t="str">
            <v>RESOLUCION</v>
          </cell>
          <cell r="O2152">
            <v>1514</v>
          </cell>
          <cell r="P2152">
            <v>43173</v>
          </cell>
          <cell r="Q2152" t="str">
            <v>AYUDA TEMPORAL A LAS FAMILIAS DE VARIAS LOCALIDADES, PARA RELOCALIZACIÓN DE HOGARES LOCALIZADOS EN ZONAS DE ALTO RIESGO NO MITIGABLE ID:2015-Q03-01359, LOCALIDAD:19 CIUDAD BOLÍVAR, UPZ:66 SAN FRANCISCO, SECTOR:LIMAS</v>
          </cell>
          <cell r="R2152">
            <v>2706270</v>
          </cell>
          <cell r="S2152">
            <v>451045</v>
          </cell>
          <cell r="T2152">
            <v>0</v>
          </cell>
          <cell r="U2152">
            <v>2255225</v>
          </cell>
          <cell r="V2152">
            <v>2255225</v>
          </cell>
        </row>
        <row r="2153">
          <cell r="J2153">
            <v>1562</v>
          </cell>
          <cell r="K2153">
            <v>43173</v>
          </cell>
          <cell r="L2153" t="str">
            <v>LEONOR XIMENA DURA ISMARE</v>
          </cell>
          <cell r="M2153">
            <v>31</v>
          </cell>
          <cell r="N2153" t="str">
            <v>RESOLUCION</v>
          </cell>
          <cell r="O2153">
            <v>1518</v>
          </cell>
          <cell r="P2153">
            <v>43173</v>
          </cell>
          <cell r="Q2153" t="str">
            <v>AYUDA TEMPORAL A LAS FAMILIAS DE VARIAS LOCALIDADES, PARA LA RELOCALIZACIÓN DE HOGARES LOCALIZADOS EN ZONAS DE ALTO RIESGO NO MITIGABLE ID:2014-W166-076, LOCALIDAD:19 CIUDAD BOLÍVAR, UPZ:68 EL TESORO, SECTOR:WOUNAAN</v>
          </cell>
          <cell r="R2153">
            <v>5946005</v>
          </cell>
          <cell r="S2153">
            <v>0</v>
          </cell>
          <cell r="T2153">
            <v>0</v>
          </cell>
          <cell r="U2153">
            <v>5946005</v>
          </cell>
          <cell r="V2153">
            <v>2286925</v>
          </cell>
        </row>
        <row r="2154">
          <cell r="J2154">
            <v>1563</v>
          </cell>
          <cell r="K2154">
            <v>43173</v>
          </cell>
          <cell r="L2154" t="str">
            <v>ANA ELVIA RODRIGUEZ MENDEZ</v>
          </cell>
          <cell r="M2154">
            <v>31</v>
          </cell>
          <cell r="N2154" t="str">
            <v>RESOLUCION</v>
          </cell>
          <cell r="O2154">
            <v>1515</v>
          </cell>
          <cell r="P2154">
            <v>43173</v>
          </cell>
          <cell r="Q2154" t="str">
            <v>AYUDA TEMPORAL A LAS FAMILIAS DE VARIAS LOCALIDADES, PARA RELOCALIZACIÓN DE HOGARES LOCALIZADOS EN ZONAS DE ALTO RIESGO NO MITIGABLE ID:2014-OTR-00901, LOCALIDAD:03 SANTA FE, UPZ:96 LOURDES, SECTOR:CASA 3</v>
          </cell>
          <cell r="R2154">
            <v>2550450</v>
          </cell>
          <cell r="S2154">
            <v>425075</v>
          </cell>
          <cell r="T2154">
            <v>0</v>
          </cell>
          <cell r="U2154">
            <v>2125375</v>
          </cell>
          <cell r="V2154">
            <v>2125375</v>
          </cell>
        </row>
        <row r="2155">
          <cell r="J2155">
            <v>1564</v>
          </cell>
          <cell r="K2155">
            <v>43173</v>
          </cell>
          <cell r="L2155" t="str">
            <v>BERNALICIA  ISMARE OPUA</v>
          </cell>
          <cell r="M2155">
            <v>31</v>
          </cell>
          <cell r="N2155" t="str">
            <v>RESOLUCION</v>
          </cell>
          <cell r="O2155">
            <v>1519</v>
          </cell>
          <cell r="P2155">
            <v>43173</v>
          </cell>
          <cell r="Q2155" t="str">
            <v>AYUDA TEMPORAL A LAS FAMILIAS DE VARIAS LOCALIDADES, PARA LA RELOCALIZACIÓN DE HOGARES LOCALIZADOS EN ZONAS DE ALTO RIESGO NO MITIGABLE ID:2014-W166-037, LOCALIDAD:19 CIUDAD BOLÍVAR, UPZ:67 LUCERO, SECTOR:WOUNAAN</v>
          </cell>
          <cell r="R2155">
            <v>5946005</v>
          </cell>
          <cell r="S2155">
            <v>0</v>
          </cell>
          <cell r="T2155">
            <v>0</v>
          </cell>
          <cell r="U2155">
            <v>5946005</v>
          </cell>
          <cell r="V2155">
            <v>2286925</v>
          </cell>
        </row>
        <row r="2156">
          <cell r="J2156">
            <v>1565</v>
          </cell>
          <cell r="K2156">
            <v>43173</v>
          </cell>
          <cell r="L2156" t="str">
            <v>YANID ASTRID DIAZ MONTAÑEZ</v>
          </cell>
          <cell r="M2156">
            <v>31</v>
          </cell>
          <cell r="N2156" t="str">
            <v>RESOLUCION</v>
          </cell>
          <cell r="O2156">
            <v>1516</v>
          </cell>
          <cell r="P2156">
            <v>43173</v>
          </cell>
          <cell r="Q2156" t="str">
            <v>AYUDA TEMPORAL A LAS FAMILIAS DE VARIAS LOCALIDADES, PARA RELOCALIZACIÓN DE HOGARES LOCALIZADOS EN ZONAS DE ALTO RIESGO NO MITIGABLE ID:2011-4-12709, LOCALIDAD:04 SAN CRISTÓBAL, UPZ:32 SAN BLAS</v>
          </cell>
          <cell r="R2156">
            <v>2213148</v>
          </cell>
          <cell r="S2156">
            <v>368858</v>
          </cell>
          <cell r="T2156">
            <v>0</v>
          </cell>
          <cell r="U2156">
            <v>1844290</v>
          </cell>
          <cell r="V2156">
            <v>1844290</v>
          </cell>
        </row>
        <row r="2157">
          <cell r="J2157">
            <v>1566</v>
          </cell>
          <cell r="K2157">
            <v>43173</v>
          </cell>
          <cell r="L2157" t="str">
            <v>LILIANA  GRUESO DURA</v>
          </cell>
          <cell r="M2157">
            <v>31</v>
          </cell>
          <cell r="N2157" t="str">
            <v>RESOLUCION</v>
          </cell>
          <cell r="O2157">
            <v>1520</v>
          </cell>
          <cell r="P2157">
            <v>43173</v>
          </cell>
          <cell r="Q2157" t="str">
            <v>AYUDA TEMPORAL A LAS FAMILIAS DE VARIAS LOCALIDADES, PARA LA RELOCALIZACIÓN DE HOGARES LOCALIZADOS EN ZONAS DE ALTO RIESGO NO MITIGABLE ID:2015-W166-209, LOCALIDAD:04 SAN CRISTÓBAL, UPZ:33 SOSIEGO, SECTOR:EPERARA</v>
          </cell>
          <cell r="R2157">
            <v>5946005</v>
          </cell>
          <cell r="S2157">
            <v>0</v>
          </cell>
          <cell r="T2157">
            <v>0</v>
          </cell>
          <cell r="U2157">
            <v>5946005</v>
          </cell>
          <cell r="V2157">
            <v>2286925</v>
          </cell>
        </row>
        <row r="2158">
          <cell r="J2158">
            <v>1567</v>
          </cell>
          <cell r="K2158">
            <v>43173</v>
          </cell>
          <cell r="L2158" t="str">
            <v>WILMER  QUIRO MEMBACHE</v>
          </cell>
          <cell r="M2158">
            <v>31</v>
          </cell>
          <cell r="N2158" t="str">
            <v>RESOLUCION</v>
          </cell>
          <cell r="O2158">
            <v>1521</v>
          </cell>
          <cell r="P2158">
            <v>43173</v>
          </cell>
          <cell r="Q2158" t="str">
            <v>AYUDA TEMPORAL A LAS FAMILIAS DE VARIAS LOCALIDADES, PARA LA RELOCALIZACIÓN DE HOGARES LOCALIZADOS EN ZONAS DE ALTO RIESGO NO MITIGABLE ID:2014-W166-096, LOCALIDAD:19 CIUDAD BOLÍVAR, UPZ:68 EL TESORO, SECTOR:WOUNAAN</v>
          </cell>
          <cell r="R2158">
            <v>5754190</v>
          </cell>
          <cell r="S2158">
            <v>0</v>
          </cell>
          <cell r="T2158">
            <v>0</v>
          </cell>
          <cell r="U2158">
            <v>5754190</v>
          </cell>
          <cell r="V2158">
            <v>2213150</v>
          </cell>
        </row>
        <row r="2159">
          <cell r="J2159">
            <v>1568</v>
          </cell>
          <cell r="K2159">
            <v>43173</v>
          </cell>
          <cell r="L2159" t="str">
            <v>MARIA CELINA DURA PERTIAGA</v>
          </cell>
          <cell r="M2159">
            <v>31</v>
          </cell>
          <cell r="N2159" t="str">
            <v>RESOLUCION</v>
          </cell>
          <cell r="O2159">
            <v>1522</v>
          </cell>
          <cell r="P2159">
            <v>43173</v>
          </cell>
          <cell r="Q2159" t="str">
            <v>AYUDA TEMPORAL A LAS FAMILIAS DE VARIAS LOCALIDADES, PARA LA RELOCALIZACIÓN DE HOGARES LOCALIZADOS EN ZONAS DE ALTO RIESGO NO MITIGABLE ID:2015-W166-216, LOCALIDAD:04 SAN CRISTÓBAL, UPZ:33 SOSIEGO, SECTOR:EPERARA</v>
          </cell>
          <cell r="R2159">
            <v>7672262</v>
          </cell>
          <cell r="S2159">
            <v>0</v>
          </cell>
          <cell r="T2159">
            <v>0</v>
          </cell>
          <cell r="U2159">
            <v>7672262</v>
          </cell>
          <cell r="V2159">
            <v>2950870</v>
          </cell>
        </row>
        <row r="2160">
          <cell r="J2160">
            <v>1570</v>
          </cell>
          <cell r="K2160">
            <v>43173</v>
          </cell>
          <cell r="L2160" t="str">
            <v>ISABEL  MEMBACHE PIZARIO</v>
          </cell>
          <cell r="M2160">
            <v>31</v>
          </cell>
          <cell r="N2160" t="str">
            <v>RESOLUCION</v>
          </cell>
          <cell r="O2160">
            <v>1539</v>
          </cell>
          <cell r="P2160">
            <v>43173</v>
          </cell>
          <cell r="Q2160" t="str">
            <v>AYUDA TEMPORAL A LAS FAMILIAS DE VARIAS LOCALIDADES, PARA LA RELOCALIZACIÓN DE HOGARES LOCALIZADOS EN ZONAS DE ALTO RIESGO NO MITIGABLE ID:2015-W166-420, LOCALIDAD:19 CIUDAD BOLÍVAR, UPZ:67 LUCERO, SECTOR:WOUNAAN</v>
          </cell>
          <cell r="R2160">
            <v>5335434</v>
          </cell>
          <cell r="S2160">
            <v>0</v>
          </cell>
          <cell r="T2160">
            <v>0</v>
          </cell>
          <cell r="U2160">
            <v>5335434</v>
          </cell>
          <cell r="V2160">
            <v>2964130</v>
          </cell>
        </row>
        <row r="2161">
          <cell r="J2161">
            <v>1571</v>
          </cell>
          <cell r="K2161">
            <v>43173</v>
          </cell>
          <cell r="L2161" t="str">
            <v>GLADYS  CHIRIMIA CHICHILIANO</v>
          </cell>
          <cell r="M2161">
            <v>31</v>
          </cell>
          <cell r="N2161" t="str">
            <v>RESOLUCION</v>
          </cell>
          <cell r="O2161">
            <v>1538</v>
          </cell>
          <cell r="P2161">
            <v>43173</v>
          </cell>
          <cell r="Q2161" t="str">
            <v>AYUDA TEMPORAL A LAS FAMILIAS DE VARIAS LOCALIDADES, PARA LA RELOCALIZACIÓN DE HOGARES LOCALIZADOS EN ZONAS DE ALTO RIESGO NO MITIGABLE ID:2014-W166-084, LOCALIDAD:19 CIUDAD BOLÍVAR, UPZ:68 EL TESORO, SECTOR:WOUNAAN</v>
          </cell>
          <cell r="R2161">
            <v>4989600</v>
          </cell>
          <cell r="S2161">
            <v>0</v>
          </cell>
          <cell r="T2161">
            <v>0</v>
          </cell>
          <cell r="U2161">
            <v>4989600</v>
          </cell>
          <cell r="V2161">
            <v>2772000</v>
          </cell>
        </row>
        <row r="2162">
          <cell r="J2162">
            <v>1577</v>
          </cell>
          <cell r="K2162">
            <v>43174</v>
          </cell>
          <cell r="L2162" t="str">
            <v>OMAR MANUEL AGAMEZ RIVAS</v>
          </cell>
          <cell r="M2162">
            <v>31</v>
          </cell>
          <cell r="N2162" t="str">
            <v>RESOLUCION</v>
          </cell>
          <cell r="O2162">
            <v>1511</v>
          </cell>
          <cell r="P2162">
            <v>43174</v>
          </cell>
          <cell r="Q2162" t="str">
            <v>Asignacion del instrumento financiero a las familias ocupantes del predio que hayan superado la fase de verificacion dentro  del marco del Decreto 457 de 2017. LOCALIDAD: KENNEDY; BARRIO: VEREDITAS; ID: 2017-8-383732</v>
          </cell>
          <cell r="R2162">
            <v>54686940</v>
          </cell>
          <cell r="S2162">
            <v>0</v>
          </cell>
          <cell r="T2162">
            <v>0</v>
          </cell>
          <cell r="U2162">
            <v>54686940</v>
          </cell>
          <cell r="V2162">
            <v>0</v>
          </cell>
        </row>
        <row r="2163">
          <cell r="J2163">
            <v>1578</v>
          </cell>
          <cell r="K2163">
            <v>43174</v>
          </cell>
          <cell r="L2163" t="str">
            <v>MARIA PATRICIA FLOREZ HERNANDEZ</v>
          </cell>
          <cell r="M2163">
            <v>31</v>
          </cell>
          <cell r="N2163" t="str">
            <v>RESOLUCION</v>
          </cell>
          <cell r="O2163">
            <v>1512</v>
          </cell>
          <cell r="P2163">
            <v>43174</v>
          </cell>
          <cell r="Q2163" t="str">
            <v>Asignacion del instrumento financiero a las familias ocupantes del predio que hayan superado la fase de verificacion dentro  del marco del Decreto 457 de 2017. LOCALIDAD: KENNEDY; BARRIO: VEREDITAS; ID: 2017-8-383765</v>
          </cell>
          <cell r="R2163">
            <v>54686940</v>
          </cell>
          <cell r="S2163">
            <v>0</v>
          </cell>
          <cell r="T2163">
            <v>0</v>
          </cell>
          <cell r="U2163">
            <v>54686940</v>
          </cell>
          <cell r="V2163">
            <v>54686940</v>
          </cell>
        </row>
        <row r="2164">
          <cell r="J2164">
            <v>1579</v>
          </cell>
          <cell r="K2164">
            <v>43174</v>
          </cell>
          <cell r="L2164" t="str">
            <v>FREDY ALEXANDER NAVARRO SARMIENTO</v>
          </cell>
          <cell r="M2164">
            <v>31</v>
          </cell>
          <cell r="N2164" t="str">
            <v>RESOLUCION</v>
          </cell>
          <cell r="O2164">
            <v>1513</v>
          </cell>
          <cell r="P2164">
            <v>43174</v>
          </cell>
          <cell r="Q2164" t="str">
            <v>Asignacion del instrumento financiero a las familias ocupantes del predio que hayan superado la fase de verificacion dentro  del marco del Decreto 457 de 2017. LOCALIDAD: KENNEDY; BARRIO: VEREDITAS; ID: 2018-8-15224</v>
          </cell>
          <cell r="R2164">
            <v>54686940</v>
          </cell>
          <cell r="S2164">
            <v>0</v>
          </cell>
          <cell r="T2164">
            <v>0</v>
          </cell>
          <cell r="U2164">
            <v>54686940</v>
          </cell>
          <cell r="V2164">
            <v>54686940</v>
          </cell>
        </row>
        <row r="2165">
          <cell r="J2165">
            <v>1580</v>
          </cell>
          <cell r="K2165">
            <v>43174</v>
          </cell>
          <cell r="L2165" t="str">
            <v>GRACIELA  LEGUIZAMON CALDERON</v>
          </cell>
          <cell r="M2165">
            <v>31</v>
          </cell>
          <cell r="N2165" t="str">
            <v>RESOLUCION</v>
          </cell>
          <cell r="O2165">
            <v>1540</v>
          </cell>
          <cell r="P2165">
            <v>43174</v>
          </cell>
          <cell r="Q2165" t="str">
            <v>VUR de la actual vigencia. Dto 255 de 2013. LOCALIDAD:CHAPINERO; BARRIO:SAN LUIS ALTOS DEL CABO; ID:2009-2-11209</v>
          </cell>
          <cell r="R2165">
            <v>39062100</v>
          </cell>
          <cell r="S2165">
            <v>39062100</v>
          </cell>
          <cell r="T2165">
            <v>0</v>
          </cell>
          <cell r="U2165">
            <v>0</v>
          </cell>
          <cell r="V2165">
            <v>0</v>
          </cell>
        </row>
        <row r="2166">
          <cell r="J2166">
            <v>1581</v>
          </cell>
          <cell r="K2166">
            <v>43174</v>
          </cell>
          <cell r="L2166" t="str">
            <v>GRACIELA  LEGUIZAMON CALDERON</v>
          </cell>
          <cell r="M2166">
            <v>31</v>
          </cell>
          <cell r="N2166" t="str">
            <v>RESOLUCION</v>
          </cell>
          <cell r="O2166">
            <v>1540</v>
          </cell>
          <cell r="P2166">
            <v>43174</v>
          </cell>
          <cell r="Q2166" t="str">
            <v>VUR DE LA ACTUAL VIGENCIA. DTO 255 DE 2013. LOCALIDAD:CHAPINERO; BARRIO:SAN LUIS ALTOS DEL CABO; ID:2009-2-11209(DE ACUERDO CON EL ARTICULO SEGUNDO DE LA PARTE RESOLUTIVA DE LA RESOLUCION 1540 DEL 14 DE MARZO DE 2018, SE ORDENA EL GIRO DEL VUR ASIGNADO A LOS SEÑORES GRACIELA LEGUIZAMON CALDERON C.C. N°41.466.825 Y JUAN DE JESUS LEGUIZAMON CALDERON C.C N°79.153.781 REPRESENTADO LEGALMENTE POR LA SEÑORA LUZ YANITZ LEGUIZAMON C C N°52.259.803)</v>
          </cell>
          <cell r="R2166">
            <v>39062100</v>
          </cell>
          <cell r="S2166">
            <v>0</v>
          </cell>
          <cell r="T2166">
            <v>0</v>
          </cell>
          <cell r="U2166">
            <v>39062100</v>
          </cell>
          <cell r="V2166">
            <v>0</v>
          </cell>
        </row>
        <row r="2167">
          <cell r="J2167">
            <v>1582</v>
          </cell>
          <cell r="K2167">
            <v>43174</v>
          </cell>
          <cell r="L2167" t="str">
            <v>NIKOL KAROLAY RUIZ SANCHEZ</v>
          </cell>
          <cell r="M2167">
            <v>31</v>
          </cell>
          <cell r="N2167" t="str">
            <v>RESOLUCION</v>
          </cell>
          <cell r="O2167">
            <v>1509</v>
          </cell>
          <cell r="P2167">
            <v>43174</v>
          </cell>
          <cell r="Q2167" t="str">
            <v>Asignacion del instrumento financiero a las familias ocupantes del predio que hayan superado la fase de verificacion dentro  del marco del Decreto 457 de 2017. LOCALIDAD: KENNEDY; BARRIO: VEREDITAS; ID: 2018-8-383924</v>
          </cell>
          <cell r="R2167">
            <v>54686940</v>
          </cell>
          <cell r="S2167">
            <v>0</v>
          </cell>
          <cell r="T2167">
            <v>0</v>
          </cell>
          <cell r="U2167">
            <v>54686940</v>
          </cell>
          <cell r="V2167">
            <v>54686940</v>
          </cell>
        </row>
        <row r="2168">
          <cell r="J2168">
            <v>1583</v>
          </cell>
          <cell r="K2168">
            <v>43174</v>
          </cell>
          <cell r="L2168" t="str">
            <v>SARA  VASQUEZ CARDONA</v>
          </cell>
          <cell r="M2168">
            <v>31</v>
          </cell>
          <cell r="N2168" t="str">
            <v>RESOLUCION</v>
          </cell>
          <cell r="O2168">
            <v>1510</v>
          </cell>
          <cell r="P2168">
            <v>43174</v>
          </cell>
          <cell r="Q2168" t="str">
            <v>Asignacion del instrumento financiero a las familias ocupantes del predio que hayan superado la fase de verificacion dentro  del marco del Decreto 457 de 2017. LOCALIDAD: KENNEDY; BARRIO: VEREDITAS; ID: 2018-8-383926</v>
          </cell>
          <cell r="R2168">
            <v>54686940</v>
          </cell>
          <cell r="S2168">
            <v>0</v>
          </cell>
          <cell r="T2168">
            <v>0</v>
          </cell>
          <cell r="U2168">
            <v>54686940</v>
          </cell>
          <cell r="V2168">
            <v>54686940</v>
          </cell>
        </row>
        <row r="2169">
          <cell r="J2169">
            <v>1584</v>
          </cell>
          <cell r="K2169">
            <v>43174</v>
          </cell>
          <cell r="L2169" t="str">
            <v>DEYFA PATRICIA CUERO CHIRIPUA</v>
          </cell>
          <cell r="M2169">
            <v>31</v>
          </cell>
          <cell r="N2169" t="str">
            <v>RESOLUCION</v>
          </cell>
          <cell r="O2169">
            <v>1537</v>
          </cell>
          <cell r="P2169">
            <v>43174</v>
          </cell>
          <cell r="Q2169" t="str">
            <v>AYUDA TEMPORAL A LAS FAMILIAS DE VARIAS LOCALIDADES, PARA LA RELOCALIZACIÓN DE HOGARES LOCALIZADOS EN ZONAS DE ALTO RIESGO NO MITIGABLE ID:2015-W166-433, LOCALIDAD:19 CIUDAD BOLÍVAR, UPZ:67 LUCERO, SECTOR:WOUNAAN</v>
          </cell>
          <cell r="R2169">
            <v>4117212</v>
          </cell>
          <cell r="S2169">
            <v>0</v>
          </cell>
          <cell r="T2169">
            <v>0</v>
          </cell>
          <cell r="U2169">
            <v>4117212</v>
          </cell>
          <cell r="V2169">
            <v>3659744</v>
          </cell>
        </row>
        <row r="2170">
          <cell r="J2170">
            <v>1610</v>
          </cell>
          <cell r="K2170">
            <v>43180</v>
          </cell>
          <cell r="L2170" t="str">
            <v>WILMERS DAVID RICO SILVA</v>
          </cell>
          <cell r="M2170">
            <v>31</v>
          </cell>
          <cell r="N2170" t="str">
            <v>RESOLUCION</v>
          </cell>
          <cell r="O2170">
            <v>1608</v>
          </cell>
          <cell r="P2170">
            <v>43180</v>
          </cell>
          <cell r="Q2170" t="str">
            <v>Asignacion del instrumento financiero a las familias ocupantes del predio que hayan superado la fase de verificacion dentro  del marco del Decreto 457 de 2017. LOCALIDAD: KENNEDY; BARRIO: VEREDITAS; ID: 2018-8-15299</v>
          </cell>
          <cell r="R2170">
            <v>54686940</v>
          </cell>
          <cell r="S2170">
            <v>0</v>
          </cell>
          <cell r="T2170">
            <v>0</v>
          </cell>
          <cell r="U2170">
            <v>54686940</v>
          </cell>
          <cell r="V2170">
            <v>54686940</v>
          </cell>
        </row>
        <row r="2171">
          <cell r="J2171">
            <v>1611</v>
          </cell>
          <cell r="K2171">
            <v>43180</v>
          </cell>
          <cell r="L2171" t="str">
            <v>CARLOS ARTURO RICO GUTIERREZ</v>
          </cell>
          <cell r="M2171">
            <v>31</v>
          </cell>
          <cell r="N2171" t="str">
            <v>RESOLUCION</v>
          </cell>
          <cell r="O2171">
            <v>1609</v>
          </cell>
          <cell r="P2171">
            <v>43180</v>
          </cell>
          <cell r="Q2171" t="str">
            <v>Asignacion del instrumento financiero a las familias ocupantes del predio que hayan superado la fase de verificacion dentro  del marco del Decreto 457 de 2017. LOCALIDAD: KENNEDY; BARRIO: VEREDITAS; ID: 2017-8-383787.</v>
          </cell>
          <cell r="R2171">
            <v>54686940</v>
          </cell>
          <cell r="S2171">
            <v>0</v>
          </cell>
          <cell r="T2171">
            <v>0</v>
          </cell>
          <cell r="U2171">
            <v>54686940</v>
          </cell>
          <cell r="V2171">
            <v>54686940</v>
          </cell>
        </row>
        <row r="2172">
          <cell r="J2172">
            <v>1621</v>
          </cell>
          <cell r="K2172">
            <v>43182</v>
          </cell>
          <cell r="L2172" t="str">
            <v>PABLO ALFONSO LEON ORTIZ</v>
          </cell>
          <cell r="M2172">
            <v>31</v>
          </cell>
          <cell r="N2172" t="str">
            <v>RESOLUCION</v>
          </cell>
          <cell r="O2172">
            <v>1541</v>
          </cell>
          <cell r="P2172">
            <v>43182</v>
          </cell>
          <cell r="Q2172" t="str">
            <v>reajuste de Vur por avalúo comercial (Segunda vez).Dto 255 de 2013. LOCALIDAD:CIUDAD BOLIVAR; BARRIO: POTOSI; ID:2013000474</v>
          </cell>
          <cell r="R2172">
            <v>30749982</v>
          </cell>
          <cell r="S2172">
            <v>0</v>
          </cell>
          <cell r="T2172">
            <v>0</v>
          </cell>
          <cell r="U2172">
            <v>30749982</v>
          </cell>
          <cell r="V2172">
            <v>30749982</v>
          </cell>
        </row>
        <row r="2173">
          <cell r="J2173">
            <v>1622</v>
          </cell>
          <cell r="K2173">
            <v>43182</v>
          </cell>
          <cell r="L2173" t="str">
            <v>RENZO MANUEL BUITRAGO NAVAS</v>
          </cell>
          <cell r="M2173">
            <v>31</v>
          </cell>
          <cell r="N2173" t="str">
            <v>RESOLUCION</v>
          </cell>
          <cell r="O2173">
            <v>1630</v>
          </cell>
          <cell r="P2173">
            <v>43182</v>
          </cell>
          <cell r="Q2173" t="str">
            <v>Asignacion del instrumento financiero a las familias ocupantes del predio que hayan superado la fase de verificacion dentro  del marco del Decreto 457 de 2017. LOCALIDAD: KENNEDY; BARRIO: VEREDITAS; ID: 2018-8-384287</v>
          </cell>
          <cell r="R2173">
            <v>54686940</v>
          </cell>
          <cell r="S2173">
            <v>0</v>
          </cell>
          <cell r="T2173">
            <v>0</v>
          </cell>
          <cell r="U2173">
            <v>54686940</v>
          </cell>
          <cell r="V2173">
            <v>54686940</v>
          </cell>
        </row>
        <row r="2174">
          <cell r="J2174">
            <v>1623</v>
          </cell>
          <cell r="K2174">
            <v>43182</v>
          </cell>
          <cell r="L2174" t="str">
            <v>JOSE FLAVIO MEJIA QUIRO</v>
          </cell>
          <cell r="M2174">
            <v>31</v>
          </cell>
          <cell r="N2174" t="str">
            <v>RESOLUCION</v>
          </cell>
          <cell r="O2174">
            <v>1569</v>
          </cell>
          <cell r="P2174">
            <v>43182</v>
          </cell>
          <cell r="Q2174" t="str">
            <v>AYUDA TEMPORAL A LAS FAMILIAS DE VARIAS LOCALIDADES, PARA LA RELOCALIZACIÓN DE HOGARES LOCALIZADOS EN ZONAS DE ALTO RIESGO NO MITIGABLE ID:2015-W166-220, LOCALIDAD:04 SAN CRISTÓBAL, UPZ:33 SOSIEGO, SECTOR:EPERARA</v>
          </cell>
          <cell r="R2174">
            <v>5311560</v>
          </cell>
          <cell r="S2174">
            <v>0</v>
          </cell>
          <cell r="T2174">
            <v>0</v>
          </cell>
          <cell r="U2174">
            <v>5311560</v>
          </cell>
          <cell r="V2174">
            <v>2655780</v>
          </cell>
        </row>
        <row r="2175">
          <cell r="J2175">
            <v>1624</v>
          </cell>
          <cell r="K2175">
            <v>43182</v>
          </cell>
          <cell r="L2175" t="str">
            <v>AMILKAR  PIRAZA MEPAQUITO</v>
          </cell>
          <cell r="M2175">
            <v>31</v>
          </cell>
          <cell r="N2175" t="str">
            <v>RESOLUCION</v>
          </cell>
          <cell r="O2175">
            <v>1570</v>
          </cell>
          <cell r="P2175">
            <v>43182</v>
          </cell>
          <cell r="Q2175" t="str">
            <v>AYUDA TEMPORAL A LAS FAMILIAS DE VARIAS LOCALIDADES, PARA LA RELOCALIZACIÓN DE HOGARES LOCALIZADOS EN ZONAS DE ALTO RIESGO NO MITIGABLE ID:2014-W166-050, LOCALIDAD:19 CIUDAD BOLÍVAR, UPZ:68 EL TESORO, SECTOR:WOUNAAN</v>
          </cell>
          <cell r="R2175">
            <v>6491914</v>
          </cell>
          <cell r="S2175">
            <v>0</v>
          </cell>
          <cell r="T2175">
            <v>0</v>
          </cell>
          <cell r="U2175">
            <v>6491914</v>
          </cell>
          <cell r="V2175">
            <v>2950870</v>
          </cell>
        </row>
        <row r="2176">
          <cell r="J2176">
            <v>1625</v>
          </cell>
          <cell r="K2176">
            <v>43182</v>
          </cell>
          <cell r="L2176" t="str">
            <v>MARIA LIGIA PIRAZA ISMARE</v>
          </cell>
          <cell r="M2176">
            <v>31</v>
          </cell>
          <cell r="N2176" t="str">
            <v>RESOLUCION</v>
          </cell>
          <cell r="O2176">
            <v>1571</v>
          </cell>
          <cell r="P2176">
            <v>43182</v>
          </cell>
          <cell r="Q2176" t="str">
            <v>AYUDA TEMPORAL A LAS FAMILIAS DE VARIAS LOCALIDADES, PARA LA RELOCALIZACIÓN DE HOGARES LOCALIZADOS EN ZONAS DE ALTO RIESGO NO MITIGABLE ID:2014-W166-078, LOCALIDAD:19 CIUDAD BOLÍVAR, UPZ:68 EL TESORO, SECTOR:WOUNAAN</v>
          </cell>
          <cell r="R2176">
            <v>5031235</v>
          </cell>
          <cell r="S2176">
            <v>0</v>
          </cell>
          <cell r="T2176">
            <v>0</v>
          </cell>
          <cell r="U2176">
            <v>5031235</v>
          </cell>
          <cell r="V2176">
            <v>2286925</v>
          </cell>
        </row>
        <row r="2177">
          <cell r="J2177">
            <v>1626</v>
          </cell>
          <cell r="K2177">
            <v>43182</v>
          </cell>
          <cell r="L2177" t="str">
            <v>YESSICA  CARDENAS CUERO</v>
          </cell>
          <cell r="M2177">
            <v>31</v>
          </cell>
          <cell r="N2177" t="str">
            <v>RESOLUCION</v>
          </cell>
          <cell r="O2177">
            <v>1572</v>
          </cell>
          <cell r="P2177">
            <v>43182</v>
          </cell>
          <cell r="Q2177" t="str">
            <v>AYUDA TEMPORAL A LAS FAMILIAS DE VARIAS LOCALIDADES, PARA LA RELOCALIZACIÓN DE HOGARES LOCALIZADOS EN ZONAS DE ALTO RIESGO NO MITIGABLE ID:2015-W166-428, LOCALIDAD:19 CIUDAD BOLÍVAR, UPZ:68 EL TESORO, SECTOR:WOUNAAN</v>
          </cell>
          <cell r="R2177">
            <v>6491914</v>
          </cell>
          <cell r="S2177">
            <v>0</v>
          </cell>
          <cell r="T2177">
            <v>0</v>
          </cell>
          <cell r="U2177">
            <v>6491914</v>
          </cell>
          <cell r="V2177">
            <v>2950870</v>
          </cell>
        </row>
        <row r="2178">
          <cell r="J2178">
            <v>1627</v>
          </cell>
          <cell r="K2178">
            <v>43182</v>
          </cell>
          <cell r="L2178" t="str">
            <v>LUCERITA  ISMARE CONQUISTA</v>
          </cell>
          <cell r="M2178">
            <v>31</v>
          </cell>
          <cell r="N2178" t="str">
            <v>RESOLUCION</v>
          </cell>
          <cell r="O2178">
            <v>1573</v>
          </cell>
          <cell r="P2178">
            <v>43182</v>
          </cell>
          <cell r="Q2178" t="str">
            <v>AYUDA TEMPORAL A LAS FAMILIAS DE VARIAS LOCALIDADES, PARA LA RELOCALIZACIÓN DE HOGARES LOCALIZADOS EN ZONAS DE ALTO RIESGO NO MITIGABLE ID:2015-W166-413, LOCALIDAD:19 CIUDAD BOLÍVAR, UPZ:67 LUCERO, SECTOR:WOUNAAN</v>
          </cell>
          <cell r="R2178">
            <v>6491914</v>
          </cell>
          <cell r="S2178">
            <v>0</v>
          </cell>
          <cell r="T2178">
            <v>0</v>
          </cell>
          <cell r="U2178">
            <v>6491914</v>
          </cell>
          <cell r="V2178">
            <v>2950870</v>
          </cell>
        </row>
        <row r="2179">
          <cell r="J2179">
            <v>1628</v>
          </cell>
          <cell r="K2179">
            <v>43182</v>
          </cell>
          <cell r="L2179" t="str">
            <v>JOAQUIN  MORENO ORTIZ</v>
          </cell>
          <cell r="M2179">
            <v>31</v>
          </cell>
          <cell r="N2179" t="str">
            <v>RESOLUCION</v>
          </cell>
          <cell r="O2179">
            <v>1612</v>
          </cell>
          <cell r="P2179">
            <v>43182</v>
          </cell>
          <cell r="Q2179" t="str">
            <v>AYUDA TEMPORAL A LAS FAMILIAS DE VARIAS LOCALIDADES, PARA LA RELOCALIZACIÓN DE HOGARES LOCALIZADOS EN ZONAS DE ALTO RIESGO NO MITIGABLE ID:2011-19-13542, LOCALIDAD:19 CIUDAD BOLÍVAR, UPZ:68 EL TESORO</v>
          </cell>
          <cell r="R2179">
            <v>6296810</v>
          </cell>
          <cell r="S2179">
            <v>0</v>
          </cell>
          <cell r="T2179">
            <v>0</v>
          </cell>
          <cell r="U2179">
            <v>6296810</v>
          </cell>
          <cell r="V2179">
            <v>2421850</v>
          </cell>
        </row>
        <row r="2180">
          <cell r="J2180">
            <v>1629</v>
          </cell>
          <cell r="K2180">
            <v>43182</v>
          </cell>
          <cell r="L2180" t="str">
            <v>ALBEIRO  VALENCIA CUERO</v>
          </cell>
          <cell r="M2180">
            <v>31</v>
          </cell>
          <cell r="N2180" t="str">
            <v>RESOLUCION</v>
          </cell>
          <cell r="O2180">
            <v>1613</v>
          </cell>
          <cell r="P2180">
            <v>43182</v>
          </cell>
          <cell r="Q2180" t="str">
            <v>AYUDA TEMPORAL A LAS FAMILIAS DE VARIAS LOCALIDADES, PARA LA RELOCALIZACIÓN DE HOGARES LOCALIZADOS EN ZONAS DE ALTO RIESGO NO MITIGABLE ID:2015-W166-516, LOCALIDAD:19 CIUDAD BOLÍVAR, UPZ:67 LUCERO, SECTOR:WOUNAANE</v>
          </cell>
          <cell r="R2180">
            <v>4123650</v>
          </cell>
          <cell r="S2180">
            <v>0</v>
          </cell>
          <cell r="T2180">
            <v>0</v>
          </cell>
          <cell r="U2180">
            <v>4123650</v>
          </cell>
          <cell r="V2180">
            <v>2061825</v>
          </cell>
        </row>
        <row r="2181">
          <cell r="J2181">
            <v>1630</v>
          </cell>
          <cell r="K2181">
            <v>43182</v>
          </cell>
          <cell r="L2181" t="str">
            <v>ANIBAL  BURGARA OPUA</v>
          </cell>
          <cell r="M2181">
            <v>31</v>
          </cell>
          <cell r="N2181" t="str">
            <v>RESOLUCION</v>
          </cell>
          <cell r="O2181">
            <v>1614</v>
          </cell>
          <cell r="P2181">
            <v>43182</v>
          </cell>
          <cell r="Q2181" t="str">
            <v>AYUDA TEMPORAL A LAS FAMILIAS DE VARIAS LOCALIDADES, PARA LA RELOCALIZACIÓN DE HOGARES LOCALIZADOS EN ZONAS DE ALTO RIESGO NO MITIGABLE ID:2014-W166-051, LOCALIDAD:19 CIUDAD BOLÍVAR, UPZ:68 EL TESORO, SECTOR:WOUNAAN</v>
          </cell>
          <cell r="R2181">
            <v>4979592</v>
          </cell>
          <cell r="S2181">
            <v>0</v>
          </cell>
          <cell r="T2181">
            <v>0</v>
          </cell>
          <cell r="U2181">
            <v>4979592</v>
          </cell>
          <cell r="V2181">
            <v>2766440</v>
          </cell>
        </row>
        <row r="2182">
          <cell r="J2182">
            <v>1631</v>
          </cell>
          <cell r="K2182">
            <v>43182</v>
          </cell>
          <cell r="L2182" t="str">
            <v>EZEQUIEL  MERCAZA PIRAZA</v>
          </cell>
          <cell r="M2182">
            <v>31</v>
          </cell>
          <cell r="N2182" t="str">
            <v>RESOLUCION</v>
          </cell>
          <cell r="O2182">
            <v>1615</v>
          </cell>
          <cell r="P2182">
            <v>43182</v>
          </cell>
          <cell r="Q2182" t="str">
            <v>AYUDA TEMPORAL A LAS FAMILIAS DE VARIAS LOCALIDADES, PARA LA RELOCALIZACIÓN DE HOGARES LOCALIZADOS EN ZONAS DE ALTO RIESGO NO MITIGABLE ID:2014-W166-018, LOCALIDAD:19 CIUDAD BOLÍVAR, UPZ:68 EL TESORO, SECTOR:WOUNAAN</v>
          </cell>
          <cell r="R2182">
            <v>7672262</v>
          </cell>
          <cell r="S2182">
            <v>0</v>
          </cell>
          <cell r="T2182">
            <v>0</v>
          </cell>
          <cell r="U2182">
            <v>7672262</v>
          </cell>
          <cell r="V2182">
            <v>2950870</v>
          </cell>
        </row>
        <row r="2183">
          <cell r="J2183">
            <v>1632</v>
          </cell>
          <cell r="K2183">
            <v>43182</v>
          </cell>
          <cell r="L2183" t="str">
            <v>CIRO  MENDOZA ORTIZ</v>
          </cell>
          <cell r="M2183">
            <v>31</v>
          </cell>
          <cell r="N2183" t="str">
            <v>RESOLUCION</v>
          </cell>
          <cell r="O2183">
            <v>1616</v>
          </cell>
          <cell r="P2183">
            <v>43182</v>
          </cell>
          <cell r="Q2183" t="str">
            <v>AYUDA TEMPORAL A LAS FAMILIAS DE VARIAS LOCALIDADES, PARA LA RELOCALIZACIÓN DE HOGARES LOCALIZADOS EN ZONAS DE ALTO RIESGO NO MITIGABLE ID:2015-W166-504, LOCALIDAD:03 SANTA FE, UPZ:96 LOURDES, SECTOR:UITOTO</v>
          </cell>
          <cell r="R2183">
            <v>7536932</v>
          </cell>
          <cell r="S2183">
            <v>0</v>
          </cell>
          <cell r="T2183">
            <v>0</v>
          </cell>
          <cell r="U2183">
            <v>7536932</v>
          </cell>
          <cell r="V2183">
            <v>2319056</v>
          </cell>
        </row>
        <row r="2184">
          <cell r="J2184">
            <v>1633</v>
          </cell>
          <cell r="K2184">
            <v>43182</v>
          </cell>
          <cell r="L2184" t="str">
            <v>ALEXANDER  REINA ALMARIO</v>
          </cell>
          <cell r="M2184">
            <v>31</v>
          </cell>
          <cell r="N2184" t="str">
            <v>RESOLUCION</v>
          </cell>
          <cell r="O2184">
            <v>1617</v>
          </cell>
          <cell r="P2184">
            <v>43182</v>
          </cell>
          <cell r="Q2184" t="str">
            <v>AYUDA TEMPORAL A LAS FAMILIAS DE VARIAS LOCALIDADES, PARA LA RELOCALIZACIÓN DE HOGARES LOCALIZADOS EN ZONAS DE ALTO RIESGO NO MITIGABLE ID:2014-Q07-00925, LOCALIDAD:19 CIUDAD BOLÍVAR, UPZ:67 LUCERO, SECTOR:QUEBRADA TROMPETA</v>
          </cell>
          <cell r="R2184">
            <v>6032013</v>
          </cell>
          <cell r="S2184">
            <v>0</v>
          </cell>
          <cell r="T2184">
            <v>0</v>
          </cell>
          <cell r="U2184">
            <v>6032013</v>
          </cell>
          <cell r="V2184">
            <v>2320005</v>
          </cell>
        </row>
        <row r="2185">
          <cell r="J2185">
            <v>1634</v>
          </cell>
          <cell r="K2185">
            <v>43182</v>
          </cell>
          <cell r="L2185" t="str">
            <v>BELENICE  SOBRECAMA CARPIO</v>
          </cell>
          <cell r="M2185">
            <v>31</v>
          </cell>
          <cell r="N2185" t="str">
            <v>RESOLUCION</v>
          </cell>
          <cell r="O2185">
            <v>1618</v>
          </cell>
          <cell r="P2185">
            <v>43182</v>
          </cell>
          <cell r="Q2185" t="str">
            <v>AYUDA TEMPORAL A LAS FAMILIAS DE VARIAS LOCALIDADES, PARA LA RELOCALIZACIÓN DE HOGARES LOCALIZADOS EN ZONAS DE ALTO RIESGO NO MITIGABLE ID:2015-W166-521, LOCALIDAD:19 CIUDAD BOLÍVAR, UPZ:67 LUCERO, SECTOR:WOUNAAN</v>
          </cell>
          <cell r="R2185">
            <v>5528393</v>
          </cell>
          <cell r="S2185">
            <v>0</v>
          </cell>
          <cell r="T2185">
            <v>0</v>
          </cell>
          <cell r="U2185">
            <v>5528393</v>
          </cell>
          <cell r="V2185">
            <v>2126305</v>
          </cell>
        </row>
        <row r="2186">
          <cell r="J2186">
            <v>1635</v>
          </cell>
          <cell r="K2186">
            <v>43182</v>
          </cell>
          <cell r="L2186" t="str">
            <v>HENRY  ORTIZ ISMARE</v>
          </cell>
          <cell r="M2186">
            <v>31</v>
          </cell>
          <cell r="N2186" t="str">
            <v>RESOLUCION</v>
          </cell>
          <cell r="O2186">
            <v>1619</v>
          </cell>
          <cell r="P2186">
            <v>43182</v>
          </cell>
          <cell r="Q2186" t="str">
            <v>AYUDA TEMPORAL A LAS FAMILIAS DE VARIAS LOCALIDADES, PARA LA RELOCALIZACIÓN DE HOGARES LOCALIZADOS EN ZONAS DE ALTO RIESGO NO MITIGABLE ID:2014-W166-010, LOCALIDAD:19 CIUDAD BOLÍVAR, UPZ:68 EL TESORO, SECTOR:WOUNAAN</v>
          </cell>
          <cell r="R2186">
            <v>6905028</v>
          </cell>
          <cell r="S2186">
            <v>0</v>
          </cell>
          <cell r="T2186">
            <v>0</v>
          </cell>
          <cell r="U2186">
            <v>6905028</v>
          </cell>
          <cell r="V2186">
            <v>2655780</v>
          </cell>
        </row>
        <row r="2187">
          <cell r="J2187">
            <v>1636</v>
          </cell>
          <cell r="K2187">
            <v>43182</v>
          </cell>
          <cell r="L2187" t="str">
            <v>MARIA INES ZAPATA GUTIERREZ</v>
          </cell>
          <cell r="M2187">
            <v>31</v>
          </cell>
          <cell r="N2187" t="str">
            <v>RESOLUCION</v>
          </cell>
          <cell r="O2187">
            <v>1620</v>
          </cell>
          <cell r="P2187">
            <v>43182</v>
          </cell>
          <cell r="Q2187" t="str">
            <v>AYUDA TEMPORAL A LAS FAMILIAS DE VARIAS LOCALIDADES, PARA LA RELOCALIZACIÓN DE HOGARES LOCALIZADOS EN ZONAS DE ALTO RIESGO NO MITIGABLE ID:2011-18-12391, LOCALIDAD:18 RAFAEL URIBE URIBE, UPZ:55 DIANA TURBAY, SECTOR:OLA INVERNAL 2010 FOPAE</v>
          </cell>
          <cell r="R2187">
            <v>7000929</v>
          </cell>
          <cell r="S2187">
            <v>0</v>
          </cell>
          <cell r="T2187">
            <v>0</v>
          </cell>
          <cell r="U2187">
            <v>7000929</v>
          </cell>
          <cell r="V2187">
            <v>1615599</v>
          </cell>
        </row>
        <row r="2188">
          <cell r="J2188">
            <v>1637</v>
          </cell>
          <cell r="K2188">
            <v>43182</v>
          </cell>
          <cell r="L2188" t="str">
            <v>REGINALDO  PIZARIO CHAMAPURO</v>
          </cell>
          <cell r="M2188">
            <v>31</v>
          </cell>
          <cell r="N2188" t="str">
            <v>RESOLUCION</v>
          </cell>
          <cell r="O2188">
            <v>1621</v>
          </cell>
          <cell r="P2188">
            <v>43182</v>
          </cell>
          <cell r="Q2188" t="str">
            <v>AYUDA TEMPORAL A LAS FAMILIAS DE VARIAS LOCALIDADES, PARA LA RELOCALIZACIÓN DE HOGARES LOCALIZADOS EN ZONAS DE ALTO RIESGO NO MITIGABLE ID:2014-W166-003, LOCALIDAD:19 CIUDAD BOLÍVAR, UPZ:68 EL TESORO, SECTOR:WOUNAAN</v>
          </cell>
          <cell r="R2188">
            <v>5311566</v>
          </cell>
          <cell r="S2188">
            <v>0</v>
          </cell>
          <cell r="T2188">
            <v>0</v>
          </cell>
          <cell r="U2188">
            <v>5311566</v>
          </cell>
          <cell r="V2188">
            <v>2950870</v>
          </cell>
        </row>
        <row r="2189">
          <cell r="J2189">
            <v>1638</v>
          </cell>
          <cell r="K2189">
            <v>43182</v>
          </cell>
          <cell r="L2189" t="str">
            <v>ROSENDO  OPUA GUACORIZO</v>
          </cell>
          <cell r="M2189">
            <v>31</v>
          </cell>
          <cell r="N2189" t="str">
            <v>RESOLUCION</v>
          </cell>
          <cell r="O2189">
            <v>1622</v>
          </cell>
          <cell r="P2189">
            <v>43182</v>
          </cell>
          <cell r="Q2189" t="str">
            <v>AYUDA TEMPORAL A LAS FAMILIAS DE VARIAS LOCALIDADES, PARA LA RELOCALIZACIÓN DE HOGARES LOCALIZADOS EN ZONAS DE ALTO RIESGO NO MITIGABLE ID:2014-W166-089, LOCALIDAD:19 CIUDAD BOLÍVAR, UPZ:68 EL TESORO, SECTOR:WOUNAAN</v>
          </cell>
          <cell r="R2189">
            <v>3585303</v>
          </cell>
          <cell r="S2189">
            <v>0</v>
          </cell>
          <cell r="T2189">
            <v>0</v>
          </cell>
          <cell r="U2189">
            <v>3585303</v>
          </cell>
          <cell r="V2189">
            <v>1991835</v>
          </cell>
        </row>
        <row r="2190">
          <cell r="J2190">
            <v>1640</v>
          </cell>
          <cell r="K2190">
            <v>43182</v>
          </cell>
          <cell r="L2190" t="str">
            <v>HERNANDO  GOMEZ AMAYA</v>
          </cell>
          <cell r="M2190">
            <v>31</v>
          </cell>
          <cell r="N2190" t="str">
            <v>RESOLUCION</v>
          </cell>
          <cell r="O2190">
            <v>1631</v>
          </cell>
          <cell r="P2190">
            <v>43182</v>
          </cell>
          <cell r="Q2190" t="str">
            <v>ASIGNACION DEL INSTRUMENTO FINANCIERO A LAS FAMILIAS OCUPANTES DEL PREDIO QUE HAYAN SUPERADO LA FASE DE VERIFICACION DENTRO  DEL MARCO DEL DECRETO 457 DE 2017. LOCALIDAD: KENNEDY; BARRIO: VEREDITAS; ID: 2018-8-384266</v>
          </cell>
          <cell r="R2190">
            <v>54686940</v>
          </cell>
          <cell r="S2190">
            <v>0</v>
          </cell>
          <cell r="T2190">
            <v>0</v>
          </cell>
          <cell r="U2190">
            <v>54686940</v>
          </cell>
          <cell r="V2190">
            <v>54686940</v>
          </cell>
        </row>
        <row r="2191">
          <cell r="J2191">
            <v>1641</v>
          </cell>
          <cell r="K2191">
            <v>43182</v>
          </cell>
          <cell r="L2191" t="str">
            <v>LOURDES CELINA NAVAS</v>
          </cell>
          <cell r="M2191">
            <v>31</v>
          </cell>
          <cell r="N2191" t="str">
            <v>RESOLUCION</v>
          </cell>
          <cell r="O2191">
            <v>1629</v>
          </cell>
          <cell r="P2191">
            <v>43182</v>
          </cell>
          <cell r="Q2191" t="str">
            <v>Asignacion del instrumento financiero a las familias ocupantes del predio que hayan superado la fase de verificacion dentro  del marco del Decreto 457 de 2017. LOCALIDAD: KENNEDY; BARRIO: VEREDITAS; ID: 2017-8-383771</v>
          </cell>
          <cell r="R2191">
            <v>54686940</v>
          </cell>
          <cell r="S2191">
            <v>0</v>
          </cell>
          <cell r="T2191">
            <v>0</v>
          </cell>
          <cell r="U2191">
            <v>54686940</v>
          </cell>
          <cell r="V2191">
            <v>54686940</v>
          </cell>
        </row>
        <row r="2192">
          <cell r="J2192">
            <v>1642</v>
          </cell>
          <cell r="K2192">
            <v>43182</v>
          </cell>
          <cell r="L2192" t="str">
            <v>GERARDO  CHIRIPUA DURA</v>
          </cell>
          <cell r="M2192">
            <v>31</v>
          </cell>
          <cell r="N2192" t="str">
            <v>RESOLUCION</v>
          </cell>
          <cell r="O2192">
            <v>1554</v>
          </cell>
          <cell r="P2192">
            <v>43182</v>
          </cell>
          <cell r="Q2192" t="str">
            <v>AYUDA TEMPORAL A LAS FAMILIAS DE VARIAS LOCALIDADES, PARA LA RELOCALIZACIÓN DE HOGARES LOCALIZADOS EN ZONAS DE ALTO RIESGO NO MITIGABLE ID:2015-W166-520, LOCALIDAD:19 CIUDAD BOLÍVAR, UPZ:67 LUCERO, SECTOR:WOUNAAN</v>
          </cell>
          <cell r="R2192">
            <v>3983670</v>
          </cell>
          <cell r="S2192">
            <v>0</v>
          </cell>
          <cell r="T2192">
            <v>0</v>
          </cell>
          <cell r="U2192">
            <v>3983670</v>
          </cell>
          <cell r="V2192">
            <v>2213150</v>
          </cell>
        </row>
        <row r="2193">
          <cell r="J2193">
            <v>1643</v>
          </cell>
          <cell r="K2193">
            <v>43182</v>
          </cell>
          <cell r="L2193" t="str">
            <v>MARIA LUCIA RODRIGEZ CACERES</v>
          </cell>
          <cell r="M2193">
            <v>31</v>
          </cell>
          <cell r="N2193" t="str">
            <v>RESOLUCION</v>
          </cell>
          <cell r="O2193">
            <v>1555</v>
          </cell>
          <cell r="P2193">
            <v>43182</v>
          </cell>
          <cell r="Q2193" t="str">
            <v>AYUDA TEMPORAL A LAS FAMILIAS DE VARIAS LOCALIDADES, PARA LA RELOCALIZACIÓN DE HOGARES LOCALIZADOS EN ZONAS DE ALTO RIESGO NO MITIGABLE ID:2016-08-14876, LOCALIDAD:08 KENNEDY, UPZ:82 PATIO BONITO, SECTOR:PALMITAS</v>
          </cell>
          <cell r="R2193">
            <v>6713226</v>
          </cell>
          <cell r="S2193">
            <v>0</v>
          </cell>
          <cell r="T2193">
            <v>0</v>
          </cell>
          <cell r="U2193">
            <v>6713226</v>
          </cell>
          <cell r="V2193">
            <v>2582010</v>
          </cell>
        </row>
        <row r="2194">
          <cell r="J2194">
            <v>1644</v>
          </cell>
          <cell r="K2194">
            <v>43182</v>
          </cell>
          <cell r="L2194" t="str">
            <v>NIDYA SOFIA CACERES PEÑALOZA</v>
          </cell>
          <cell r="M2194">
            <v>31</v>
          </cell>
          <cell r="N2194" t="str">
            <v>RESOLUCION</v>
          </cell>
          <cell r="O2194">
            <v>1556</v>
          </cell>
          <cell r="P2194">
            <v>43182</v>
          </cell>
          <cell r="Q2194" t="str">
            <v>AYUDA TEMPORAL A LAS FAMILIAS DE VARIAS LOCALIDADES, PARA LA RELOCALIZACIÓN DE HOGARES LOCALIZADOS EN ZONAS DE ALTO RIESGO NO MITIGABLE ID:2016-08-14878, LOCALIDAD:08 KENNEDY, UPZ:82 PATIO BONITO, SECTOR:PALMITAS</v>
          </cell>
          <cell r="R2194">
            <v>6425510</v>
          </cell>
          <cell r="S2194">
            <v>0</v>
          </cell>
          <cell r="T2194">
            <v>0</v>
          </cell>
          <cell r="U2194">
            <v>6425510</v>
          </cell>
          <cell r="V2194">
            <v>2471350</v>
          </cell>
        </row>
        <row r="2195">
          <cell r="J2195">
            <v>1645</v>
          </cell>
          <cell r="K2195">
            <v>43182</v>
          </cell>
          <cell r="L2195" t="str">
            <v>JHON EDUAR MOÑA MOYA</v>
          </cell>
          <cell r="M2195">
            <v>31</v>
          </cell>
          <cell r="N2195" t="str">
            <v>RESOLUCION</v>
          </cell>
          <cell r="O2195">
            <v>1557</v>
          </cell>
          <cell r="P2195">
            <v>43182</v>
          </cell>
          <cell r="Q2195" t="str">
            <v>AYUDA TEMPORAL A LAS FAMILIAS DE VARIAS LOCALIDADES, PARA LA RELOCALIZACIÓN DE HOGARES LOCALIZADOS EN ZONAS DE ALTO RIESGO NO MITIGABLE ID:2015-W166-535, LOCALIDAD:04 SAN CRISTÓBAL, UPZ:34 20 DE JULIO, SECTOR:EPERARA</v>
          </cell>
          <cell r="R2195">
            <v>6472401</v>
          </cell>
          <cell r="S2195">
            <v>0</v>
          </cell>
          <cell r="T2195">
            <v>0</v>
          </cell>
          <cell r="U2195">
            <v>6472401</v>
          </cell>
          <cell r="V2195">
            <v>2489385</v>
          </cell>
        </row>
        <row r="2196">
          <cell r="J2196">
            <v>1646</v>
          </cell>
          <cell r="K2196">
            <v>43182</v>
          </cell>
          <cell r="L2196" t="str">
            <v>HERMINIO  PIRAZA MERCAZA</v>
          </cell>
          <cell r="M2196">
            <v>31</v>
          </cell>
          <cell r="N2196" t="str">
            <v>RESOLUCION</v>
          </cell>
          <cell r="O2196">
            <v>1558</v>
          </cell>
          <cell r="P2196">
            <v>43182</v>
          </cell>
          <cell r="Q2196" t="str">
            <v>AYUDA TEMPORAL A LAS FAMILIAS DE VARIAS LOCALIDADES, PARA LA RELOCALIZACIÓN DE HOGARES LOCALIZADOS EN ZONAS DE ALTO RIESGO NO MITIGABLE ID:2015-W166-430, LOCALIDAD:19 CIUDAD BOLÍVAR, UPZ:68 EL TESORO, SECTOR:WOUNAAN</v>
          </cell>
          <cell r="R2196">
            <v>7480447</v>
          </cell>
          <cell r="S2196">
            <v>0</v>
          </cell>
          <cell r="T2196">
            <v>0</v>
          </cell>
          <cell r="U2196">
            <v>7480447</v>
          </cell>
          <cell r="V2196">
            <v>2877095</v>
          </cell>
        </row>
        <row r="2197">
          <cell r="J2197">
            <v>1647</v>
          </cell>
          <cell r="K2197">
            <v>43182</v>
          </cell>
          <cell r="L2197" t="str">
            <v>OFELIA  OBISPO MEMBACHE</v>
          </cell>
          <cell r="M2197">
            <v>31</v>
          </cell>
          <cell r="N2197" t="str">
            <v>RESOLUCION</v>
          </cell>
          <cell r="O2197">
            <v>1559</v>
          </cell>
          <cell r="P2197">
            <v>43182</v>
          </cell>
          <cell r="Q2197" t="str">
            <v>AYUDA TEMPORAL A LAS FAMILIAS DE VARIAS LOCALIDADES, PARA LA RELOCALIZACIÓN DE HOGARES LOCALIZADOS EN ZONAS DE ALTO RIESGO NO MITIGABLE ID:2015-W166-514, LOCALIDAD:19 CIUDAD BOLÍVAR, UPZ:67 LUCERO, SECTOR:WOUNAAN</v>
          </cell>
          <cell r="R2197">
            <v>7672262</v>
          </cell>
          <cell r="S2197">
            <v>0</v>
          </cell>
          <cell r="T2197">
            <v>0</v>
          </cell>
          <cell r="U2197">
            <v>7672262</v>
          </cell>
          <cell r="V2197">
            <v>2950870</v>
          </cell>
        </row>
        <row r="2198">
          <cell r="J2198">
            <v>1648</v>
          </cell>
          <cell r="K2198">
            <v>43182</v>
          </cell>
          <cell r="L2198" t="str">
            <v>PIOQUINTO  DURA OBISPO</v>
          </cell>
          <cell r="M2198">
            <v>31</v>
          </cell>
          <cell r="N2198" t="str">
            <v>RESOLUCION</v>
          </cell>
          <cell r="O2198">
            <v>1560</v>
          </cell>
          <cell r="P2198">
            <v>43182</v>
          </cell>
          <cell r="Q2198" t="str">
            <v>AYUDA TEMPORAL A LAS FAMILIAS DE VARIAS LOCALIDADES, PARA LA RELOCALIZACIÓN DE HOGARES LOCALIZADOS EN ZONAS DE ALTO RIESGO NO MITIGABLE ID:2014-W166-028, LOCALIDAD:19 CIUDAD BOLÍVAR, UPZ:67 LUCERO, SECTOR:WOUNAAN</v>
          </cell>
          <cell r="R2198">
            <v>7672262</v>
          </cell>
          <cell r="S2198">
            <v>0</v>
          </cell>
          <cell r="T2198">
            <v>0</v>
          </cell>
          <cell r="U2198">
            <v>7672262</v>
          </cell>
          <cell r="V2198">
            <v>2950870</v>
          </cell>
        </row>
        <row r="2199">
          <cell r="J2199">
            <v>1649</v>
          </cell>
          <cell r="K2199">
            <v>43182</v>
          </cell>
          <cell r="L2199" t="str">
            <v>DIRIO  CHAUCARAMA ISMARE</v>
          </cell>
          <cell r="M2199">
            <v>31</v>
          </cell>
          <cell r="N2199" t="str">
            <v>RESOLUCION</v>
          </cell>
          <cell r="O2199">
            <v>1562</v>
          </cell>
          <cell r="P2199">
            <v>43182</v>
          </cell>
          <cell r="Q2199" t="str">
            <v>AYUDA TEMPORAL A LAS FAMILIAS DE VARIAS LOCALIDADES, PARA LA RELOCALIZACIÓN DE HOGARES LOCALIZADOS EN ZONAS DE ALTO RIESGO NO MITIGABLE ID:2014-W166-053, LOCALIDAD:19 CIUDAD BOLÍVAR, UPZ:68 EL TESORO, SECTOR:WOUNAAN</v>
          </cell>
          <cell r="R2199">
            <v>7007741</v>
          </cell>
          <cell r="S2199">
            <v>0</v>
          </cell>
          <cell r="T2199">
            <v>0</v>
          </cell>
          <cell r="U2199">
            <v>7007741</v>
          </cell>
          <cell r="V2199">
            <v>2695285</v>
          </cell>
        </row>
        <row r="2200">
          <cell r="J2200">
            <v>1650</v>
          </cell>
          <cell r="K2200">
            <v>43182</v>
          </cell>
          <cell r="L2200" t="str">
            <v>CLAMEDE  MEMBACHE GARCIA</v>
          </cell>
          <cell r="M2200">
            <v>31</v>
          </cell>
          <cell r="N2200" t="str">
            <v>RESOLUCION</v>
          </cell>
          <cell r="O2200">
            <v>1563</v>
          </cell>
          <cell r="P2200">
            <v>43182</v>
          </cell>
          <cell r="Q2200" t="str">
            <v>AYUDA TEMPORAL A LAS FAMILIAS DE VARIAS LOCALIDADES, PARA LA RELOCALIZACIÓN DE HOGARES LOCALIZADOS EN ZONAS DE ALTO RIESGO NO MITIGABLE ID:2014-W166-045, LOCALIDAD:19 CIUDAD BOLÍVAR, UPZ:67 LUCERO, SECTOR:WOUNAAN</v>
          </cell>
          <cell r="R2200">
            <v>6098400</v>
          </cell>
          <cell r="S2200">
            <v>0</v>
          </cell>
          <cell r="T2200">
            <v>0</v>
          </cell>
          <cell r="U2200">
            <v>6098400</v>
          </cell>
          <cell r="V2200">
            <v>2772000</v>
          </cell>
        </row>
        <row r="2201">
          <cell r="J2201">
            <v>1651</v>
          </cell>
          <cell r="K2201">
            <v>43182</v>
          </cell>
          <cell r="L2201" t="str">
            <v>JACOB  QUIRO CARDENAS</v>
          </cell>
          <cell r="M2201">
            <v>31</v>
          </cell>
          <cell r="N2201" t="str">
            <v>RESOLUCION</v>
          </cell>
          <cell r="O2201">
            <v>1564</v>
          </cell>
          <cell r="P2201">
            <v>43182</v>
          </cell>
          <cell r="Q2201" t="str">
            <v>AYUDA TEMPORAL A LAS FAMILIAS DE VARIAS LOCALIDADES, PARA LA RELOCALIZACIÓN DE HOGARES LOCALIZADOS EN ZONAS DE ALTO RIESGO NO MITIGABLE ID:2014-W166-064, LOCALIDAD:19 CIUDAD BOLÍVAR, UPZ:68 EL TESORO, SECTOR:WOUNAAN</v>
          </cell>
          <cell r="R2201">
            <v>4797000</v>
          </cell>
          <cell r="S2201">
            <v>0</v>
          </cell>
          <cell r="T2201">
            <v>0</v>
          </cell>
          <cell r="U2201">
            <v>4797000</v>
          </cell>
          <cell r="V2201">
            <v>2398500</v>
          </cell>
        </row>
        <row r="2202">
          <cell r="J2202">
            <v>1652</v>
          </cell>
          <cell r="K2202">
            <v>43182</v>
          </cell>
          <cell r="L2202" t="str">
            <v>JOSE ALFREDO CHIRIMIA HUESO</v>
          </cell>
          <cell r="M2202">
            <v>31</v>
          </cell>
          <cell r="N2202" t="str">
            <v>RESOLUCION</v>
          </cell>
          <cell r="O2202">
            <v>1565</v>
          </cell>
          <cell r="P2202">
            <v>43182</v>
          </cell>
          <cell r="Q2202" t="str">
            <v>AYUDA TEMPORAL A LAS FAMILIAS DE VARIAS LOCALIDADES, PARA LA RELOCALIZACIÓN DE HOGARES LOCALIZADOS EN ZONAS DE ALTO RIESGO NO MITIGABLE ID:2015-W166-400, LOCALIDAD:03 SANTA FE, UPZ:95 LAS CRUCES, SECTOR:EPERARA</v>
          </cell>
          <cell r="R2202">
            <v>5311560</v>
          </cell>
          <cell r="S2202">
            <v>0</v>
          </cell>
          <cell r="T2202">
            <v>0</v>
          </cell>
          <cell r="U2202">
            <v>5311560</v>
          </cell>
          <cell r="V2202">
            <v>2655780</v>
          </cell>
        </row>
        <row r="2203">
          <cell r="J2203">
            <v>1653</v>
          </cell>
          <cell r="K2203">
            <v>43182</v>
          </cell>
          <cell r="L2203" t="str">
            <v>CELMA  DURA ISMARE</v>
          </cell>
          <cell r="M2203">
            <v>31</v>
          </cell>
          <cell r="N2203" t="str">
            <v>RESOLUCION</v>
          </cell>
          <cell r="O2203">
            <v>1566</v>
          </cell>
          <cell r="P2203">
            <v>43182</v>
          </cell>
          <cell r="Q2203" t="str">
            <v>AYUDA TEMPORAL A LAS FAMILIAS DE VARIAS LOCALIDADES, PARA LA RELOCALIZACIÓN DE HOGARES LOCALIZADOS EN ZONAS DE ALTO RIESGO NO MITIGABLE ID:2015-W166-439, LOCALIDAD:19 CIUDAD BOLÍVAR, UPZ:68 EL TESORO, SECTOR:WOUNAAN</v>
          </cell>
          <cell r="R2203">
            <v>6086168</v>
          </cell>
          <cell r="S2203">
            <v>0</v>
          </cell>
          <cell r="T2203">
            <v>0</v>
          </cell>
          <cell r="U2203">
            <v>6086168</v>
          </cell>
          <cell r="V2203">
            <v>2766440</v>
          </cell>
        </row>
        <row r="2204">
          <cell r="J2204">
            <v>1654</v>
          </cell>
          <cell r="K2204">
            <v>43182</v>
          </cell>
          <cell r="L2204" t="str">
            <v>JESUS MARIO MERCAZA CHAMAPURO</v>
          </cell>
          <cell r="M2204">
            <v>31</v>
          </cell>
          <cell r="N2204" t="str">
            <v>RESOLUCION</v>
          </cell>
          <cell r="O2204">
            <v>1567</v>
          </cell>
          <cell r="P2204">
            <v>43182</v>
          </cell>
          <cell r="Q2204" t="str">
            <v>AYUDA TEMPORAL A LAS FAMILIAS DE VARIAS LOCALIDADES, PARA LA RELOCALIZACIÓN DE HOGARES LOCALIZADOS EN ZONAS DE ALTO RIESGO NO MITIGABLE ID:2015-W166-422, LOCALIDAD:19 CIUDAD BOLÍVAR, UPZ:67 LUCERO, SECTOR:WOUNAAN</v>
          </cell>
          <cell r="R2204">
            <v>5953904</v>
          </cell>
          <cell r="S2204">
            <v>0</v>
          </cell>
          <cell r="T2204">
            <v>0</v>
          </cell>
          <cell r="U2204">
            <v>5953904</v>
          </cell>
          <cell r="V2204">
            <v>2706320</v>
          </cell>
        </row>
        <row r="2205">
          <cell r="J2205">
            <v>1655</v>
          </cell>
          <cell r="K2205">
            <v>43182</v>
          </cell>
          <cell r="L2205" t="str">
            <v>HERNANDO  PIRAZA ISMARE</v>
          </cell>
          <cell r="M2205">
            <v>31</v>
          </cell>
          <cell r="N2205" t="str">
            <v>RESOLUCION</v>
          </cell>
          <cell r="O2205">
            <v>1568</v>
          </cell>
          <cell r="P2205">
            <v>43182</v>
          </cell>
          <cell r="Q2205" t="str">
            <v>AYUDA TEMPORAL A LAS FAMILIAS DE VARIAS LOCALIDADES, PARA LA RELOCALIZACIÓN DE HOGARES LOCALIZADOS EN ZONAS DE ALTO RIESGO NO MITIGABLE ID:2014-W166-029, LOCALIDAD:19 CIUDAD BOLÍVAR, UPZ:67 LUCERO, SECTOR:WOUNAAN</v>
          </cell>
          <cell r="R2205">
            <v>6491914</v>
          </cell>
          <cell r="S2205">
            <v>0</v>
          </cell>
          <cell r="T2205">
            <v>0</v>
          </cell>
          <cell r="U2205">
            <v>6491914</v>
          </cell>
          <cell r="V2205">
            <v>2950870</v>
          </cell>
        </row>
        <row r="2206">
          <cell r="J2206">
            <v>1657</v>
          </cell>
          <cell r="K2206">
            <v>43185</v>
          </cell>
          <cell r="L2206" t="str">
            <v>JAIDAN  QUIRO PIRAZA</v>
          </cell>
          <cell r="M2206">
            <v>31</v>
          </cell>
          <cell r="N2206" t="str">
            <v>RESOLUCION</v>
          </cell>
          <cell r="O2206">
            <v>1561</v>
          </cell>
          <cell r="P2206">
            <v>43185</v>
          </cell>
          <cell r="Q2206" t="str">
            <v>AYUDA TEMPORAL A LAS FAMILIAS DE VARIAS LOCALIDADES, PARA LA RELOCALIZACIÓN DE HOGARES LOCALIZADOS EN ZONAS DE ALTO RIESGO NO MITIGABLE ID: 2015-W166-528, LOCALIDAD: 19 CIUDAD BOLIVAR, UPZ: 67 LUCERO, SECTOR: WOUNAAN</v>
          </cell>
          <cell r="R2206">
            <v>5311560</v>
          </cell>
          <cell r="S2206">
            <v>0</v>
          </cell>
          <cell r="T2206">
            <v>0</v>
          </cell>
          <cell r="U2206">
            <v>5311560</v>
          </cell>
          <cell r="V2206">
            <v>2655780</v>
          </cell>
        </row>
        <row r="2207">
          <cell r="J2207">
            <v>1661</v>
          </cell>
          <cell r="K2207">
            <v>43186</v>
          </cell>
          <cell r="L2207" t="str">
            <v>LUZ DARY TRIANA AGUIAR</v>
          </cell>
          <cell r="M2207">
            <v>31</v>
          </cell>
          <cell r="N2207" t="str">
            <v>RESOLUCION</v>
          </cell>
          <cell r="O2207">
            <v>1627</v>
          </cell>
          <cell r="P2207">
            <v>43186</v>
          </cell>
          <cell r="Q2207" t="str">
            <v>VUR de la actual vigencia.Dto 255 de 2013. LOCALIDAD:CIUDAD BOLIVAR; BARRIO:POTOSI; ID:2015-Q18-04422</v>
          </cell>
          <cell r="R2207">
            <v>39062100</v>
          </cell>
          <cell r="S2207">
            <v>0</v>
          </cell>
          <cell r="T2207">
            <v>0</v>
          </cell>
          <cell r="U2207">
            <v>39062100</v>
          </cell>
          <cell r="V2207">
            <v>39062100</v>
          </cell>
        </row>
        <row r="2208">
          <cell r="J2208">
            <v>1663</v>
          </cell>
          <cell r="K2208">
            <v>43192</v>
          </cell>
          <cell r="L2208" t="str">
            <v>BEYER BENJAMIN GALINDO CASTELBLANCO</v>
          </cell>
          <cell r="M2208">
            <v>31</v>
          </cell>
          <cell r="N2208" t="str">
            <v>RESOLUCION</v>
          </cell>
          <cell r="O2208">
            <v>1628</v>
          </cell>
          <cell r="P2208">
            <v>43192</v>
          </cell>
          <cell r="Q2208" t="str">
            <v>Asignacion del instrumento financiero a las familias ocupantes del predio que hayan superado la fase de verificacion dentro  del marco del Decreto 457 de 2017. LOCALIDAD: KENNEDY; BARRIO: VEREDITAS; ID: 2017-8-383638</v>
          </cell>
          <cell r="R2208">
            <v>54686940</v>
          </cell>
          <cell r="S2208">
            <v>0</v>
          </cell>
          <cell r="T2208">
            <v>0</v>
          </cell>
          <cell r="U2208">
            <v>54686940</v>
          </cell>
          <cell r="V2208">
            <v>54686940</v>
          </cell>
        </row>
        <row r="2209">
          <cell r="J2209">
            <v>1664</v>
          </cell>
          <cell r="K2209">
            <v>43192</v>
          </cell>
          <cell r="L2209" t="str">
            <v>ANDRES  YATE</v>
          </cell>
          <cell r="M2209">
            <v>31</v>
          </cell>
          <cell r="N2209" t="str">
            <v>RESOLUCION</v>
          </cell>
          <cell r="O2209">
            <v>1689</v>
          </cell>
          <cell r="P2209">
            <v>43192</v>
          </cell>
          <cell r="Q2209" t="str">
            <v>adquisición de mejoras y cesión de la posesión por Decreto 511 de 2010. LOCALIDAD: CIUDAD BOLIVAR; BARRIO: SANTA VIVIANA; ID: 2003-19-5176</v>
          </cell>
          <cell r="R2209">
            <v>24984000</v>
          </cell>
          <cell r="S2209">
            <v>0</v>
          </cell>
          <cell r="T2209">
            <v>0</v>
          </cell>
          <cell r="U2209">
            <v>24984000</v>
          </cell>
          <cell r="V2209">
            <v>0</v>
          </cell>
        </row>
        <row r="2210">
          <cell r="J2210">
            <v>1665</v>
          </cell>
          <cell r="K2210">
            <v>43192</v>
          </cell>
          <cell r="L2210" t="str">
            <v>JONATHAN ALEJANDRO BRAVO CHAVARRIO</v>
          </cell>
          <cell r="M2210">
            <v>31</v>
          </cell>
          <cell r="N2210" t="str">
            <v>RESOLUCION</v>
          </cell>
          <cell r="O2210">
            <v>1685</v>
          </cell>
          <cell r="P2210">
            <v>43192</v>
          </cell>
          <cell r="Q2210" t="str">
            <v>Asignacion del instrumento financiero a las familias ocupantes del predio que hayan superado la fase de verificacion dentro  del marco del Decreto 457 de 2017. LOCALIDAD: KENNEDY; BARRIO: VEREDITAS; ID: 2017-8-383670</v>
          </cell>
          <cell r="R2210">
            <v>54686940</v>
          </cell>
          <cell r="S2210">
            <v>0</v>
          </cell>
          <cell r="T2210">
            <v>0</v>
          </cell>
          <cell r="U2210">
            <v>54686940</v>
          </cell>
          <cell r="V2210">
            <v>54686940</v>
          </cell>
        </row>
        <row r="2211">
          <cell r="J2211">
            <v>1668</v>
          </cell>
          <cell r="K2211">
            <v>43194</v>
          </cell>
          <cell r="L2211" t="str">
            <v>LUIS HERNAN SIERRA CASAS</v>
          </cell>
          <cell r="M2211">
            <v>31</v>
          </cell>
          <cell r="N2211" t="str">
            <v>RESOLUCION</v>
          </cell>
          <cell r="O2211">
            <v>1747</v>
          </cell>
          <cell r="P2211">
            <v>43194</v>
          </cell>
          <cell r="Q2211" t="str">
            <v>AYUDA TEMPORAL A LAS FAMILIAS DE VARIAS LOCALIDADES, PARA LA RELOCALIZACIÓN DE HOGARES LOCALIZADOS EN ZONAS DE ALTO RIESGO NO MITIGABLE ID:2015-D227-00030, LOCALIDAD:04 SAN CRISTÓBAL, UPZ:51 LOS LIBERTADORES, SECTOR:SANTA TERESITA</v>
          </cell>
          <cell r="R2211">
            <v>2977345</v>
          </cell>
          <cell r="S2211">
            <v>0</v>
          </cell>
          <cell r="T2211">
            <v>0</v>
          </cell>
          <cell r="U2211">
            <v>2977345</v>
          </cell>
          <cell r="V2211">
            <v>2126675</v>
          </cell>
        </row>
        <row r="2212">
          <cell r="J2212">
            <v>1669</v>
          </cell>
          <cell r="K2212">
            <v>43194</v>
          </cell>
          <cell r="L2212" t="str">
            <v>EVANGELISTA  MORALES MORALES</v>
          </cell>
          <cell r="M2212">
            <v>31</v>
          </cell>
          <cell r="N2212" t="str">
            <v>RESOLUCION</v>
          </cell>
          <cell r="O2212">
            <v>1746</v>
          </cell>
          <cell r="P2212">
            <v>43194</v>
          </cell>
          <cell r="Q2212" t="str">
            <v>AYUDA TEMPORAL A LAS FAMILIAS DE VARIAS LOCALIDADES, PARA RELOCALIZACIÓN DE HOGARES LOCALIZADOS EN ZONAS DE ALTO RIESGO NO MITIGABLE ID:2013-Q10-00506, LOCALIDAD:04 SAN CRISTÓBAL, UPZ:51 LOS LIBERTADORES, SECTOR:QUEBRADA VEREJONES</v>
          </cell>
          <cell r="R2212">
            <v>3201695</v>
          </cell>
          <cell r="S2212">
            <v>0</v>
          </cell>
          <cell r="T2212">
            <v>0</v>
          </cell>
          <cell r="U2212">
            <v>3201695</v>
          </cell>
          <cell r="V2212">
            <v>2286925</v>
          </cell>
        </row>
        <row r="2213">
          <cell r="J2213">
            <v>1670</v>
          </cell>
          <cell r="K2213">
            <v>43194</v>
          </cell>
          <cell r="L2213" t="str">
            <v>EMILIANO  CHIRIPUA</v>
          </cell>
          <cell r="M2213">
            <v>31</v>
          </cell>
          <cell r="N2213" t="str">
            <v>RESOLUCION</v>
          </cell>
          <cell r="O2213">
            <v>1745</v>
          </cell>
          <cell r="P2213">
            <v>43194</v>
          </cell>
          <cell r="Q2213" t="str">
            <v>AYUDA TEMPORAL A LAS FAMILIAS DE VARIAS LOCALIDADES, PARA LA RELOCALIZACIÓN DE HOGARES LOCALIZADOS EN ZONAS DE ALTO RIESGO NO MITIGABLE ID:2014-W166-001, LOCALIDAD:19 CIUDAD BOLÍVAR, UPZ:68 EL TESORO, SECTOR:WOUNAAN</v>
          </cell>
          <cell r="R2213">
            <v>7480447</v>
          </cell>
          <cell r="S2213">
            <v>0</v>
          </cell>
          <cell r="T2213">
            <v>0</v>
          </cell>
          <cell r="U2213">
            <v>7480447</v>
          </cell>
          <cell r="V2213">
            <v>2877095</v>
          </cell>
        </row>
        <row r="2214">
          <cell r="J2214">
            <v>1671</v>
          </cell>
          <cell r="K2214">
            <v>43194</v>
          </cell>
          <cell r="L2214" t="str">
            <v>MARTHA CECILIA RIAÑO ROCHA</v>
          </cell>
          <cell r="M2214">
            <v>31</v>
          </cell>
          <cell r="N2214" t="str">
            <v>RESOLUCION</v>
          </cell>
          <cell r="O2214">
            <v>1744</v>
          </cell>
          <cell r="P2214">
            <v>43194</v>
          </cell>
          <cell r="Q2214" t="str">
            <v>AYUDA TEMPORAL A LAS FAMILIAS DE VARIAS LOCALIDADES, PARA LA RELOCALIZACIÓN DE HOGARES LOCALIZADOS EN ZONAS DE ALTO RIESGO NO MITIGABLE ID:2012-3-14353, LOCALIDAD:03 SANTA FE, UPZ:96 LOURDES, SECTOR:</v>
          </cell>
          <cell r="R2214">
            <v>4989600</v>
          </cell>
          <cell r="S2214">
            <v>0</v>
          </cell>
          <cell r="T2214">
            <v>0</v>
          </cell>
          <cell r="U2214">
            <v>4989600</v>
          </cell>
          <cell r="V2214">
            <v>2772000</v>
          </cell>
        </row>
        <row r="2215">
          <cell r="J2215">
            <v>1672</v>
          </cell>
          <cell r="K2215">
            <v>43194</v>
          </cell>
          <cell r="L2215" t="str">
            <v>FLORICELDA  CHIRIPUA CHAMAPURO</v>
          </cell>
          <cell r="M2215">
            <v>31</v>
          </cell>
          <cell r="N2215" t="str">
            <v>RESOLUCION</v>
          </cell>
          <cell r="O2215">
            <v>1742</v>
          </cell>
          <cell r="P2215">
            <v>43194</v>
          </cell>
          <cell r="Q2215" t="str">
            <v>AYUDA TEMPORAL A LAS FAMILIAS DE VARIAS LOCALIDADES, PARA LA RELOCALIZACIÓN DE HOGARES LOCALIZADOS EN ZONAS DE ALTO RIESGO NO MITIGABLE ID:2014-W166-060, LOCALIDAD:19 CIUDAD BOLÍVAR, UPZ:68 EL TESORO, SECTOR:WOUNAAN</v>
          </cell>
          <cell r="R2215">
            <v>4581225</v>
          </cell>
          <cell r="S2215">
            <v>0</v>
          </cell>
          <cell r="T2215">
            <v>0</v>
          </cell>
          <cell r="U2215">
            <v>4581225</v>
          </cell>
          <cell r="V2215">
            <v>2545125</v>
          </cell>
        </row>
        <row r="2216">
          <cell r="J2216">
            <v>1673</v>
          </cell>
          <cell r="K2216">
            <v>43194</v>
          </cell>
          <cell r="L2216" t="str">
            <v>ANA LUCIA CHIRIPUA DONISABE</v>
          </cell>
          <cell r="M2216">
            <v>31</v>
          </cell>
          <cell r="N2216" t="str">
            <v>RESOLUCION</v>
          </cell>
          <cell r="O2216">
            <v>1741</v>
          </cell>
          <cell r="P2216">
            <v>43194</v>
          </cell>
          <cell r="Q2216" t="str">
            <v>AYUDA TEMPORAL A LAS FAMILIAS DE VARIAS LOCALIDADES, PARA LA RELOCALIZACIÓN DE HOGARES LOCALIZADOS EN ZONAS DE ALTO RIESGO NO MITIGABLE ID:2015-W166-518, LOCALIDAD:19 CIUDAD BOLÍVAR, UPZ:67 LUCERO, SECTOR:WOUNAAN</v>
          </cell>
          <cell r="R2216">
            <v>5219100</v>
          </cell>
          <cell r="S2216">
            <v>0</v>
          </cell>
          <cell r="T2216">
            <v>0</v>
          </cell>
          <cell r="U2216">
            <v>5219100</v>
          </cell>
          <cell r="V2216">
            <v>2899500</v>
          </cell>
        </row>
        <row r="2217">
          <cell r="J2217">
            <v>1674</v>
          </cell>
          <cell r="K2217">
            <v>43194</v>
          </cell>
          <cell r="L2217" t="str">
            <v>ROBERT  ISMARE PUCHICAMA</v>
          </cell>
          <cell r="M2217">
            <v>31</v>
          </cell>
          <cell r="N2217" t="str">
            <v>RESOLUCION</v>
          </cell>
          <cell r="O2217">
            <v>1740</v>
          </cell>
          <cell r="P2217">
            <v>43194</v>
          </cell>
          <cell r="Q2217" t="str">
            <v>AYUDA TEMPORAL A LAS FAMILIAS DE VARIAS LOCALIDADES, PARA LA RELOCALIZACIÓN DE HOGARES LOCALIZADOS EN ZONAS DE ALTO RIESGO NO MITIGABLE ID:2014-W166-087, LOCALIDAD:19 CIUDAD BOLÍVAR, UPZ:68 EL TESORO, SECTOR:WOUNAAN</v>
          </cell>
          <cell r="R2217">
            <v>6491914</v>
          </cell>
          <cell r="S2217">
            <v>0</v>
          </cell>
          <cell r="T2217">
            <v>0</v>
          </cell>
          <cell r="U2217">
            <v>6491914</v>
          </cell>
          <cell r="V2217">
            <v>2950870</v>
          </cell>
        </row>
        <row r="2218">
          <cell r="J2218">
            <v>1675</v>
          </cell>
          <cell r="K2218">
            <v>43194</v>
          </cell>
          <cell r="L2218" t="str">
            <v>PEDRO  GOMEZ ACHURY</v>
          </cell>
          <cell r="M2218">
            <v>31</v>
          </cell>
          <cell r="N2218" t="str">
            <v>RESOLUCION</v>
          </cell>
          <cell r="O2218">
            <v>1739</v>
          </cell>
          <cell r="P2218">
            <v>43194</v>
          </cell>
          <cell r="Q2218" t="str">
            <v>AYUDA TEMPORAL A LAS FAMILIAS DE VARIAS LOCALIDADES, PARA LA RELOCALIZACIÓN DE HOGARES LOCALIZADOS EN ZONAS DE ALTO RIESGO NO MITIGABLE ID:2015-Q20-01413, LOCALIDAD:04 SAN CRISTÓBAL, UPZ:50 LA GLORIA, SECTOR:LA CHIGUAZA</v>
          </cell>
          <cell r="R2218">
            <v>4570263</v>
          </cell>
          <cell r="S2218">
            <v>0</v>
          </cell>
          <cell r="T2218">
            <v>0</v>
          </cell>
          <cell r="U2218">
            <v>4570263</v>
          </cell>
          <cell r="V2218">
            <v>2539035</v>
          </cell>
        </row>
        <row r="2219">
          <cell r="J2219">
            <v>1676</v>
          </cell>
          <cell r="K2219">
            <v>43194</v>
          </cell>
          <cell r="L2219" t="str">
            <v>MODESTO  GARCIA CHIRIMIA</v>
          </cell>
          <cell r="M2219">
            <v>31</v>
          </cell>
          <cell r="N2219" t="str">
            <v>RESOLUCION</v>
          </cell>
          <cell r="O2219">
            <v>1738</v>
          </cell>
          <cell r="P2219">
            <v>43194</v>
          </cell>
          <cell r="Q2219" t="str">
            <v>AYUDA TEMPORAL A LAS FAMILIAS DE VARIAS LOCALIDADES, PARA LA RELOCALIZACIÓN DE HOGARES LOCALIZADOS EN ZONAS DE ALTO RIESGO NO MITIGABLE ID:2014-W166-081, LOCALIDAD:19 CIUDAD BOLÍVAR, UPZ:68 EL TESORO, SECTOR:WOUNAAN</v>
          </cell>
          <cell r="R2219">
            <v>5532880</v>
          </cell>
          <cell r="S2219">
            <v>0</v>
          </cell>
          <cell r="T2219">
            <v>0</v>
          </cell>
          <cell r="U2219">
            <v>5532880</v>
          </cell>
          <cell r="V2219">
            <v>2766440</v>
          </cell>
        </row>
        <row r="2220">
          <cell r="J2220">
            <v>1677</v>
          </cell>
          <cell r="K2220">
            <v>43194</v>
          </cell>
          <cell r="L2220" t="str">
            <v>JANIOS ALPIDIO MARQUEZ SUEROKE</v>
          </cell>
          <cell r="M2220">
            <v>31</v>
          </cell>
          <cell r="N2220" t="str">
            <v>RESOLUCION</v>
          </cell>
          <cell r="O2220">
            <v>1737</v>
          </cell>
          <cell r="P2220">
            <v>43194</v>
          </cell>
          <cell r="Q2220" t="str">
            <v>AYUDA TEMPORAL A LAS FAMILIAS DE VARIAS LOCALIDADES, PARA LA RELOCALIZACIÓN DE HOGARES LOCALIZADOS EN ZONAS DE ALTO RIESGO NO MITIGABLE ID:2015-W166-410, LOCALIDAD:04 SAN CRISTÓBAL, UPZ:32 SAN BLAS, SECTOR:UITOTO</v>
          </cell>
          <cell r="R2220">
            <v>5311560</v>
          </cell>
          <cell r="S2220">
            <v>0</v>
          </cell>
          <cell r="T2220">
            <v>0</v>
          </cell>
          <cell r="U2220">
            <v>5311560</v>
          </cell>
          <cell r="V2220">
            <v>2655780</v>
          </cell>
        </row>
        <row r="2221">
          <cell r="J2221">
            <v>1678</v>
          </cell>
          <cell r="K2221">
            <v>43194</v>
          </cell>
          <cell r="L2221" t="str">
            <v>ESTEBAN  CHIRIMIA DURA</v>
          </cell>
          <cell r="M2221">
            <v>31</v>
          </cell>
          <cell r="N2221" t="str">
            <v>RESOLUCION</v>
          </cell>
          <cell r="O2221">
            <v>1736</v>
          </cell>
          <cell r="P2221">
            <v>43194</v>
          </cell>
          <cell r="Q2221" t="str">
            <v>AYUDA TEMPORAL A LAS FAMILIAS DE VARIAS LOCALIDADES, PARA LA RELOCALIZACIÓN DE HOGARES LOCALIZADOS EN ZONAS DE ALTO RIESGO NO MITIGABLE ID:2015-W166-210, LOCALIDAD:04 SAN CRISTÓBAL, UPZ:33 SOSIEGO, SECTOR:EPERARA</v>
          </cell>
          <cell r="R2221">
            <v>3629568</v>
          </cell>
          <cell r="S2221">
            <v>0</v>
          </cell>
          <cell r="T2221">
            <v>0</v>
          </cell>
          <cell r="U2221">
            <v>3629568</v>
          </cell>
          <cell r="V2221">
            <v>3024640</v>
          </cell>
        </row>
        <row r="2222">
          <cell r="J2222">
            <v>1679</v>
          </cell>
          <cell r="K2222">
            <v>43194</v>
          </cell>
          <cell r="L2222" t="str">
            <v>ELVIRA  CORZO DE GALEANO</v>
          </cell>
          <cell r="M2222">
            <v>31</v>
          </cell>
          <cell r="N2222" t="str">
            <v>RESOLUCION</v>
          </cell>
          <cell r="O2222">
            <v>1735</v>
          </cell>
          <cell r="P2222">
            <v>43194</v>
          </cell>
          <cell r="Q2222" t="str">
            <v>AYUDA TEMPORAL A LAS FAMILIAS DE VARIAS LOCALIDADES, PARA LA RELOCALIZACIÓN DE HOGARES LOCALIZADOS EN ZONAS DE ALTO RIESGO NO MITIGABLE ID:2014-Q07-00919, LOCALIDAD:19 CIUDAD BOLÍVAR, UPZ:68 EL TESORO, SECTOR:QUEBRADA GALINDO</v>
          </cell>
          <cell r="R2222">
            <v>1534452</v>
          </cell>
          <cell r="S2222">
            <v>383613</v>
          </cell>
          <cell r="T2222">
            <v>0</v>
          </cell>
          <cell r="U2222">
            <v>1150839</v>
          </cell>
          <cell r="V2222">
            <v>1150839</v>
          </cell>
        </row>
        <row r="2223">
          <cell r="J2223">
            <v>1680</v>
          </cell>
          <cell r="K2223">
            <v>43194</v>
          </cell>
          <cell r="L2223" t="str">
            <v>LEOPOLDINA  CHIRIPUA DURA</v>
          </cell>
          <cell r="M2223">
            <v>31</v>
          </cell>
          <cell r="N2223" t="str">
            <v>RESOLUCION</v>
          </cell>
          <cell r="O2223">
            <v>1734</v>
          </cell>
          <cell r="P2223">
            <v>43194</v>
          </cell>
          <cell r="Q2223" t="str">
            <v>AYUDA TEMPORAL A LAS FAMILIAS DE VARIAS LOCALIDADES, PARA LA RELOCALIZACIÓN DE HOGARES LOCALIZADOS EN ZONAS DE ALTO RIESGO NO MITIGABLE ID:2015-W166-515, LOCALIDAD:19 CIUDAD BOLÍVAR, UPZ:67 LUCERO, SECTOR:WOUNAAN</v>
          </cell>
          <cell r="R2223">
            <v>4131218</v>
          </cell>
          <cell r="S2223">
            <v>0</v>
          </cell>
          <cell r="T2223">
            <v>0</v>
          </cell>
          <cell r="U2223">
            <v>4131218</v>
          </cell>
          <cell r="V2223">
            <v>2950870</v>
          </cell>
        </row>
        <row r="2224">
          <cell r="J2224">
            <v>1681</v>
          </cell>
          <cell r="K2224">
            <v>43194</v>
          </cell>
          <cell r="L2224" t="str">
            <v>JHON LEWIS CHICHILIANO PEÑA</v>
          </cell>
          <cell r="M2224">
            <v>31</v>
          </cell>
          <cell r="N2224" t="str">
            <v>RESOLUCION</v>
          </cell>
          <cell r="O2224">
            <v>1733</v>
          </cell>
          <cell r="P2224">
            <v>43194</v>
          </cell>
          <cell r="Q2224" t="str">
            <v>AYUDA TEMPORAL A LAS FAMILIAS DE VARIAS LOCALIDADES, PARA LA RELOCALIZACIÓN DE HOGARES LOCALIZADOS EN ZONAS DE ALTO RIESGO NO MITIGABLE ID:2014-W166-069, LOCALIDAD:19 CIUDAD BOLÍVAR, UPZ:68 EL TESORO, SECTOR:WOUNAAN</v>
          </cell>
          <cell r="R2224">
            <v>4027933</v>
          </cell>
          <cell r="S2224">
            <v>0</v>
          </cell>
          <cell r="T2224">
            <v>0</v>
          </cell>
          <cell r="U2224">
            <v>4027933</v>
          </cell>
          <cell r="V2224">
            <v>2877095</v>
          </cell>
        </row>
        <row r="2225">
          <cell r="J2225">
            <v>1682</v>
          </cell>
          <cell r="K2225">
            <v>43194</v>
          </cell>
          <cell r="L2225" t="str">
            <v>MARIA LEONISA MERCAZA CHIRIPUA</v>
          </cell>
          <cell r="M2225">
            <v>31</v>
          </cell>
          <cell r="N2225" t="str">
            <v>RESOLUCION</v>
          </cell>
          <cell r="O2225">
            <v>1732</v>
          </cell>
          <cell r="P2225">
            <v>43194</v>
          </cell>
          <cell r="Q2225" t="str">
            <v>AYUDA TEMPORAL A LAS FAMILIAS DE VARIAS LOCALIDADES, PARA LA RELOCALIZACIÓN DE HOGARES LOCALIZADOS EN ZONAS DE ALTO RIESGO NO MITIGABLE ID:2015-W166-533, LOCALIDAD:19 CIUDAD BOLÍVAR, UPZ:67 LUCERO, SECTOR:WOUNAAN</v>
          </cell>
          <cell r="R2225">
            <v>5112378</v>
          </cell>
          <cell r="S2225">
            <v>0</v>
          </cell>
          <cell r="T2225">
            <v>0</v>
          </cell>
          <cell r="U2225">
            <v>5112378</v>
          </cell>
          <cell r="V2225">
            <v>2840210</v>
          </cell>
        </row>
        <row r="2226">
          <cell r="J2226">
            <v>1683</v>
          </cell>
          <cell r="K2226">
            <v>43194</v>
          </cell>
          <cell r="L2226" t="str">
            <v>BLANCA LILIANA MELO RAMOS</v>
          </cell>
          <cell r="M2226">
            <v>31</v>
          </cell>
          <cell r="N2226" t="str">
            <v>RESOLUCION</v>
          </cell>
          <cell r="O2226">
            <v>1731</v>
          </cell>
          <cell r="P2226">
            <v>43194</v>
          </cell>
          <cell r="Q2226" t="str">
            <v>AYUDA TEMPORAL A LAS FAMILIAS DE VARIAS LOCALIDADES, PARA LA RELOCALIZACIÓN DE HOGARES LOCALIZADOS EN ZONAS DE ALTO RIESGO NO MITIGABLE ID:2011-4-12714, LOCALIDAD:04 SAN CRISTÓBAL, UPZ:32 SAN BLAS</v>
          </cell>
          <cell r="R2226">
            <v>6283186</v>
          </cell>
          <cell r="S2226">
            <v>0</v>
          </cell>
          <cell r="T2226">
            <v>0</v>
          </cell>
          <cell r="U2226">
            <v>6283186</v>
          </cell>
          <cell r="V2226">
            <v>3383254</v>
          </cell>
        </row>
        <row r="2227">
          <cell r="J2227">
            <v>1684</v>
          </cell>
          <cell r="K2227">
            <v>43194</v>
          </cell>
          <cell r="L2227" t="str">
            <v>RUVIELA  JAIMES CARBAJAL</v>
          </cell>
          <cell r="M2227">
            <v>31</v>
          </cell>
          <cell r="N2227" t="str">
            <v>RESOLUCION</v>
          </cell>
          <cell r="O2227">
            <v>1684</v>
          </cell>
          <cell r="P2227">
            <v>43194</v>
          </cell>
          <cell r="Q2227" t="str">
            <v>AYUDA TEMPORAL A LAS FAMILIAS DE VARIAS LOCALIDADES, PARA LA RELOCALIZACIÓN DE HOGARES LOCALIZADOS EN ZONAS DE ALTO RIESGO NO MITIGABLE ID:2012-ALES-211, LOCALIDAD:19 CIUDAD BOLÍVAR, UPZ:69 ISMAEL PERDOMO, SECTOR:ALTOS DE LA ESTANCIA</v>
          </cell>
          <cell r="R2227">
            <v>5164020</v>
          </cell>
          <cell r="S2227">
            <v>0</v>
          </cell>
          <cell r="T2227">
            <v>0</v>
          </cell>
          <cell r="U2227">
            <v>5164020</v>
          </cell>
          <cell r="V2227">
            <v>2582010</v>
          </cell>
        </row>
        <row r="2228">
          <cell r="J2228">
            <v>1685</v>
          </cell>
          <cell r="K2228">
            <v>43194</v>
          </cell>
          <cell r="L2228" t="str">
            <v>DAVID  MOÑA ISMARE</v>
          </cell>
          <cell r="M2228">
            <v>31</v>
          </cell>
          <cell r="N2228" t="str">
            <v>RESOLUCION</v>
          </cell>
          <cell r="O2228">
            <v>1683</v>
          </cell>
          <cell r="P2228">
            <v>43194</v>
          </cell>
          <cell r="Q2228" t="str">
            <v>AYUDA TEMPORAL A LAS FAMILIAS DE VARIAS LOCALIDADES, PARA LA RELOCALIZACIÓN DE HOGARES LOCALIZADOS EN ZONAS DE ALTO RIESGO NO MITIGABLE ID:2015-W166-415, LOCALIDAD:19 CIUDAD BOLÍVAR, UPZ:67 LUCERO, SECTOR:WOUNAAN</v>
          </cell>
          <cell r="R2228">
            <v>4871376</v>
          </cell>
          <cell r="S2228">
            <v>0</v>
          </cell>
          <cell r="T2228">
            <v>0</v>
          </cell>
          <cell r="U2228">
            <v>4871376</v>
          </cell>
          <cell r="V2228">
            <v>2706320</v>
          </cell>
        </row>
        <row r="2229">
          <cell r="J2229">
            <v>1686</v>
          </cell>
          <cell r="K2229">
            <v>43194</v>
          </cell>
          <cell r="L2229" t="str">
            <v>SILVIO  MOYA OPUA</v>
          </cell>
          <cell r="M2229">
            <v>31</v>
          </cell>
          <cell r="N2229" t="str">
            <v>RESOLUCION</v>
          </cell>
          <cell r="O2229">
            <v>1682</v>
          </cell>
          <cell r="P2229">
            <v>43194</v>
          </cell>
          <cell r="Q2229" t="str">
            <v>AYUDA TEMPORAL A LAS FAMILIAS DE VARIAS LOCALIDADES, PARA LA RELOCALIZACIÓN DE HOGARES LOCALIZADOS EN ZONAS DE ALTO RIESGO NO MITIGABLE ID:2014-W166-092, LOCALIDAD:19 CIUDAD BOLÍVAR, UPZ:68 EL TESORO, SECTOR:WOUNAAN</v>
          </cell>
          <cell r="R2229">
            <v>4780404</v>
          </cell>
          <cell r="S2229">
            <v>0</v>
          </cell>
          <cell r="T2229">
            <v>0</v>
          </cell>
          <cell r="U2229">
            <v>4780404</v>
          </cell>
          <cell r="V2229">
            <v>2655780</v>
          </cell>
        </row>
        <row r="2230">
          <cell r="J2230">
            <v>1687</v>
          </cell>
          <cell r="K2230">
            <v>43194</v>
          </cell>
          <cell r="L2230" t="str">
            <v>YENNY  CHAMAPURO CHIRIMIA</v>
          </cell>
          <cell r="M2230">
            <v>31</v>
          </cell>
          <cell r="N2230" t="str">
            <v>RESOLUCION</v>
          </cell>
          <cell r="O2230">
            <v>1681</v>
          </cell>
          <cell r="P2230">
            <v>43194</v>
          </cell>
          <cell r="Q2230" t="str">
            <v>AYUDA TEMPORAL A LAS FAMILIAS DE VARIAS LOCALIDADES, PARA LA RELOCALIZACIÓN DE HOGARES LOCALIZADOS EN ZONAS DE ALTO RIESGO NO MITIGABLE ID:2015-W166-437, LOCALIDAD:19 CIUDAD BOLÍVAR, UPZ:68 EL TESORO, SECTOR:WOUNAAN</v>
          </cell>
          <cell r="R2230">
            <v>4871376</v>
          </cell>
          <cell r="S2230">
            <v>0</v>
          </cell>
          <cell r="T2230">
            <v>0</v>
          </cell>
          <cell r="U2230">
            <v>4871376</v>
          </cell>
          <cell r="V2230">
            <v>2706320</v>
          </cell>
        </row>
        <row r="2231">
          <cell r="J2231">
            <v>1688</v>
          </cell>
          <cell r="K2231">
            <v>43194</v>
          </cell>
          <cell r="L2231" t="str">
            <v>RIGOBERTO  BALAGUER CAICEDO</v>
          </cell>
          <cell r="M2231">
            <v>31</v>
          </cell>
          <cell r="N2231" t="str">
            <v>RESOLUCION</v>
          </cell>
          <cell r="O2231">
            <v>1680</v>
          </cell>
          <cell r="P2231">
            <v>43194</v>
          </cell>
          <cell r="Q2231" t="str">
            <v>AYUDA TEMPORAL A LAS FAMILIAS DE VARIAS LOCALIDADES, PARA LA RELOCALIZACIÓN DE HOGARES LOCALIZADOS EN ZONAS DE ALTO RIESGO NO MITIGABLE ID:2012-19-14581, LOCALIDAD:19 CIUDAD BOLÍVAR, UPZ:68 EL TESORO, SECTOR:QUEBRADA TROMPETA</v>
          </cell>
          <cell r="R2231">
            <v>3098410</v>
          </cell>
          <cell r="S2231">
            <v>0</v>
          </cell>
          <cell r="T2231">
            <v>0</v>
          </cell>
          <cell r="U2231">
            <v>3098410</v>
          </cell>
          <cell r="V2231">
            <v>2213150</v>
          </cell>
        </row>
        <row r="2232">
          <cell r="J2232">
            <v>1689</v>
          </cell>
          <cell r="K2232">
            <v>43194</v>
          </cell>
          <cell r="L2232" t="str">
            <v>MISAEL  MOCHO NEGRIA</v>
          </cell>
          <cell r="M2232">
            <v>31</v>
          </cell>
          <cell r="N2232" t="str">
            <v>RESOLUCION</v>
          </cell>
          <cell r="O2232">
            <v>1679</v>
          </cell>
          <cell r="P2232">
            <v>43194</v>
          </cell>
          <cell r="Q2232" t="str">
            <v>AYUDA TEMPORAL A LAS FAMILIAS DE VARIAS LOCALIDADES, PARA LA RELOCALIZACIÓN DE HOGARES LOCALIZADOS EN ZONAS DE ALTO RIESGO NO MITIGABLE ID:2015-W166-529, LOCALIDAD:19 CIUDAD BOLÍVAR, UPZ:67 LUCERO, SECTOR:WOUNAAN</v>
          </cell>
          <cell r="R2232">
            <v>7192744</v>
          </cell>
          <cell r="S2232">
            <v>0</v>
          </cell>
          <cell r="T2232">
            <v>0</v>
          </cell>
          <cell r="U2232">
            <v>7192744</v>
          </cell>
          <cell r="V2232">
            <v>2766440</v>
          </cell>
        </row>
        <row r="2233">
          <cell r="J2233">
            <v>1690</v>
          </cell>
          <cell r="K2233">
            <v>43194</v>
          </cell>
          <cell r="L2233" t="str">
            <v>DAWILIO  DURA ISMARE</v>
          </cell>
          <cell r="M2233">
            <v>31</v>
          </cell>
          <cell r="N2233" t="str">
            <v>RESOLUCION</v>
          </cell>
          <cell r="O2233">
            <v>1678</v>
          </cell>
          <cell r="P2233">
            <v>43194</v>
          </cell>
          <cell r="Q2233" t="str">
            <v>AYUDA TEMPORAL A LAS FAMILIAS DE VARIAS LOCALIDADES, PARA LA RELOCALIZACIÓN DE HOGARES LOCALIZADOS EN ZONAS DE ALTO RIESGO NO MITIGABLE ID:2015-W166-432, LOCALIDAD:19 CIUDAD BOLÍVAR, UPZ:67 LUCERO, SECTOR:WOUNAAN</v>
          </cell>
          <cell r="R2233">
            <v>6905028</v>
          </cell>
          <cell r="S2233">
            <v>0</v>
          </cell>
          <cell r="T2233">
            <v>0</v>
          </cell>
          <cell r="U2233">
            <v>6905028</v>
          </cell>
          <cell r="V2233">
            <v>2655780</v>
          </cell>
        </row>
        <row r="2234">
          <cell r="J2234">
            <v>1691</v>
          </cell>
          <cell r="K2234">
            <v>43194</v>
          </cell>
          <cell r="L2234" t="str">
            <v>LUZ MARLEN URREGO RODRIGUEZ</v>
          </cell>
          <cell r="M2234">
            <v>31</v>
          </cell>
          <cell r="N2234" t="str">
            <v>RESOLUCION</v>
          </cell>
          <cell r="O2234">
            <v>1677</v>
          </cell>
          <cell r="P2234">
            <v>43194</v>
          </cell>
          <cell r="Q2234" t="str">
            <v>AYUDA TEMPORAL A LAS FAMILIAS DE VARIAS LOCALIDADES, PARA LA RELOCALIZACIÓN DE HOGARES LOCALIZADOS EN ZONAS DE ALTO RIESGO NO MITIGABLE ID:2015-5-14740, LOCALIDAD:05 USME, UPZ:56 DANUBIO,</v>
          </cell>
          <cell r="R2234">
            <v>6279000</v>
          </cell>
          <cell r="S2234">
            <v>0</v>
          </cell>
          <cell r="T2234">
            <v>0</v>
          </cell>
          <cell r="U2234">
            <v>6279000</v>
          </cell>
          <cell r="V2234">
            <v>2415000</v>
          </cell>
        </row>
        <row r="2235">
          <cell r="J2235">
            <v>1692</v>
          </cell>
          <cell r="K2235">
            <v>43194</v>
          </cell>
          <cell r="L2235" t="str">
            <v>VIRGILIO  PUAMA MEMBACHE</v>
          </cell>
          <cell r="M2235">
            <v>31</v>
          </cell>
          <cell r="N2235" t="str">
            <v>RESOLUCION</v>
          </cell>
          <cell r="O2235">
            <v>1676</v>
          </cell>
          <cell r="P2235">
            <v>43194</v>
          </cell>
          <cell r="Q2235" t="str">
            <v>AYUDA TEMPORAL A LAS FAMILIAS DE VARIAS LOCALIDADES, PARA LA RELOCALIZACIÓN DE HOGARES LOCALIZADOS EN ZONAS DE ALTO RIESGO NO MITIGABLE ID:2015-W166-517, LOCALIDAD:19 CIUDAD BOLÍVAR, UPZ:67 LUCERO, SECTOR:WOUNAAN</v>
          </cell>
          <cell r="R2235">
            <v>5360745</v>
          </cell>
          <cell r="S2235">
            <v>0</v>
          </cell>
          <cell r="T2235">
            <v>0</v>
          </cell>
          <cell r="U2235">
            <v>5360745</v>
          </cell>
          <cell r="V2235">
            <v>2061825</v>
          </cell>
        </row>
        <row r="2236">
          <cell r="J2236">
            <v>1693</v>
          </cell>
          <cell r="K2236">
            <v>43194</v>
          </cell>
          <cell r="L2236" t="str">
            <v>MIRNA ELISA VALENCIA PERTIAGA</v>
          </cell>
          <cell r="M2236">
            <v>31</v>
          </cell>
          <cell r="N2236" t="str">
            <v>RESOLUCION</v>
          </cell>
          <cell r="O2236">
            <v>1675</v>
          </cell>
          <cell r="P2236">
            <v>43194</v>
          </cell>
          <cell r="Q2236" t="str">
            <v>AYUDA TEMPORAL A LAS FAMILIAS DE VARIAS LOCALIDADES, PARA LA RELOCALIZACIÓN DE HOGARES LOCALIZADOS EN ZONAS DE ALTO RIESGO NO MITIGABLE ID:2015-W166-509, LOCALIDAD:04 SAN CRISTÓBAL, UPZ:34 20 DE JULIO, SECTOR:EPERARA</v>
          </cell>
          <cell r="R2236">
            <v>4780404</v>
          </cell>
          <cell r="S2236">
            <v>0</v>
          </cell>
          <cell r="T2236">
            <v>0</v>
          </cell>
          <cell r="U2236">
            <v>4780404</v>
          </cell>
          <cell r="V2236">
            <v>2655780</v>
          </cell>
        </row>
        <row r="2237">
          <cell r="J2237">
            <v>1694</v>
          </cell>
          <cell r="K2237">
            <v>43194</v>
          </cell>
          <cell r="L2237" t="str">
            <v>RENE  PIZARE MALAGA</v>
          </cell>
          <cell r="M2237">
            <v>31</v>
          </cell>
          <cell r="N2237" t="str">
            <v>RESOLUCION</v>
          </cell>
          <cell r="O2237">
            <v>1674</v>
          </cell>
          <cell r="P2237">
            <v>43194</v>
          </cell>
          <cell r="Q2237" t="str">
            <v>AYUDA TEMPORAL A LAS FAMILIAS DE VARIAS LOCALIDADES, PARA LA RELOCALIZACIÓN DE HOGARES LOCALIZADOS EN ZONAS DE ALTO RIESGO NO MITIGABLE ID:2015-W166-201, LOCALIDAD:04 SAN CRISTÓBAL, UPZ:33 SOSIEGO, SECTOR:EPERARA</v>
          </cell>
          <cell r="R2237">
            <v>4979592</v>
          </cell>
          <cell r="S2237">
            <v>0</v>
          </cell>
          <cell r="T2237">
            <v>0</v>
          </cell>
          <cell r="U2237">
            <v>4979592</v>
          </cell>
          <cell r="V2237">
            <v>2766440</v>
          </cell>
        </row>
        <row r="2238">
          <cell r="J2238">
            <v>1695</v>
          </cell>
          <cell r="K2238">
            <v>43195</v>
          </cell>
          <cell r="L2238" t="str">
            <v>ELBER ANTONIO ISMARE DURA</v>
          </cell>
          <cell r="M2238">
            <v>31</v>
          </cell>
          <cell r="N2238" t="str">
            <v>RESOLUCION</v>
          </cell>
          <cell r="O2238">
            <v>1673</v>
          </cell>
          <cell r="P2238">
            <v>43195</v>
          </cell>
          <cell r="Q2238" t="str">
            <v>AYUDA TEMPORAL A LAS FAMILIAS DE VARIAS LOCALIDADES, PARA LA RELOCALIZACIÓN DE HOGARES LOCALIZADOS EN ZONAS DE ALTO RIESGO NO MITIGABLE ID:2015-W166-213, LOCALIDAD:04 SAN CRISTÓBAL, UPZ:33 SOSIEGO, SECTOR:EPERARA</v>
          </cell>
          <cell r="R2238">
            <v>4647618</v>
          </cell>
          <cell r="S2238">
            <v>0</v>
          </cell>
          <cell r="T2238">
            <v>0</v>
          </cell>
          <cell r="U2238">
            <v>4647618</v>
          </cell>
          <cell r="V2238">
            <v>2582010</v>
          </cell>
        </row>
        <row r="2239">
          <cell r="J2239">
            <v>1696</v>
          </cell>
          <cell r="K2239">
            <v>43195</v>
          </cell>
          <cell r="L2239" t="str">
            <v>NISON HARIEL CHAUCARAMA GUACORIZO</v>
          </cell>
          <cell r="M2239">
            <v>31</v>
          </cell>
          <cell r="N2239" t="str">
            <v>RESOLUCION</v>
          </cell>
          <cell r="O2239">
            <v>1672</v>
          </cell>
          <cell r="P2239">
            <v>43195</v>
          </cell>
          <cell r="Q2239" t="str">
            <v>AYUDA TEMPORAL A LAS FAMILIAS DE VARIAS LOCALIDADES, PARA LA RELOCALIZACIÓN DE HOGARES LOCALIZADOS EN ZONAS DE ALTO RIESGO NO MITIGABLE ID:2014-W166-083, LOCALIDAD:19 CIUDAD BOLÍVAR, UPZ:68 EL TESORO, SECTOR:WOUNAAN</v>
          </cell>
          <cell r="R2239">
            <v>3515589</v>
          </cell>
          <cell r="S2239">
            <v>0</v>
          </cell>
          <cell r="T2239">
            <v>0</v>
          </cell>
          <cell r="U2239">
            <v>3515589</v>
          </cell>
          <cell r="V2239">
            <v>1953105</v>
          </cell>
        </row>
        <row r="2240">
          <cell r="J2240">
            <v>1697</v>
          </cell>
          <cell r="K2240">
            <v>43195</v>
          </cell>
          <cell r="L2240" t="str">
            <v>YONNY LESI OSORIO SARCO</v>
          </cell>
          <cell r="M2240">
            <v>31</v>
          </cell>
          <cell r="N2240" t="str">
            <v>RESOLUCION</v>
          </cell>
          <cell r="O2240">
            <v>1671</v>
          </cell>
          <cell r="P2240">
            <v>43195</v>
          </cell>
          <cell r="Q2240" t="str">
            <v>AYUDA TEMPORAL A LAS FAMILIAS DE VARIAS LOCALIDADES, PARA LA RELOCALIZACIÓN DE HOGARES LOCALIZADOS EN ZONAS DE ALTO RIESGO NO MITIGABLE ID:2014-W166-097, LOCALIDAD:19 CIUDAD BOLÍVAR, UPZ:68 EL TESORO, SECTOR:WOUNAAN</v>
          </cell>
          <cell r="R2240">
            <v>4780404</v>
          </cell>
          <cell r="S2240">
            <v>0</v>
          </cell>
          <cell r="T2240">
            <v>0</v>
          </cell>
          <cell r="U2240">
            <v>4780404</v>
          </cell>
          <cell r="V2240">
            <v>2655780</v>
          </cell>
        </row>
        <row r="2241">
          <cell r="J2241">
            <v>1698</v>
          </cell>
          <cell r="K2241">
            <v>43195</v>
          </cell>
          <cell r="L2241" t="str">
            <v>HENRY  MEJIA CUAMA</v>
          </cell>
          <cell r="M2241">
            <v>31</v>
          </cell>
          <cell r="N2241" t="str">
            <v>RESOLUCION</v>
          </cell>
          <cell r="O2241">
            <v>1670</v>
          </cell>
          <cell r="P2241">
            <v>43195</v>
          </cell>
          <cell r="Q2241" t="str">
            <v>AYUDA TEMPORAL A LAS FAMILIAS DE VARIAS LOCALIDADES, PARA LA RELOCALIZACIÓN DE HOGARES LOCALIZADOS EN ZONAS DE ALTO RIESGO NO MITIGABLE ID:2015-W166-205, LOCALIDAD:04 SAN CRISTÓBAL, UPZ:33 SOSIEGO, SECTOR:EPERARA</v>
          </cell>
          <cell r="R2241">
            <v>4780404</v>
          </cell>
          <cell r="S2241">
            <v>0</v>
          </cell>
          <cell r="T2241">
            <v>0</v>
          </cell>
          <cell r="U2241">
            <v>4780404</v>
          </cell>
          <cell r="V2241">
            <v>2655780</v>
          </cell>
        </row>
        <row r="2242">
          <cell r="J2242">
            <v>1699</v>
          </cell>
          <cell r="K2242">
            <v>43195</v>
          </cell>
          <cell r="L2242" t="str">
            <v>ELEYDA  CARDENAS MEMBACHE</v>
          </cell>
          <cell r="M2242">
            <v>31</v>
          </cell>
          <cell r="N2242" t="str">
            <v>RESOLUCION</v>
          </cell>
          <cell r="O2242">
            <v>1669</v>
          </cell>
          <cell r="P2242">
            <v>43195</v>
          </cell>
          <cell r="Q2242" t="str">
            <v>AYUDA TEMPORAL A LAS FAMILIAS DE VARIAS LOCALIDADES, PARA LA RELOCALIZACIÓN DE HOGARES LOCALIZADOS EN ZONAS DE ALTO RIESGO NO MITIGABLE ID:2014-W166-054, LOCALIDAD:19 CIUDAD BOLÍVAR, UPZ:68 EL TESORO, SECTOR:WOUNAAN</v>
          </cell>
          <cell r="R2242">
            <v>5311566</v>
          </cell>
          <cell r="S2242">
            <v>0</v>
          </cell>
          <cell r="T2242">
            <v>0</v>
          </cell>
          <cell r="U2242">
            <v>5311566</v>
          </cell>
          <cell r="V2242">
            <v>2950870</v>
          </cell>
        </row>
        <row r="2243">
          <cell r="J2243">
            <v>1700</v>
          </cell>
          <cell r="K2243">
            <v>43195</v>
          </cell>
          <cell r="L2243" t="str">
            <v>ALBEIRO  ORTIZ CHICHILIANO</v>
          </cell>
          <cell r="M2243">
            <v>31</v>
          </cell>
          <cell r="N2243" t="str">
            <v>RESOLUCION</v>
          </cell>
          <cell r="O2243">
            <v>1668</v>
          </cell>
          <cell r="P2243">
            <v>43195</v>
          </cell>
          <cell r="Q2243" t="str">
            <v>AYUDA TEMPORAL A LAS FAMILIAS DE VARIAS LOCALIDADES, PARA LA RELOCALIZACIÓN DE HOGARES LOCALIZADOS EN ZONAS DE ALTO RIESGO NO MITIGABLE ID:2015-W166-418, LOCALIDAD:19 CIUDAD BOLÍVAR, UPZ:67 LUCERO, SECTOR:WOUNAAN</v>
          </cell>
          <cell r="R2243">
            <v>5335434</v>
          </cell>
          <cell r="S2243">
            <v>0</v>
          </cell>
          <cell r="T2243">
            <v>0</v>
          </cell>
          <cell r="U2243">
            <v>5335434</v>
          </cell>
          <cell r="V2243">
            <v>2371304</v>
          </cell>
        </row>
        <row r="2244">
          <cell r="J2244">
            <v>1701</v>
          </cell>
          <cell r="K2244">
            <v>43195</v>
          </cell>
          <cell r="L2244" t="str">
            <v>DORIS ELSA PIRAZA ISMARE</v>
          </cell>
          <cell r="M2244">
            <v>31</v>
          </cell>
          <cell r="N2244" t="str">
            <v>RESOLUCION</v>
          </cell>
          <cell r="O2244">
            <v>1667</v>
          </cell>
          <cell r="P2244">
            <v>43195</v>
          </cell>
          <cell r="Q2244" t="str">
            <v>AYUDA TEMPORAL A LAS FAMILIAS DE VARIAS LOCALIDADES, PARA LA RELOCALIZACIÓN DE HOGARES LOCALIZADOS EN ZONAS DE ALTO RIESGO NO MITIGABLE ID:2014-W166-039, LOCALIDAD:19 CIUDAD BOLÍVAR, UPZ:68 EL TESORO, SECTOR:WOUNAAN</v>
          </cell>
          <cell r="R2244">
            <v>6491914</v>
          </cell>
          <cell r="S2244">
            <v>0</v>
          </cell>
          <cell r="T2244">
            <v>0</v>
          </cell>
          <cell r="U2244">
            <v>6491914</v>
          </cell>
          <cell r="V2244">
            <v>2950870</v>
          </cell>
        </row>
        <row r="2245">
          <cell r="J2245">
            <v>1702</v>
          </cell>
          <cell r="K2245">
            <v>43195</v>
          </cell>
          <cell r="L2245" t="str">
            <v>ROSALBA  ATEHORTUA ARIAS</v>
          </cell>
          <cell r="M2245">
            <v>31</v>
          </cell>
          <cell r="N2245" t="str">
            <v>RESOLUCION</v>
          </cell>
          <cell r="O2245">
            <v>1666</v>
          </cell>
          <cell r="P2245">
            <v>43195</v>
          </cell>
          <cell r="Q2245" t="str">
            <v>AYUDA TEMPORAL A LAS FAMILIAS DE VARIAS LOCALIDADES, PARA LA RELOCALIZACIÓN DE HOGARES LOCALIZADOS EN ZONAS DE ALTO RIESGO NO MITIGABLE ID:2013-5-14681, LOCALIDAD:05 USME, UPZ:57 GRAN YOMASA</v>
          </cell>
          <cell r="R2245">
            <v>5152170</v>
          </cell>
          <cell r="S2245">
            <v>0</v>
          </cell>
          <cell r="T2245">
            <v>0</v>
          </cell>
          <cell r="U2245">
            <v>5152170</v>
          </cell>
          <cell r="V2245">
            <v>2576085</v>
          </cell>
        </row>
        <row r="2246">
          <cell r="J2246">
            <v>1703</v>
          </cell>
          <cell r="K2246">
            <v>43195</v>
          </cell>
          <cell r="L2246" t="str">
            <v>DEISY  PEGAISA OPUA</v>
          </cell>
          <cell r="M2246">
            <v>31</v>
          </cell>
          <cell r="N2246" t="str">
            <v>RESOLUCION</v>
          </cell>
          <cell r="O2246">
            <v>1665</v>
          </cell>
          <cell r="P2246">
            <v>43195</v>
          </cell>
          <cell r="Q2246" t="str">
            <v>AYUDA TEMPORAL A LAS FAMILIAS DE VARIAS LOCALIDADES, PARA RELOCALIZACIÓN DE HOGARES LOCALIZADOS EN ZONAS DE ALTO RIESGO NO MITIGABLE ID:2014-W166-002, LOCALIDAD:19 CIUDAD BOLÍVAR, UPZ:67 LUCERO, SECTOR:WOUNAAN</v>
          </cell>
          <cell r="R2246">
            <v>3186936</v>
          </cell>
          <cell r="S2246">
            <v>0</v>
          </cell>
          <cell r="T2246">
            <v>0</v>
          </cell>
          <cell r="U2246">
            <v>3186936</v>
          </cell>
          <cell r="V2246">
            <v>2655780</v>
          </cell>
        </row>
        <row r="2247">
          <cell r="J2247">
            <v>1704</v>
          </cell>
          <cell r="K2247">
            <v>43195</v>
          </cell>
          <cell r="L2247" t="str">
            <v>PAOLA ANDREA ATTAMA</v>
          </cell>
          <cell r="M2247">
            <v>31</v>
          </cell>
          <cell r="N2247" t="str">
            <v>RESOLUCION</v>
          </cell>
          <cell r="O2247">
            <v>1664</v>
          </cell>
          <cell r="P2247">
            <v>43195</v>
          </cell>
          <cell r="Q2247" t="str">
            <v>AYUDA TEMPORAL A LAS FAMILIAS DE VARIAS LOCALIDADES, PARA LA RELOCALIZACIÓN DE HOGARES LOCALIZADOS EN ZONAS DE ALTO RIESGO NO MITIGABLE ID:2015-W166-406, LOCALIDAD:07 BOSA, UPZ:86 EL PORVENIR, SECTOR:UITOTO</v>
          </cell>
          <cell r="R2247">
            <v>4544336</v>
          </cell>
          <cell r="S2247">
            <v>0</v>
          </cell>
          <cell r="T2247">
            <v>0</v>
          </cell>
          <cell r="U2247">
            <v>4544336</v>
          </cell>
          <cell r="V2247">
            <v>2840210</v>
          </cell>
        </row>
        <row r="2248">
          <cell r="J2248">
            <v>1705</v>
          </cell>
          <cell r="K2248">
            <v>43195</v>
          </cell>
          <cell r="L2248" t="str">
            <v>FLOR EDILMA GARZON BENITEZ</v>
          </cell>
          <cell r="M2248">
            <v>31</v>
          </cell>
          <cell r="N2248" t="str">
            <v>RESOLUCION</v>
          </cell>
          <cell r="O2248">
            <v>1663</v>
          </cell>
          <cell r="P2248">
            <v>43195</v>
          </cell>
          <cell r="Q2248" t="str">
            <v>AYUDA TEMPORAL A LAS FAMILIAS DE VARIAS LOCALIDADES, PARA LA RELOCALIZACIÓN DE HOGARES LOCALIZADOS EN ZONAS DE ALTO RIESGO NO MITIGABLE ID:2013-Q05-00050, LOCALIDAD:19 CIUDAD BOLÍVAR, UPZ:67 LUCERO, SECTOR:QUEBRADA CAÑO BAÚL</v>
          </cell>
          <cell r="R2248">
            <v>3017000</v>
          </cell>
          <cell r="S2248">
            <v>0</v>
          </cell>
          <cell r="T2248">
            <v>0</v>
          </cell>
          <cell r="U2248">
            <v>3017000</v>
          </cell>
          <cell r="V2248">
            <v>2155000</v>
          </cell>
        </row>
        <row r="2249">
          <cell r="J2249">
            <v>1706</v>
          </cell>
          <cell r="K2249">
            <v>43195</v>
          </cell>
          <cell r="L2249" t="str">
            <v>JAIRO ALEXI FERLA</v>
          </cell>
          <cell r="M2249">
            <v>31</v>
          </cell>
          <cell r="N2249" t="str">
            <v>RESOLUCION</v>
          </cell>
          <cell r="O2249">
            <v>1662</v>
          </cell>
          <cell r="P2249">
            <v>43195</v>
          </cell>
          <cell r="Q2249" t="str">
            <v>AYUDA TEMPORAL A LAS FAMILIAS DE VARIAS LOCALIDADES, PARA LA RELOCALIZACIÓN DE HOGARES LOCALIZADOS EN ZONAS DE ALTO RIESGO NO MITIGABLE ID:2007-4-10688, LOCALIDAD:04 SAN CRISTÓBAL, UPZ:32 SAN BLAS</v>
          </cell>
          <cell r="R2249">
            <v>5612893</v>
          </cell>
          <cell r="S2249">
            <v>0</v>
          </cell>
          <cell r="T2249">
            <v>0</v>
          </cell>
          <cell r="U2249">
            <v>5612893</v>
          </cell>
          <cell r="V2249">
            <v>2158805</v>
          </cell>
        </row>
        <row r="2250">
          <cell r="J2250">
            <v>1707</v>
          </cell>
          <cell r="K2250">
            <v>43195</v>
          </cell>
          <cell r="L2250" t="str">
            <v>GEORGINA  GOMEZ MORENO</v>
          </cell>
          <cell r="M2250">
            <v>31</v>
          </cell>
          <cell r="N2250" t="str">
            <v>RESOLUCION</v>
          </cell>
          <cell r="O2250">
            <v>1661</v>
          </cell>
          <cell r="P2250">
            <v>43195</v>
          </cell>
          <cell r="Q2250" t="str">
            <v>AYUDA TEMPORAL A LAS FAMILIAS DE VARIAS LOCALIDADES, PARA LA RELOCALIZACIÓN DE HOGARES LOCALIZADOS EN ZONAS DE ALTO RIESGO NO MITIGABLE ID:2015-W166-500, LOCALIDAD:03 SANTA FE, UPZ:96 LOURDES, SECTOR:UITOTO</v>
          </cell>
          <cell r="R2250">
            <v>5311566</v>
          </cell>
          <cell r="S2250">
            <v>0</v>
          </cell>
          <cell r="T2250">
            <v>0</v>
          </cell>
          <cell r="U2250">
            <v>5311566</v>
          </cell>
          <cell r="V2250">
            <v>2950870</v>
          </cell>
        </row>
        <row r="2251">
          <cell r="J2251">
            <v>1711</v>
          </cell>
          <cell r="K2251">
            <v>43195</v>
          </cell>
          <cell r="L2251" t="str">
            <v>ALVARO  GARZON GONZALEZ</v>
          </cell>
          <cell r="M2251">
            <v>31</v>
          </cell>
          <cell r="N2251" t="str">
            <v>RESOLUCION</v>
          </cell>
          <cell r="O2251">
            <v>1660</v>
          </cell>
          <cell r="P2251">
            <v>43195</v>
          </cell>
          <cell r="Q2251" t="str">
            <v>AYUDA TEMPORAL A LAS FAMILIAS DE VARIAS LOCALIDADES, PARA LA RELOCALIZACIÓN DE HOGARES LOCALIZADOS EN ZONAS DE ALTO RIESGO NO MITIGABLE ID:2015-D227-00038, LOCALIDAD:04 SAN CRISTÓBAL, UPZ:51 LOS LIBERTADORES, SECTOR:SANTA TERESITA</v>
          </cell>
          <cell r="R2251">
            <v>2899572</v>
          </cell>
          <cell r="S2251">
            <v>0</v>
          </cell>
          <cell r="T2251">
            <v>0</v>
          </cell>
          <cell r="U2251">
            <v>2899572</v>
          </cell>
          <cell r="V2251">
            <v>2416310</v>
          </cell>
        </row>
        <row r="2252">
          <cell r="J2252">
            <v>1712</v>
          </cell>
          <cell r="K2252">
            <v>43195</v>
          </cell>
          <cell r="L2252" t="str">
            <v>LUZ MERY BERMUDEZ VARGAS</v>
          </cell>
          <cell r="M2252">
            <v>31</v>
          </cell>
          <cell r="N2252" t="str">
            <v>RESOLUCION</v>
          </cell>
          <cell r="O2252">
            <v>1659</v>
          </cell>
          <cell r="P2252">
            <v>43195</v>
          </cell>
          <cell r="Q2252" t="str">
            <v>AYUDA TEMPORAL A LAS FAMILIAS DE VARIAS LOCALIDADES, PARA LA RELOCALIZACIÓN DE HOGARES LOCALIZADOS EN ZONAS DE ALTO RIESGO NO MITIGABLE ID:2015-Q03-03361, LOCALIDAD:19 CIUDAD BOLÍVAR, UPZ:67 LUCERO, SECTOR:LIMAS</v>
          </cell>
          <cell r="R2252">
            <v>3157357</v>
          </cell>
          <cell r="S2252">
            <v>0</v>
          </cell>
          <cell r="T2252">
            <v>0</v>
          </cell>
          <cell r="U2252">
            <v>3157357</v>
          </cell>
          <cell r="V2252">
            <v>2255255</v>
          </cell>
        </row>
        <row r="2253">
          <cell r="J2253">
            <v>1713</v>
          </cell>
          <cell r="K2253">
            <v>43195</v>
          </cell>
          <cell r="L2253" t="str">
            <v>NELSON  GALEANO CORZO</v>
          </cell>
          <cell r="M2253">
            <v>31</v>
          </cell>
          <cell r="N2253" t="str">
            <v>RESOLUCION</v>
          </cell>
          <cell r="O2253">
            <v>1658</v>
          </cell>
          <cell r="P2253">
            <v>43195</v>
          </cell>
          <cell r="Q2253" t="str">
            <v>AYUDA TEMPORAL A LAS FAMILIAS DE VARIAS LOCALIDADES, PARA LA RELOCALIZACIÓN DE HOGARES LOCALIZADOS EN ZONAS DE ALTO RIESGO NO MITIGABLE ID:2013-Q05-00054, LOCALIDAD:19 CIUDAD BOLÍVAR, UPZ:68 EL TESORO, SECTOR:QUEBRADA GALINDO</v>
          </cell>
          <cell r="R2253">
            <v>2596764</v>
          </cell>
          <cell r="S2253">
            <v>649191</v>
          </cell>
          <cell r="T2253">
            <v>0</v>
          </cell>
          <cell r="U2253">
            <v>1947573</v>
          </cell>
          <cell r="V2253">
            <v>1947573</v>
          </cell>
        </row>
        <row r="2254">
          <cell r="J2254">
            <v>1714</v>
          </cell>
          <cell r="K2254">
            <v>43195</v>
          </cell>
          <cell r="L2254" t="str">
            <v>MARLIN  MOÑA CHIRIPUA</v>
          </cell>
          <cell r="M2254">
            <v>31</v>
          </cell>
          <cell r="N2254" t="str">
            <v>RESOLUCION</v>
          </cell>
          <cell r="O2254">
            <v>1657</v>
          </cell>
          <cell r="P2254">
            <v>43195</v>
          </cell>
          <cell r="Q2254" t="str">
            <v>AYUDA TEMPORAL A LAS FAMILIAS DE VARIAS LOCALIDADES, PARA LA RELOCALIZACIÓN DE HOGARES LOCALIZADOS EN ZONAS DE ALTO RIESGO NO MITIGABLE ID:2015-W166-519, LOCALIDAD:19 CIUDAD BOLÍVAR, UPZ:67 LUCERO, SECTOR:WOUNAAN</v>
          </cell>
          <cell r="R2254">
            <v>6030557</v>
          </cell>
          <cell r="S2254">
            <v>0</v>
          </cell>
          <cell r="T2254">
            <v>0</v>
          </cell>
          <cell r="U2254">
            <v>6030557</v>
          </cell>
          <cell r="V2254">
            <v>2319445</v>
          </cell>
        </row>
        <row r="2255">
          <cell r="J2255">
            <v>1715</v>
          </cell>
          <cell r="K2255">
            <v>43195</v>
          </cell>
          <cell r="L2255" t="str">
            <v>VICTOR  CARPIO CONQUISTA</v>
          </cell>
          <cell r="M2255">
            <v>31</v>
          </cell>
          <cell r="N2255" t="str">
            <v>RESOLUCION</v>
          </cell>
          <cell r="O2255">
            <v>1656</v>
          </cell>
          <cell r="P2255">
            <v>43195</v>
          </cell>
          <cell r="Q2255" t="str">
            <v>AYUDA TEMPORAL A LAS FAMILIAS DE VARIAS LOCALIDADES, PARA LA RELOCALIZACIÓN DE HOGARES LOCALIZADOS EN ZONAS DE ALTO RIESGO NO MITIGABLE ID:2014-W166-030, LOCALIDAD:19 CIUDAD BOLÍVAR, UPZ:67 LUCERO, SECTOR:WOUNAAN</v>
          </cell>
          <cell r="R2255">
            <v>5532880</v>
          </cell>
          <cell r="S2255">
            <v>0</v>
          </cell>
          <cell r="T2255">
            <v>0</v>
          </cell>
          <cell r="U2255">
            <v>5532880</v>
          </cell>
          <cell r="V2255">
            <v>2766440</v>
          </cell>
        </row>
        <row r="2256">
          <cell r="J2256">
            <v>1716</v>
          </cell>
          <cell r="K2256">
            <v>43195</v>
          </cell>
          <cell r="L2256" t="str">
            <v>INGRI  CARPIO CHAMAPURO</v>
          </cell>
          <cell r="M2256">
            <v>31</v>
          </cell>
          <cell r="N2256" t="str">
            <v>RESOLUCION</v>
          </cell>
          <cell r="O2256">
            <v>1655</v>
          </cell>
          <cell r="P2256">
            <v>43195</v>
          </cell>
          <cell r="Q2256" t="str">
            <v>AYUDA TEMPORAL A LAS FAMILIAS DE VARIAS LOCALIDADES, PARA LA RELOCALIZACIÓN DE HOGARES LOCALIZADOS EN ZONAS DE ALTO RIESGO NO MITIGABLE ID:2015-W166-442, LOCALIDAD:19 CIUDAD BOLÍVAR, UPZ:67 LUCERO, SECTOR:WOUNAAN</v>
          </cell>
          <cell r="R2256">
            <v>4117167</v>
          </cell>
          <cell r="S2256">
            <v>0</v>
          </cell>
          <cell r="T2256">
            <v>0</v>
          </cell>
          <cell r="U2256">
            <v>4117167</v>
          </cell>
          <cell r="V2256">
            <v>2287315</v>
          </cell>
        </row>
        <row r="2257">
          <cell r="J2257">
            <v>1718</v>
          </cell>
          <cell r="K2257">
            <v>43195</v>
          </cell>
          <cell r="L2257" t="str">
            <v>CARMEN NANCY RINCON DE BORDA</v>
          </cell>
          <cell r="M2257">
            <v>31</v>
          </cell>
          <cell r="N2257" t="str">
            <v>RESOLUCION</v>
          </cell>
          <cell r="O2257">
            <v>1690</v>
          </cell>
          <cell r="P2257">
            <v>43195</v>
          </cell>
          <cell r="Q2257" t="str">
            <v>VUR de la actual vigencia.Dto 255 de 2013. LOCALIDAD:CIUDAD BOLIVAR; BARRIO:SAUCES HORTALIZAS (HORTALIZAS); ID:2012-19-14175</v>
          </cell>
          <cell r="R2257">
            <v>39062100</v>
          </cell>
          <cell r="S2257">
            <v>0</v>
          </cell>
          <cell r="T2257">
            <v>0</v>
          </cell>
          <cell r="U2257">
            <v>39062100</v>
          </cell>
          <cell r="V2257">
            <v>0</v>
          </cell>
        </row>
        <row r="2258">
          <cell r="J2258">
            <v>1719</v>
          </cell>
          <cell r="K2258">
            <v>43195</v>
          </cell>
          <cell r="L2258" t="str">
            <v>ILEUDINE  DURA CHIRIPUA</v>
          </cell>
          <cell r="M2258">
            <v>31</v>
          </cell>
          <cell r="N2258" t="str">
            <v>RESOLUCION</v>
          </cell>
          <cell r="O2258">
            <v>1750</v>
          </cell>
          <cell r="P2258">
            <v>43195</v>
          </cell>
          <cell r="Q2258" t="str">
            <v>AYUDA TEMPORAL A LAS FAMILIAS DE VARIAS LOCALIDADES, PARA LA RELOCALIZACIÓN DE HOGARES LOCALIZADOS EN ZONAS DE ALTO RIESGO NO MITIGABLE ID:2015-W166-208, LOCALIDAD:04 SAN CRISTÓBAL, UPZ:33 SOSIEGO, SECTOR:EPERARA</v>
          </cell>
          <cell r="R2258">
            <v>3983670</v>
          </cell>
          <cell r="S2258">
            <v>0</v>
          </cell>
          <cell r="T2258">
            <v>0</v>
          </cell>
          <cell r="U2258">
            <v>3983670</v>
          </cell>
          <cell r="V2258">
            <v>2213150</v>
          </cell>
        </row>
        <row r="2259">
          <cell r="J2259">
            <v>1721</v>
          </cell>
          <cell r="K2259">
            <v>43195</v>
          </cell>
          <cell r="L2259" t="str">
            <v>FERNELY  ISMARE PUCHICAMA</v>
          </cell>
          <cell r="M2259">
            <v>31</v>
          </cell>
          <cell r="N2259" t="str">
            <v>RESOLUCION</v>
          </cell>
          <cell r="O2259">
            <v>1751</v>
          </cell>
          <cell r="P2259">
            <v>43195</v>
          </cell>
          <cell r="Q2259" t="str">
            <v>AYUDA TEMPORAL A LAS FAMILIAS DE VARIAS LOCALIDADES, PARA LA RELOCALIZACIÓN DE HOGARES LOCALIZADOS EN ZONAS DE ALTO RIESGO NO MITIGABLE ID:2014-W166-098, LOCALIDAD:19 CIUDAD BOLÍVAR, UPZ:67 LUCERO, SECTOR:WOUNAAN</v>
          </cell>
          <cell r="R2259">
            <v>3515589</v>
          </cell>
          <cell r="S2259">
            <v>0</v>
          </cell>
          <cell r="T2259">
            <v>0</v>
          </cell>
          <cell r="U2259">
            <v>3515589</v>
          </cell>
          <cell r="V2259">
            <v>1953105</v>
          </cell>
        </row>
        <row r="2260">
          <cell r="J2260">
            <v>1722</v>
          </cell>
          <cell r="K2260">
            <v>43195</v>
          </cell>
          <cell r="L2260" t="str">
            <v>ARELIS  CLOFE GAMBOA</v>
          </cell>
          <cell r="M2260">
            <v>31</v>
          </cell>
          <cell r="N2260" t="str">
            <v>RESOLUCION</v>
          </cell>
          <cell r="O2260">
            <v>1752</v>
          </cell>
          <cell r="P2260">
            <v>43195</v>
          </cell>
          <cell r="Q2260" t="str">
            <v>AYUDA TEMPORAL A LAS FAMILIAS DE VARIAS LOCALIDADES, PARA LA RELOCALIZACIÓN DE HOGARES LOCALIZADOS EN ZONAS DE ALTO RIESGO NO MITIGABLE ID:2013-Q18-00395, LOCALIDAD:19 CIUDAD BOLÍVAR, UPZ:69 ISMAEL PERDOMO, SECTOR:ZANJÓN MURALLA</v>
          </cell>
          <cell r="R2260">
            <v>1335924</v>
          </cell>
          <cell r="S2260">
            <v>445308</v>
          </cell>
          <cell r="T2260">
            <v>0</v>
          </cell>
          <cell r="U2260">
            <v>890616</v>
          </cell>
          <cell r="V2260">
            <v>890616</v>
          </cell>
        </row>
        <row r="2261">
          <cell r="J2261">
            <v>1726</v>
          </cell>
          <cell r="K2261">
            <v>43195</v>
          </cell>
          <cell r="L2261" t="str">
            <v>ALONSO  CONQUISTA CARPIO</v>
          </cell>
          <cell r="M2261">
            <v>31</v>
          </cell>
          <cell r="N2261" t="str">
            <v>RESOLUCION</v>
          </cell>
          <cell r="O2261">
            <v>1654</v>
          </cell>
          <cell r="P2261">
            <v>43195</v>
          </cell>
          <cell r="Q2261" t="str">
            <v>AYUDA TEMPORAL A LAS FAMILIAS DE VARIAS LOCALIDADES, PARA RELOCALIZACIÓN DE HOGARES LOCALIZADOS EN ZONAS DE ALTO RIESGO NO MITIGABLE ID:2014-W166-049, LOCALIDAD:19 CIUDAD BOLÍVAR, UPZ:68 EL TESORO, SECTOR:WOUNAAN</v>
          </cell>
          <cell r="R2261">
            <v>3873016</v>
          </cell>
          <cell r="S2261">
            <v>0</v>
          </cell>
          <cell r="T2261">
            <v>0</v>
          </cell>
          <cell r="U2261">
            <v>3873016</v>
          </cell>
          <cell r="V2261">
            <v>2766440</v>
          </cell>
        </row>
        <row r="2262">
          <cell r="J2262">
            <v>1727</v>
          </cell>
          <cell r="K2262">
            <v>43195</v>
          </cell>
          <cell r="L2262" t="str">
            <v>DILFIO  MERCAZA ISMARE</v>
          </cell>
          <cell r="M2262">
            <v>31</v>
          </cell>
          <cell r="N2262" t="str">
            <v>RESOLUCION</v>
          </cell>
          <cell r="O2262">
            <v>1653</v>
          </cell>
          <cell r="P2262">
            <v>43195</v>
          </cell>
          <cell r="Q2262" t="str">
            <v>AYUDA TEMPORAL A LAS FAMILIAS DE VARIAS LOCALIDADES, PARA LA RELOCALIZACIÓN DE HOGARES LOCALIZADOS EN ZONAS DE ALTO RIESGO NO MITIGABLE ID:2014-W166-024, LOCALIDAD:19 CIUDAD BOLÍVAR, UPZ:68 EL TESORO, SECTOR:WOUNAAN</v>
          </cell>
          <cell r="R2262">
            <v>3659040</v>
          </cell>
          <cell r="S2262">
            <v>0</v>
          </cell>
          <cell r="T2262">
            <v>0</v>
          </cell>
          <cell r="U2262">
            <v>3659040</v>
          </cell>
          <cell r="V2262">
            <v>2032800</v>
          </cell>
        </row>
        <row r="2263">
          <cell r="J2263">
            <v>1728</v>
          </cell>
          <cell r="K2263">
            <v>43195</v>
          </cell>
          <cell r="L2263" t="str">
            <v>JOSE BELANIO QUIRO PIRAZA</v>
          </cell>
          <cell r="M2263">
            <v>31</v>
          </cell>
          <cell r="N2263" t="str">
            <v>RESOLUCION</v>
          </cell>
          <cell r="O2263">
            <v>1652</v>
          </cell>
          <cell r="P2263">
            <v>43195</v>
          </cell>
          <cell r="Q2263" t="str">
            <v>AYUDA TEMPORAL A LAS FAMILIAS DE VARIAS LOCALIDADES, PARA LA RELOCALIZACIÓN DE HOGARES LOCALIZADOS EN ZONAS DE ALTO RIESGO NO MITIGABLE ID:2014-W166-072, LOCALIDAD:19 CIUDAD BOLÍVAR, UPZ:68 EL TESORO, SECTOR:WOUNAAN</v>
          </cell>
          <cell r="R2263">
            <v>7921797</v>
          </cell>
          <cell r="S2263">
            <v>0</v>
          </cell>
          <cell r="T2263">
            <v>0</v>
          </cell>
          <cell r="U2263">
            <v>7921797</v>
          </cell>
          <cell r="V2263">
            <v>3046845</v>
          </cell>
        </row>
        <row r="2264">
          <cell r="J2264">
            <v>1729</v>
          </cell>
          <cell r="K2264">
            <v>43195</v>
          </cell>
          <cell r="L2264" t="str">
            <v>NOEL  ZAMUDIO BOHORQUEZ</v>
          </cell>
          <cell r="M2264">
            <v>31</v>
          </cell>
          <cell r="N2264" t="str">
            <v>RESOLUCION</v>
          </cell>
          <cell r="O2264">
            <v>1651</v>
          </cell>
          <cell r="P2264">
            <v>43195</v>
          </cell>
          <cell r="Q2264" t="str">
            <v>AYUDA TEMPORAL A LAS FAMILIAS DE VARIAS LOCALIDADES, PARA LA RELOCALIZACIÓN DE HOGARES LOCALIZADOS EN ZONAS DE ALTO RIESGO NO MITIGABLE ID:2009-4-10956, LOCALIDAD:04 SAN CRISTÓBAL, UPZ:32 SAN BLAS</v>
          </cell>
          <cell r="R2264">
            <v>5178771</v>
          </cell>
          <cell r="S2264">
            <v>0</v>
          </cell>
          <cell r="T2264">
            <v>0</v>
          </cell>
          <cell r="U2264">
            <v>5178771</v>
          </cell>
          <cell r="V2264">
            <v>1991835</v>
          </cell>
        </row>
        <row r="2265">
          <cell r="J2265">
            <v>1730</v>
          </cell>
          <cell r="K2265">
            <v>43195</v>
          </cell>
          <cell r="L2265" t="str">
            <v>NANCY  CHIRIMIA QUIRO</v>
          </cell>
          <cell r="M2265">
            <v>31</v>
          </cell>
          <cell r="N2265" t="str">
            <v>RESOLUCION</v>
          </cell>
          <cell r="O2265">
            <v>1650</v>
          </cell>
          <cell r="P2265">
            <v>43195</v>
          </cell>
          <cell r="Q2265" t="str">
            <v>AYUDA TEMPORAL A LAS FAMILIAS DE VARIAS LOCALIDADES, PARA LA RELOCALIZACIÓN DE HOGARES LOCALIZADOS EN ZONAS DE ALTO RIESGO NO MITIGABLE ID:2015-W166-219, LOCALIDAD:04 SAN CRISTÓBAL, UPZ:33 SOSIEGO, SECTOR:EPERARA</v>
          </cell>
          <cell r="R2265">
            <v>7312422</v>
          </cell>
          <cell r="S2265">
            <v>0</v>
          </cell>
          <cell r="T2265">
            <v>0</v>
          </cell>
          <cell r="U2265">
            <v>7312422</v>
          </cell>
          <cell r="V2265">
            <v>2812470</v>
          </cell>
        </row>
        <row r="2266">
          <cell r="J2266">
            <v>1731</v>
          </cell>
          <cell r="K2266">
            <v>43195</v>
          </cell>
          <cell r="L2266" t="str">
            <v>MARTHA  JIMENEZ PRECIADO</v>
          </cell>
          <cell r="M2266">
            <v>31</v>
          </cell>
          <cell r="N2266" t="str">
            <v>RESOLUCION</v>
          </cell>
          <cell r="O2266">
            <v>1646</v>
          </cell>
          <cell r="P2266">
            <v>43195</v>
          </cell>
          <cell r="Q2266" t="str">
            <v>AYUDA TEMPORAL A LAS FAMILIAS DE VARIAS LOCALIDADES, PARA LA RELOCALIZACIÓN DE HOGARES LOCALIZADOS EN ZONAS DE ALTO RIESGO NO MITIGABLE ID:2013-Q04-00530, LOCALIDAD:19 CIUDAD BOLÍVAR, UPZ:67 LUCERO, SECTOR:PEÑA COLORADA</v>
          </cell>
          <cell r="R2266">
            <v>4218705</v>
          </cell>
          <cell r="S2266">
            <v>0</v>
          </cell>
          <cell r="T2266">
            <v>0</v>
          </cell>
          <cell r="U2266">
            <v>4218705</v>
          </cell>
          <cell r="V2266">
            <v>2343725</v>
          </cell>
        </row>
        <row r="2267">
          <cell r="J2267">
            <v>1732</v>
          </cell>
          <cell r="K2267">
            <v>43195</v>
          </cell>
          <cell r="L2267" t="str">
            <v>BERNABE  CARRILLO FORERO</v>
          </cell>
          <cell r="M2267">
            <v>31</v>
          </cell>
          <cell r="N2267" t="str">
            <v>RESOLUCION</v>
          </cell>
          <cell r="O2267">
            <v>1645</v>
          </cell>
          <cell r="P2267">
            <v>43195</v>
          </cell>
          <cell r="Q2267" t="str">
            <v>AYUDA TEMPORAL A LAS FAMILIAS DE VARIAS LOCALIDADES, PARA LA RELOCALIZACIÓN DE HOGARES LOCALIZADOS EN ZONAS DE ALTO RIESGO NO MITIGABLE ID:2012-19-13900, LOCALIDAD:19 CIUDAD BOLÍVAR, UPZ:67 LUCERO</v>
          </cell>
          <cell r="R2267">
            <v>4218710</v>
          </cell>
          <cell r="S2267">
            <v>0</v>
          </cell>
          <cell r="T2267">
            <v>0</v>
          </cell>
          <cell r="U2267">
            <v>4218710</v>
          </cell>
          <cell r="V2267">
            <v>2109355</v>
          </cell>
        </row>
        <row r="2268">
          <cell r="J2268">
            <v>1733</v>
          </cell>
          <cell r="K2268">
            <v>43195</v>
          </cell>
          <cell r="L2268" t="str">
            <v>MISTRICO  CARPIO CHIRIPUA</v>
          </cell>
          <cell r="M2268">
            <v>31</v>
          </cell>
          <cell r="N2268" t="str">
            <v>RESOLUCION</v>
          </cell>
          <cell r="O2268">
            <v>1749</v>
          </cell>
          <cell r="P2268">
            <v>43195</v>
          </cell>
          <cell r="Q2268" t="str">
            <v>AYUDA TEMPORAL A LAS FAMILIAS DE VARIAS LOCALIDADES, PARA LA RELOCALIZACIÓN DE HOGARES LOCALIZADOS EN ZONAS DE ALTO RIESGO NO MITIGABLE ID:2014-W166-080, LOCALIDAD:19 CIUDAD BOLÍVAR, UPZ:68 EL TESORO, SECTOR:WOUNAAN</v>
          </cell>
          <cell r="R2268">
            <v>5901740</v>
          </cell>
          <cell r="S2268">
            <v>0</v>
          </cell>
          <cell r="T2268">
            <v>0</v>
          </cell>
          <cell r="U2268">
            <v>5901740</v>
          </cell>
          <cell r="V2268">
            <v>2950870</v>
          </cell>
        </row>
        <row r="2269">
          <cell r="J2269">
            <v>1734</v>
          </cell>
          <cell r="K2269">
            <v>43195</v>
          </cell>
          <cell r="L2269" t="str">
            <v>MARIA ANGELICA MARTTINEZ JIMENEZ</v>
          </cell>
          <cell r="M2269">
            <v>31</v>
          </cell>
          <cell r="N2269" t="str">
            <v>RESOLUCION</v>
          </cell>
          <cell r="O2269">
            <v>1753</v>
          </cell>
          <cell r="P2269">
            <v>43195</v>
          </cell>
          <cell r="Q2269" t="str">
            <v>AYUDA TEMPORAL A LAS FAMILIAS DE VARIAS LOCALIDADES, PARA LA RELOCALIZACIÓN DE HOGARES LOCALIZADOS EN ZONAS DE ALTO RIESGO NO MITIGABLE ID:2015-Q04-01467, LOCALIDAD:19 CIUDAD BOLÍVAR, UPZ:67 LUCERO, SECTOR:PEÑA COLORADA</v>
          </cell>
          <cell r="R2269">
            <v>4570263</v>
          </cell>
          <cell r="S2269">
            <v>4570263</v>
          </cell>
          <cell r="T2269">
            <v>0</v>
          </cell>
          <cell r="U2269">
            <v>0</v>
          </cell>
          <cell r="V2269">
            <v>0</v>
          </cell>
        </row>
        <row r="2270">
          <cell r="J2270">
            <v>1735</v>
          </cell>
          <cell r="K2270">
            <v>43195</v>
          </cell>
          <cell r="L2270" t="str">
            <v>CAROLAING  JOYA CUELLAR</v>
          </cell>
          <cell r="M2270">
            <v>31</v>
          </cell>
          <cell r="N2270" t="str">
            <v>RESOLUCION</v>
          </cell>
          <cell r="O2270">
            <v>1748</v>
          </cell>
          <cell r="P2270">
            <v>43195</v>
          </cell>
          <cell r="Q2270" t="str">
            <v>Asignacion del instrumento financiero a las familias ocupantes del predio que hayan superado la fase de verificacion dentro  del marco del Decreto 457 de 2017. LOCALIDAD: KENNEDY; BARRIO: VEREDITAS; ID: 2018-8-15223</v>
          </cell>
          <cell r="R2270">
            <v>54686940</v>
          </cell>
          <cell r="S2270">
            <v>54686940</v>
          </cell>
          <cell r="T2270">
            <v>0</v>
          </cell>
          <cell r="U2270">
            <v>0</v>
          </cell>
          <cell r="V2270">
            <v>0</v>
          </cell>
        </row>
        <row r="2271">
          <cell r="J2271">
            <v>1736</v>
          </cell>
          <cell r="K2271">
            <v>43196</v>
          </cell>
          <cell r="L2271" t="str">
            <v>CAROLAING  JOYA CUELLAR</v>
          </cell>
          <cell r="M2271">
            <v>31</v>
          </cell>
          <cell r="N2271" t="str">
            <v>RESOLUCION</v>
          </cell>
          <cell r="O2271">
            <v>1748</v>
          </cell>
          <cell r="P2271">
            <v>43196</v>
          </cell>
          <cell r="Q2271" t="str">
            <v>Asignacion del instrumento financiero a las familias ocupantes del predio que hayan superado la fase de verificacion dentro  del marco del Decreto 457 de 2017. LOCALIDAD: KENNEDY; BARRIO: VEREDITAS; ID: 2018-8-15223</v>
          </cell>
          <cell r="R2271">
            <v>54686940</v>
          </cell>
          <cell r="S2271">
            <v>54686940</v>
          </cell>
          <cell r="T2271">
            <v>0</v>
          </cell>
          <cell r="U2271">
            <v>0</v>
          </cell>
          <cell r="V2271">
            <v>0</v>
          </cell>
        </row>
        <row r="2272">
          <cell r="J2272">
            <v>1737</v>
          </cell>
          <cell r="K2272">
            <v>43196</v>
          </cell>
          <cell r="L2272" t="str">
            <v>CAROLAING  JOYA CUELLAR</v>
          </cell>
          <cell r="M2272">
            <v>31</v>
          </cell>
          <cell r="N2272" t="str">
            <v>RESOLUCION</v>
          </cell>
          <cell r="O2272">
            <v>1748</v>
          </cell>
          <cell r="P2272">
            <v>43196</v>
          </cell>
          <cell r="Q2272" t="str">
            <v>Asignacion del instrumento financiero a las familias ocupantes del predio que hayan superado la fase de verificacion dentro  del marco del Decreto 457 de 2017. LOCALIDAD: KENNEDY; BARRIO: VEREDITAS; ID: 2018-8-15223</v>
          </cell>
          <cell r="R2272">
            <v>54686940</v>
          </cell>
          <cell r="S2272">
            <v>0</v>
          </cell>
          <cell r="T2272">
            <v>0</v>
          </cell>
          <cell r="U2272">
            <v>54686940</v>
          </cell>
          <cell r="V2272">
            <v>54686940</v>
          </cell>
        </row>
        <row r="2273">
          <cell r="J2273">
            <v>1740</v>
          </cell>
          <cell r="K2273">
            <v>43199</v>
          </cell>
          <cell r="L2273" t="str">
            <v>MARIA ONAIDA CONDE AROCA</v>
          </cell>
          <cell r="M2273">
            <v>31</v>
          </cell>
          <cell r="N2273" t="str">
            <v>RESOLUCION</v>
          </cell>
          <cell r="O2273">
            <v>1766</v>
          </cell>
          <cell r="P2273">
            <v>43199</v>
          </cell>
          <cell r="Q2273" t="str">
            <v>AYUDA TEMPORAL A LAS FAMILIAS DE VARIAS LOCALIDADES, PARA LA RELOCALIZACIÓN DE HOGARES LOCALIZADOS EN ZONAS DE ALTO RIESGO NO MITIGABLE ID:2011-5-12997, LOCALIDAD:05 USME, UPZ:56 DANUBIO</v>
          </cell>
          <cell r="R2273">
            <v>4177680</v>
          </cell>
          <cell r="S2273">
            <v>0</v>
          </cell>
          <cell r="T2273">
            <v>0</v>
          </cell>
          <cell r="U2273">
            <v>4177680</v>
          </cell>
          <cell r="V2273">
            <v>2088840</v>
          </cell>
        </row>
        <row r="2274">
          <cell r="J2274">
            <v>1741</v>
          </cell>
          <cell r="K2274">
            <v>43199</v>
          </cell>
          <cell r="L2274" t="str">
            <v>LUIS FERNANDO GOMEZ ALARCON</v>
          </cell>
          <cell r="M2274">
            <v>31</v>
          </cell>
          <cell r="N2274" t="str">
            <v>RESOLUCION</v>
          </cell>
          <cell r="O2274">
            <v>1767</v>
          </cell>
          <cell r="P2274">
            <v>43199</v>
          </cell>
          <cell r="Q2274" t="str">
            <v>AYUDA TEMPORAL A LAS FAMILIAS DE VARIAS LOCALIDADES, PARA LA RELOCALIZACIÓN DE HOGARES LOCALIZADOS EN ZONAS DE ALTO RIESGO NO MITIGABLE ID:2014-OTR-00971, LOCALIDAD:19 CIUDAD BOLÍVAR, UPZ:67 LUCERO, SECTOR:TABOR ALTALOMA</v>
          </cell>
          <cell r="R2274">
            <v>4310000</v>
          </cell>
          <cell r="S2274">
            <v>0</v>
          </cell>
          <cell r="T2274">
            <v>0</v>
          </cell>
          <cell r="U2274">
            <v>4310000</v>
          </cell>
          <cell r="V2274">
            <v>2155000</v>
          </cell>
        </row>
        <row r="2275">
          <cell r="J2275">
            <v>1742</v>
          </cell>
          <cell r="K2275">
            <v>43199</v>
          </cell>
          <cell r="L2275" t="str">
            <v>NELLY EDUVIGES PEÑA MOSQUERA</v>
          </cell>
          <cell r="M2275">
            <v>31</v>
          </cell>
          <cell r="N2275" t="str">
            <v>RESOLUCION</v>
          </cell>
          <cell r="O2275">
            <v>1768</v>
          </cell>
          <cell r="P2275">
            <v>43199</v>
          </cell>
          <cell r="Q2275" t="str">
            <v>AYUDA TEMPORAL A LAS FAMILIAS DE VARIAS LOCALIDADES, PARA LA RELOCALIZACIÓN DE HOGARES LOCALIZADOS EN ZONAS DE ALTO RIESGO NO MITIGABLE ID:2013-Q21-00613, LOCALIDAD:19 CIUDAD BOLÍVAR, UPZ:67 LUCERO, SECTOR:BRAZO DERECHO DE LIMAS</v>
          </cell>
          <cell r="R2275">
            <v>4843700</v>
          </cell>
          <cell r="S2275">
            <v>0</v>
          </cell>
          <cell r="T2275">
            <v>0</v>
          </cell>
          <cell r="U2275">
            <v>4843700</v>
          </cell>
          <cell r="V2275">
            <v>1453110</v>
          </cell>
        </row>
        <row r="2276">
          <cell r="J2276">
            <v>1743</v>
          </cell>
          <cell r="K2276">
            <v>43199</v>
          </cell>
          <cell r="L2276" t="str">
            <v>MIRYAM AMPARO SALINAS ARAGON</v>
          </cell>
          <cell r="M2276">
            <v>31</v>
          </cell>
          <cell r="N2276" t="str">
            <v>RESOLUCION</v>
          </cell>
          <cell r="O2276">
            <v>1769</v>
          </cell>
          <cell r="P2276">
            <v>43199</v>
          </cell>
          <cell r="Q2276" t="str">
            <v>AYUDA TEMPORAL A LAS FAMILIAS DE VARIAS LOCALIDADES, PARA LA RELOCALIZACIÓN DE HOGARES LOCALIZADOS EN ZONAS DE ALTO RIESGO NO MITIGABLE ID:2009-4-11058, LOCALIDAD:04 SAN CRISTÓBAL, UPZ:32 SAN BLAS</v>
          </cell>
          <cell r="R2276">
            <v>4317610</v>
          </cell>
          <cell r="S2276">
            <v>0</v>
          </cell>
          <cell r="T2276">
            <v>0</v>
          </cell>
          <cell r="U2276">
            <v>4317610</v>
          </cell>
          <cell r="V2276">
            <v>2590566</v>
          </cell>
        </row>
        <row r="2277">
          <cell r="J2277">
            <v>1744</v>
          </cell>
          <cell r="K2277">
            <v>43199</v>
          </cell>
          <cell r="L2277" t="str">
            <v>JARINSON  ORTIZ QUIRO</v>
          </cell>
          <cell r="M2277">
            <v>31</v>
          </cell>
          <cell r="N2277" t="str">
            <v>RESOLUCION</v>
          </cell>
          <cell r="O2277">
            <v>1770</v>
          </cell>
          <cell r="P2277">
            <v>43199</v>
          </cell>
          <cell r="Q2277" t="str">
            <v>AYUDA TEMPORAL A LAS FAMILIAS DE VARIAS LOCALIDADES, PARA LA RELOCALIZACIÓN DE HOGARES LOCALIZADOS EN ZONAS DE ALTO RIESGO NO MITIGABLE ID:2014-W166-066, LOCALIDAD:19 CIUDAD BOLÍVAR, UPZ:68 EL TESORO, SECTOR:WOUNAAN</v>
          </cell>
          <cell r="R2277">
            <v>5476900</v>
          </cell>
          <cell r="S2277">
            <v>0</v>
          </cell>
          <cell r="T2277">
            <v>0</v>
          </cell>
          <cell r="U2277">
            <v>5476900</v>
          </cell>
          <cell r="V2277">
            <v>2738450</v>
          </cell>
        </row>
        <row r="2278">
          <cell r="J2278">
            <v>1745</v>
          </cell>
          <cell r="K2278">
            <v>43199</v>
          </cell>
          <cell r="L2278" t="str">
            <v>MARIA ALEJANDRA SANCHEZ MENESES</v>
          </cell>
          <cell r="M2278">
            <v>31</v>
          </cell>
          <cell r="N2278" t="str">
            <v>RESOLUCION</v>
          </cell>
          <cell r="O2278">
            <v>1743</v>
          </cell>
          <cell r="P2278">
            <v>43199</v>
          </cell>
          <cell r="Q2278" t="str">
            <v>AYUDA TEMPORAL A LAS FAMILIAS DE VARIAS LOCALIDADES, PARA RELOCALIZACIÓN DE HOGARES LOCALIZADOS EN ZONAS DE ALTO RIESGO NO MITIGABLE ID:2014-OTR-01167, LOCALIDAD:11 SUBA, UPZ:71 TIBABUYES, SECTOR:GAVILANES</v>
          </cell>
          <cell r="R2278">
            <v>3017000</v>
          </cell>
          <cell r="S2278">
            <v>431000</v>
          </cell>
          <cell r="T2278">
            <v>0</v>
          </cell>
          <cell r="U2278">
            <v>2586000</v>
          </cell>
          <cell r="V2278">
            <v>2586000</v>
          </cell>
        </row>
        <row r="2279">
          <cell r="J2279">
            <v>1746</v>
          </cell>
          <cell r="K2279">
            <v>43199</v>
          </cell>
          <cell r="L2279" t="str">
            <v>IMELDA  PERTIAGA GONZALEZ</v>
          </cell>
          <cell r="M2279">
            <v>31</v>
          </cell>
          <cell r="N2279" t="str">
            <v>RESOLUCION</v>
          </cell>
          <cell r="O2279">
            <v>1759</v>
          </cell>
          <cell r="P2279">
            <v>43199</v>
          </cell>
          <cell r="Q2279" t="str">
            <v>AYUDA TEMPORAL A LAS FAMILIAS DE VARIAS LOCALIDADES, PARA LA RELOCALIZACIÓN DE HOGARES LOCALIZADOS EN ZONAS DE ALTO RIESGO NO MITIGABLE ID:2015-W166-218, LOCALIDAD:04 SAN CRISTÓBAL, UPZ:33 SOSIEGO, SECTOR:EPERARA</v>
          </cell>
          <cell r="R2279">
            <v>5923863</v>
          </cell>
          <cell r="S2279">
            <v>0</v>
          </cell>
          <cell r="T2279">
            <v>0</v>
          </cell>
          <cell r="U2279">
            <v>5923863</v>
          </cell>
          <cell r="V2279">
            <v>2692665</v>
          </cell>
        </row>
        <row r="2280">
          <cell r="J2280">
            <v>1747</v>
          </cell>
          <cell r="K2280">
            <v>43199</v>
          </cell>
          <cell r="L2280" t="str">
            <v>GERMAN  RUBIO MORENO</v>
          </cell>
          <cell r="M2280">
            <v>31</v>
          </cell>
          <cell r="N2280" t="str">
            <v>RESOLUCION</v>
          </cell>
          <cell r="O2280">
            <v>1762</v>
          </cell>
          <cell r="P2280">
            <v>43199</v>
          </cell>
          <cell r="Q2280" t="str">
            <v>AYUDA TEMPORAL A LAS FAMILIAS DE VARIAS LOCALIDADES, PARA LA RELOCALIZACIÓN DE HOGARES LOCALIZADOS EN ZONAS DE ALTO RIESGO NO MITIGABLE ID:2011-19-13761, LOCALIDAD:19 CIUDAD BOLÍVAR, UPZ:67 LUCERO</v>
          </cell>
          <cell r="R2280">
            <v>1171863</v>
          </cell>
          <cell r="S2280">
            <v>1171863</v>
          </cell>
          <cell r="T2280">
            <v>0</v>
          </cell>
          <cell r="U2280">
            <v>0</v>
          </cell>
          <cell r="V2280">
            <v>0</v>
          </cell>
        </row>
        <row r="2281">
          <cell r="J2281">
            <v>1748</v>
          </cell>
          <cell r="K2281">
            <v>43199</v>
          </cell>
          <cell r="L2281" t="str">
            <v>TEODORO  LEON CASTRO</v>
          </cell>
          <cell r="M2281">
            <v>31</v>
          </cell>
          <cell r="N2281" t="str">
            <v>RESOLUCION</v>
          </cell>
          <cell r="O2281">
            <v>1760</v>
          </cell>
          <cell r="P2281">
            <v>43199</v>
          </cell>
          <cell r="Q2281" t="str">
            <v>AYUDA TEMPORAL A LAS FAMILIAS DE VARIAS LOCALIDADES, PARA LA RELOCALIZACIÓN DE HOGARES LOCALIZADOS EN ZONAS DE ALTO RIESGO NO MITIGABLE ID:2016-4-00009, LOCALIDAD:04 SAN CRISTÓBAL, UPZ:51 LOS LIBERTADORES</v>
          </cell>
          <cell r="R2281">
            <v>4234496</v>
          </cell>
          <cell r="S2281">
            <v>0</v>
          </cell>
          <cell r="T2281">
            <v>0</v>
          </cell>
          <cell r="U2281">
            <v>4234496</v>
          </cell>
          <cell r="V2281">
            <v>3024640</v>
          </cell>
        </row>
        <row r="2282">
          <cell r="J2282">
            <v>1749</v>
          </cell>
          <cell r="K2282">
            <v>43199</v>
          </cell>
          <cell r="L2282" t="str">
            <v>HAMILTON  CARPIO MEMBACHE</v>
          </cell>
          <cell r="M2282">
            <v>31</v>
          </cell>
          <cell r="N2282" t="str">
            <v>RESOLUCION</v>
          </cell>
          <cell r="O2282">
            <v>1763</v>
          </cell>
          <cell r="P2282">
            <v>43199</v>
          </cell>
          <cell r="Q2282" t="str">
            <v>AYUDA TEMPORAL A LAS FAMILIAS DE VARIAS LOCALIDADES, PARA LA RELOCALIZACIÓN DE HOGARES LOCALIZADOS EN ZONAS DE ALTO RIESGO NO MITIGABLE ID:2014-W166-062, LOCALIDAD:19 CIUDAD BOLÍVAR, UPZ:68 EL TESORO, SECTOR:WOUNAAN</v>
          </cell>
          <cell r="R2282">
            <v>5680420</v>
          </cell>
          <cell r="S2282">
            <v>0</v>
          </cell>
          <cell r="T2282">
            <v>0</v>
          </cell>
          <cell r="U2282">
            <v>5680420</v>
          </cell>
          <cell r="V2282">
            <v>2840210</v>
          </cell>
        </row>
        <row r="2283">
          <cell r="J2283">
            <v>1750</v>
          </cell>
          <cell r="K2283">
            <v>43199</v>
          </cell>
          <cell r="L2283" t="str">
            <v>YERAR  MOYA ORTIZ</v>
          </cell>
          <cell r="M2283">
            <v>31</v>
          </cell>
          <cell r="N2283" t="str">
            <v>RESOLUCION</v>
          </cell>
          <cell r="O2283">
            <v>1764</v>
          </cell>
          <cell r="P2283">
            <v>43199</v>
          </cell>
          <cell r="Q2283" t="str">
            <v>AYUDA TEMPORAL A LAS FAMILIAS DE VARIAS LOCALIDADES, PARA LA RELOCALIZACIÓN DE HOGARES LOCALIZADOS EN ZONAS DE ALTO RIESGO NO MITIGABLE ID:2014-W166-036, LOCALIDAD:19 CIUDAD BOLÍVAR, UPZ:67 LUCERO, SECTOR:WOUNAAN</v>
          </cell>
          <cell r="R2283">
            <v>5532880</v>
          </cell>
          <cell r="S2283">
            <v>0</v>
          </cell>
          <cell r="T2283">
            <v>0</v>
          </cell>
          <cell r="U2283">
            <v>5532880</v>
          </cell>
          <cell r="V2283">
            <v>2766440</v>
          </cell>
        </row>
        <row r="2284">
          <cell r="J2284">
            <v>1751</v>
          </cell>
          <cell r="K2284">
            <v>43199</v>
          </cell>
          <cell r="L2284" t="str">
            <v>JHON FREDY VALENCIA CUERO</v>
          </cell>
          <cell r="M2284">
            <v>31</v>
          </cell>
          <cell r="N2284" t="str">
            <v>RESOLUCION</v>
          </cell>
          <cell r="O2284">
            <v>1765</v>
          </cell>
          <cell r="P2284">
            <v>43199</v>
          </cell>
          <cell r="Q2284" t="str">
            <v>AYUDA TEMPORAL A LAS FAMILIAS DE VARIAS LOCALIDADES, PARA LA RELOCALIZACIÓN DE HOGARES LOCALIZADOS EN ZONAS DE ALTO RIESGO NO MITIGABLE ID:2014-W166-067, LOCALIDAD:19 CIUDAD BOLÍVAR, UPZ:68 EL TESORO, SECTOR:WOUNAAN</v>
          </cell>
          <cell r="R2284">
            <v>5901740</v>
          </cell>
          <cell r="S2284">
            <v>0</v>
          </cell>
          <cell r="T2284">
            <v>0</v>
          </cell>
          <cell r="U2284">
            <v>5901740</v>
          </cell>
          <cell r="V2284">
            <v>2950870</v>
          </cell>
        </row>
        <row r="2285">
          <cell r="J2285">
            <v>1752</v>
          </cell>
          <cell r="K2285">
            <v>43199</v>
          </cell>
          <cell r="L2285" t="str">
            <v>GERMAN  RUBIO MORENO</v>
          </cell>
          <cell r="M2285">
            <v>31</v>
          </cell>
          <cell r="N2285" t="str">
            <v>RESOLUCION</v>
          </cell>
          <cell r="O2285">
            <v>1762</v>
          </cell>
          <cell r="P2285">
            <v>43199</v>
          </cell>
          <cell r="Q2285" t="str">
            <v>AYUDA TEMPORAL A LAS FAMILIAS DE VARIAS LOCALIDADES, PARA LA RELOCALIZACIÓN DE HOGARES LOCALIZADOS EN ZONAS DE ALTO RIESGO NO MITIGABLE ID:2011-19-13761, LOCALIDAD:19 CIUDAD BOLÍVAR, UPZ:67 LUCERO</v>
          </cell>
          <cell r="R2285">
            <v>1171863</v>
          </cell>
          <cell r="S2285">
            <v>390621</v>
          </cell>
          <cell r="T2285">
            <v>0</v>
          </cell>
          <cell r="U2285">
            <v>781242</v>
          </cell>
          <cell r="V2285">
            <v>781242</v>
          </cell>
        </row>
        <row r="2286">
          <cell r="J2286">
            <v>1753</v>
          </cell>
          <cell r="K2286">
            <v>43200</v>
          </cell>
          <cell r="L2286" t="str">
            <v>BLANCA MARY BULLA RODRIGUEZ</v>
          </cell>
          <cell r="M2286">
            <v>31</v>
          </cell>
          <cell r="N2286" t="str">
            <v>RESOLUCION</v>
          </cell>
          <cell r="O2286">
            <v>1761</v>
          </cell>
          <cell r="P2286">
            <v>43200</v>
          </cell>
          <cell r="Q2286" t="str">
            <v>AYUDA TEMPORAL A LAS FAMILIAS DE VARIAS LOCALIDADES, PARA LA RELOCALIZACIÓN DE HOGARES LOCALIZADOS EN ZONAS DE ALTO RIESGO NO MITIGABLE ID:2013000249, LOCALIDAD:19 CIUDAD BOLÍVAR, UPZ:67 LUCERO, SECTOR:PEÑA COLORADA</v>
          </cell>
          <cell r="R2286">
            <v>6639450</v>
          </cell>
          <cell r="S2286">
            <v>0</v>
          </cell>
          <cell r="T2286">
            <v>0</v>
          </cell>
          <cell r="U2286">
            <v>6639450</v>
          </cell>
          <cell r="V2286">
            <v>3319725</v>
          </cell>
        </row>
        <row r="2287">
          <cell r="J2287">
            <v>1757</v>
          </cell>
          <cell r="K2287">
            <v>43201</v>
          </cell>
          <cell r="L2287" t="str">
            <v>CARLOS  CONTRERAS COLMENARES</v>
          </cell>
          <cell r="M2287">
            <v>31</v>
          </cell>
          <cell r="N2287" t="str">
            <v>RESOLUCION</v>
          </cell>
          <cell r="O2287">
            <v>1824</v>
          </cell>
          <cell r="P2287">
            <v>43201</v>
          </cell>
          <cell r="Q2287" t="str">
            <v>AYUDA TEMPORAL A LAS FAMILIAS DE VARIAS LOCALIDADES, PARA LA RELOCALIZACIÓN DE HOGARES LOCALIZADOS EN ZONAS DE ALTO RIESGO NO MITIGABLE ID:2007-19-9715, LOCALIDAD:19 CIUDAD BOLÍVAR, UPZ:69 ISMAEL PERDOMO</v>
          </cell>
          <cell r="R2287">
            <v>4296831</v>
          </cell>
          <cell r="S2287">
            <v>0</v>
          </cell>
          <cell r="T2287">
            <v>0</v>
          </cell>
          <cell r="U2287">
            <v>4296831</v>
          </cell>
          <cell r="V2287">
            <v>2343726</v>
          </cell>
        </row>
        <row r="2288">
          <cell r="J2288">
            <v>1758</v>
          </cell>
          <cell r="K2288">
            <v>43201</v>
          </cell>
          <cell r="L2288" t="str">
            <v>CAROLINA  GUZMAN ROMERO</v>
          </cell>
          <cell r="M2288">
            <v>31</v>
          </cell>
          <cell r="N2288" t="str">
            <v>RESOLUCION</v>
          </cell>
          <cell r="O2288">
            <v>1832</v>
          </cell>
          <cell r="P2288">
            <v>43201</v>
          </cell>
          <cell r="Q2288" t="str">
            <v>AYUDA TEMPORAL A LAS FAMILIAS DE VARIAS LOCALIDADES, PARA LA RELOCALIZACIÓN DE HOGARES LOCALIZADOS EN ZONAS DE ALTO RIESGO NO MITIGABLE ID:2016-08-14921, LOCALIDAD:08 KENNEDY, UPZ:82 PATIO BONITO, SECTOR:PALMITAS</v>
          </cell>
          <cell r="R2288">
            <v>3186936</v>
          </cell>
          <cell r="S2288">
            <v>0</v>
          </cell>
          <cell r="T2288">
            <v>0</v>
          </cell>
          <cell r="U2288">
            <v>3186936</v>
          </cell>
          <cell r="V2288">
            <v>1991835</v>
          </cell>
        </row>
        <row r="2289">
          <cell r="J2289">
            <v>1759</v>
          </cell>
          <cell r="K2289">
            <v>43201</v>
          </cell>
          <cell r="L2289" t="str">
            <v>LUZ GEIDI MONTOYA</v>
          </cell>
          <cell r="M2289">
            <v>31</v>
          </cell>
          <cell r="N2289" t="str">
            <v>RESOLUCION</v>
          </cell>
          <cell r="O2289">
            <v>1833</v>
          </cell>
          <cell r="P2289">
            <v>43201</v>
          </cell>
          <cell r="Q2289" t="str">
            <v>AYUDA TEMPORAL A LAS FAMILIAS DE VARIAS LOCALIDADES, PARA RELOCALIZACIÓN DE HOGARES LOCALIZADOS EN ZONAS DE ALTO RIESGO NO MITIGABLE ID:2013000371, LOCALIDAD:19 CIUDAD BOLÍVAR, UPZ:67 LUCERO, SECTOR:PEÑA COLORADA</v>
          </cell>
          <cell r="R2289">
            <v>5859320</v>
          </cell>
          <cell r="S2289">
            <v>0</v>
          </cell>
          <cell r="T2289">
            <v>0</v>
          </cell>
          <cell r="U2289">
            <v>5859320</v>
          </cell>
          <cell r="V2289">
            <v>2929660</v>
          </cell>
        </row>
        <row r="2290">
          <cell r="J2290">
            <v>1760</v>
          </cell>
          <cell r="K2290">
            <v>43201</v>
          </cell>
          <cell r="L2290" t="str">
            <v>LUIS YEINER PIRAZA GARABATO</v>
          </cell>
          <cell r="M2290">
            <v>31</v>
          </cell>
          <cell r="N2290" t="str">
            <v>RESOLUCION</v>
          </cell>
          <cell r="O2290">
            <v>1834</v>
          </cell>
          <cell r="P2290">
            <v>43201</v>
          </cell>
          <cell r="Q2290" t="str">
            <v>AYUDA TEMPORAL A LAS FAMILIAS DE VARIAS LOCALIDADES, PARA RELOCALIZACIÓN DE HOGARES LOCALIZADOS EN ZONAS DE ALTO RIESGO NO MITIGABLE ID:2015-W166-427, LOCALIDAD:19 CIUDAD BOLÍVAR, UPZ:68 EL TESORO, SECTOR:WOUNAAN</v>
          </cell>
          <cell r="R2290">
            <v>4871376</v>
          </cell>
          <cell r="S2290">
            <v>0</v>
          </cell>
          <cell r="T2290">
            <v>0</v>
          </cell>
          <cell r="U2290">
            <v>4871376</v>
          </cell>
          <cell r="V2290">
            <v>2706320</v>
          </cell>
        </row>
        <row r="2291">
          <cell r="J2291">
            <v>1761</v>
          </cell>
          <cell r="K2291">
            <v>43201</v>
          </cell>
          <cell r="L2291" t="str">
            <v>JOSE PARMENIO LOPEZ</v>
          </cell>
          <cell r="M2291">
            <v>31</v>
          </cell>
          <cell r="N2291" t="str">
            <v>RESOLUCION</v>
          </cell>
          <cell r="O2291">
            <v>1783</v>
          </cell>
          <cell r="P2291">
            <v>43201</v>
          </cell>
          <cell r="Q2291" t="str">
            <v>VUR de la actual vigencia.Dto 255 de 2013. LOCALIDAD:CIUDAD BOLIVAR; BARRIO:EL MOCHUEO IV; ID:2016-19-00024</v>
          </cell>
          <cell r="R2291">
            <v>39062100</v>
          </cell>
          <cell r="S2291">
            <v>0</v>
          </cell>
          <cell r="T2291">
            <v>0</v>
          </cell>
          <cell r="U2291">
            <v>39062100</v>
          </cell>
          <cell r="V2291">
            <v>39062100</v>
          </cell>
        </row>
        <row r="2292">
          <cell r="J2292">
            <v>1762</v>
          </cell>
          <cell r="K2292">
            <v>43201</v>
          </cell>
          <cell r="L2292" t="str">
            <v>JESSICA LIZBETH PUENTES TELLEZ</v>
          </cell>
          <cell r="M2292">
            <v>31</v>
          </cell>
          <cell r="N2292" t="str">
            <v>RESOLUCION</v>
          </cell>
          <cell r="O2292">
            <v>1777</v>
          </cell>
          <cell r="P2292">
            <v>43201</v>
          </cell>
          <cell r="Q2292" t="str">
            <v>Asignacion del instrumento financiero a las familias ocupantes del predio que hayan superado la fase de verificacion dentro  del marco del Decreto 457 de 2017. LOCALIDAD: KENNEDY; BARRIO: VEREDITAS; ID: 2018-8-384313.</v>
          </cell>
          <cell r="R2292">
            <v>54686940</v>
          </cell>
          <cell r="S2292">
            <v>0</v>
          </cell>
          <cell r="T2292">
            <v>0</v>
          </cell>
          <cell r="U2292">
            <v>54686940</v>
          </cell>
          <cell r="V2292">
            <v>54686940</v>
          </cell>
        </row>
        <row r="2293">
          <cell r="J2293">
            <v>1763</v>
          </cell>
          <cell r="K2293">
            <v>43201</v>
          </cell>
          <cell r="L2293" t="str">
            <v>JOSE BASILICO GONZALEZ MURCIA</v>
          </cell>
          <cell r="M2293">
            <v>31</v>
          </cell>
          <cell r="N2293" t="str">
            <v>RESOLUCION</v>
          </cell>
          <cell r="O2293">
            <v>1773</v>
          </cell>
          <cell r="P2293">
            <v>43201</v>
          </cell>
          <cell r="Q2293" t="str">
            <v>Asignacion del instrumento financiero a las familias ocupantes del predio que hayan superado la fase de verificacion dentro  del marco del Decreto 457 de 2017. LOCALIDAD: KENNEDY; BARRIO: VEREDITAS; ID: 2017-8-383763</v>
          </cell>
          <cell r="R2293">
            <v>54686940</v>
          </cell>
          <cell r="S2293">
            <v>0</v>
          </cell>
          <cell r="T2293">
            <v>0</v>
          </cell>
          <cell r="U2293">
            <v>54686940</v>
          </cell>
          <cell r="V2293">
            <v>54686940</v>
          </cell>
        </row>
        <row r="2294">
          <cell r="J2294">
            <v>1764</v>
          </cell>
          <cell r="K2294">
            <v>43201</v>
          </cell>
          <cell r="L2294" t="str">
            <v>ALISON DANIELA MUÑOZ REYES</v>
          </cell>
          <cell r="M2294">
            <v>31</v>
          </cell>
          <cell r="N2294" t="str">
            <v>RESOLUCION</v>
          </cell>
          <cell r="O2294">
            <v>1774</v>
          </cell>
          <cell r="P2294">
            <v>43201</v>
          </cell>
          <cell r="Q2294" t="str">
            <v>Asignacion del instrumento financiero a las familias ocupantes del predio que hayan superado la fase de verificacion dentro  del marco del Decreto 457 de 2017. LOCALIDAD: KENNEDY; BARRIO: VEREDITAS; ID: 2018-8-384268</v>
          </cell>
          <cell r="R2294">
            <v>54686940</v>
          </cell>
          <cell r="S2294">
            <v>0</v>
          </cell>
          <cell r="T2294">
            <v>0</v>
          </cell>
          <cell r="U2294">
            <v>54686940</v>
          </cell>
          <cell r="V2294">
            <v>54686940</v>
          </cell>
        </row>
        <row r="2295">
          <cell r="J2295">
            <v>1765</v>
          </cell>
          <cell r="K2295">
            <v>43201</v>
          </cell>
          <cell r="L2295" t="str">
            <v>MARIA DEL CARMEN VALENCIA MEJIA</v>
          </cell>
          <cell r="M2295">
            <v>31</v>
          </cell>
          <cell r="N2295" t="str">
            <v>RESOLUCION</v>
          </cell>
          <cell r="O2295">
            <v>1788</v>
          </cell>
          <cell r="P2295">
            <v>43201</v>
          </cell>
          <cell r="Q2295" t="str">
            <v>AYUDA TEMPORAL A LAS FAMILIAS DE VARIAS LOCALIDADES, PARA LA RELOCALIZACIÓN DE HOGARES LOCALIZADOS EN ZONAS DE ALTO RIESGO NO MITIGABLE ID:2015-W166-203, LOCALIDAD:04 SAN CRISTÓBAL, UPZ:33 SOSIEGO, SECTOR:EPERARA</v>
          </cell>
          <cell r="R2295">
            <v>4926465</v>
          </cell>
          <cell r="S2295">
            <v>0</v>
          </cell>
          <cell r="T2295">
            <v>0</v>
          </cell>
          <cell r="U2295">
            <v>4926465</v>
          </cell>
          <cell r="V2295">
            <v>2736925</v>
          </cell>
        </row>
        <row r="2296">
          <cell r="J2296">
            <v>1766</v>
          </cell>
          <cell r="K2296">
            <v>43201</v>
          </cell>
          <cell r="L2296" t="str">
            <v>MELIDA  VALENCIA CHIRIMIA</v>
          </cell>
          <cell r="M2296">
            <v>31</v>
          </cell>
          <cell r="N2296" t="str">
            <v>RESOLUCION</v>
          </cell>
          <cell r="O2296">
            <v>1789</v>
          </cell>
          <cell r="P2296">
            <v>43201</v>
          </cell>
          <cell r="Q2296" t="str">
            <v>AYUDA TEMPORAL A LAS FAMILIAS DE VARIAS LOCALIDADES, PARA LA RELOCALIZACIÓN DE HOGARES LOCALIZADOS EN ZONAS DE ALTO RIESGO NO MITIGABLE ID:2015-W166-200, LOCALIDAD:04 SAN CRISTÓBAL, UPZ:33 SOSIEGO, SECTOR:EPERARA</v>
          </cell>
          <cell r="R2296">
            <v>5311566</v>
          </cell>
          <cell r="S2296">
            <v>0</v>
          </cell>
          <cell r="T2296">
            <v>0</v>
          </cell>
          <cell r="U2296">
            <v>5311566</v>
          </cell>
          <cell r="V2296">
            <v>2950870</v>
          </cell>
        </row>
        <row r="2297">
          <cell r="J2297">
            <v>1767</v>
          </cell>
          <cell r="K2297">
            <v>43201</v>
          </cell>
          <cell r="L2297" t="str">
            <v>JULIO  ROMERO</v>
          </cell>
          <cell r="M2297">
            <v>31</v>
          </cell>
          <cell r="N2297" t="str">
            <v>RESOLUCION</v>
          </cell>
          <cell r="O2297">
            <v>1775</v>
          </cell>
          <cell r="P2297">
            <v>43201</v>
          </cell>
          <cell r="Q2297" t="str">
            <v>Asignacion del instrumento financiero a las familias ocupantes del predio que hayan superado la fase de verificacion dentro  del marco del Decreto 457 de 2017. LOCALIDAD: KENNEDY; BARRIO: VEREDITAS; ID: 2018-08-384320</v>
          </cell>
          <cell r="R2297">
            <v>54686940</v>
          </cell>
          <cell r="S2297">
            <v>0</v>
          </cell>
          <cell r="T2297">
            <v>0</v>
          </cell>
          <cell r="U2297">
            <v>54686940</v>
          </cell>
          <cell r="V2297">
            <v>54686940</v>
          </cell>
        </row>
        <row r="2298">
          <cell r="J2298">
            <v>1768</v>
          </cell>
          <cell r="K2298">
            <v>43201</v>
          </cell>
          <cell r="L2298" t="str">
            <v>CARLOS JULIO LEON OBANDO</v>
          </cell>
          <cell r="M2298">
            <v>31</v>
          </cell>
          <cell r="N2298" t="str">
            <v>RESOLUCION</v>
          </cell>
          <cell r="O2298">
            <v>1776</v>
          </cell>
          <cell r="P2298">
            <v>43201</v>
          </cell>
          <cell r="Q2298" t="str">
            <v>Asignacion del instrumento financiero a las familias ocupantes del predio que hayan superado la fase de verificacion dentro  del marco del Decreto 457 de 2017. LOCALIDAD: KENNEDY; BARRIO: VEREDITAS; ID: 2017-8-383614</v>
          </cell>
          <cell r="R2298">
            <v>54686940</v>
          </cell>
          <cell r="S2298">
            <v>0</v>
          </cell>
          <cell r="T2298">
            <v>0</v>
          </cell>
          <cell r="U2298">
            <v>54686940</v>
          </cell>
          <cell r="V2298">
            <v>54686940</v>
          </cell>
        </row>
        <row r="2299">
          <cell r="J2299">
            <v>1769</v>
          </cell>
          <cell r="K2299">
            <v>43201</v>
          </cell>
          <cell r="L2299" t="str">
            <v>EDINSON  CHOCO PIRAZA</v>
          </cell>
          <cell r="M2299">
            <v>31</v>
          </cell>
          <cell r="N2299" t="str">
            <v>RESOLUCION</v>
          </cell>
          <cell r="O2299">
            <v>1784</v>
          </cell>
          <cell r="P2299">
            <v>43201</v>
          </cell>
          <cell r="Q2299" t="str">
            <v>AYUDA TEMPORAL A LAS FAMILIAS DE VARIAS LOCALIDADES, PARA LA RELOCALIZACIÓN DE HOGARES LOCALIZADOS EN ZONAS DE ALTO RIESGO NO MITIGABLE ID:2015-W166-531, LOCALIDAD:19 CIUDAD BOLÍVAR, UPZ:67 LUCERO, SECTOR:WOUNAAN</v>
          </cell>
          <cell r="R2299">
            <v>4175001</v>
          </cell>
          <cell r="S2299">
            <v>0</v>
          </cell>
          <cell r="T2299">
            <v>0</v>
          </cell>
          <cell r="U2299">
            <v>4175001</v>
          </cell>
          <cell r="V2299">
            <v>2319445</v>
          </cell>
        </row>
        <row r="2300">
          <cell r="J2300">
            <v>1770</v>
          </cell>
          <cell r="K2300">
            <v>43201</v>
          </cell>
          <cell r="L2300" t="str">
            <v>ILARIO  MECHA PEDROZA</v>
          </cell>
          <cell r="M2300">
            <v>31</v>
          </cell>
          <cell r="N2300" t="str">
            <v>RESOLUCION</v>
          </cell>
          <cell r="O2300">
            <v>1785</v>
          </cell>
          <cell r="P2300">
            <v>43201</v>
          </cell>
          <cell r="Q2300" t="str">
            <v>AYUDA TEMPORAL A LAS FAMILIAS DE VARIAS LOCALIDADES, PARA LA RELOCALIZACIÓN DE HOGARES LOCALIZADOS EN ZONAS DE ALTO RIESGO NO MITIGABLE ID:2014-W166-026, LOCALIDAD:19 CIUDAD BOLÍVAR, UPZ:67 LUCERO, SECTOR:WOUNAAN</v>
          </cell>
          <cell r="R2300">
            <v>7192744</v>
          </cell>
          <cell r="S2300">
            <v>0</v>
          </cell>
          <cell r="T2300">
            <v>0</v>
          </cell>
          <cell r="U2300">
            <v>7192744</v>
          </cell>
          <cell r="V2300">
            <v>2766440</v>
          </cell>
        </row>
        <row r="2301">
          <cell r="J2301">
            <v>1771</v>
          </cell>
          <cell r="K2301">
            <v>43201</v>
          </cell>
          <cell r="L2301" t="str">
            <v>FLOR ALBA ARIZA MOSQUERA</v>
          </cell>
          <cell r="M2301">
            <v>31</v>
          </cell>
          <cell r="N2301" t="str">
            <v>RESOLUCION</v>
          </cell>
          <cell r="O2301">
            <v>1786</v>
          </cell>
          <cell r="P2301">
            <v>43201</v>
          </cell>
          <cell r="Q2301" t="str">
            <v>AYUDA TEMPORAL A LAS FAMILIAS DE VARIAS LOCALIDADES, PARA LA RELOCALIZACIÓN DE HOGARES LOCALIZADOS EN ZONAS DE ALTO RIESGO NO MITIGABLE ID:2013-Q18-00093, LOCALIDAD:19 CIUDAD BOLÍVAR, UPZ:69 ISMAEL PERDOMO, SECTOR:ZANJÓN MURALLA</v>
          </cell>
          <cell r="R2301">
            <v>1624984</v>
          </cell>
          <cell r="S2301">
            <v>406246</v>
          </cell>
          <cell r="T2301">
            <v>0</v>
          </cell>
          <cell r="U2301">
            <v>1218738</v>
          </cell>
          <cell r="V2301">
            <v>1218738</v>
          </cell>
        </row>
        <row r="2302">
          <cell r="J2302">
            <v>1772</v>
          </cell>
          <cell r="K2302">
            <v>43201</v>
          </cell>
          <cell r="L2302" t="str">
            <v>MARISOL  LEIVA FARIRATOFE</v>
          </cell>
          <cell r="M2302">
            <v>31</v>
          </cell>
          <cell r="N2302" t="str">
            <v>RESOLUCION</v>
          </cell>
          <cell r="O2302">
            <v>1822</v>
          </cell>
          <cell r="P2302">
            <v>43201</v>
          </cell>
          <cell r="Q2302" t="str">
            <v>AYUDA TEMPORAL A LAS FAMILIAS DE VARIAS LOCALIDADES, PARA LA RELOCALIZACIÓN DE HOGARES LOCALIZADOS EN ZONAS DE ALTO RIESGO NO MITIGABLE ID:2015-W166-408, LOCALIDAD:06 TUNJUELITO, UPZ:42 VENECIA, SECTOR:UITOTO</v>
          </cell>
          <cell r="R2302">
            <v>6520679</v>
          </cell>
          <cell r="S2302">
            <v>0</v>
          </cell>
          <cell r="T2302">
            <v>0</v>
          </cell>
          <cell r="U2302">
            <v>6520679</v>
          </cell>
          <cell r="V2302">
            <v>2963945</v>
          </cell>
        </row>
        <row r="2303">
          <cell r="J2303">
            <v>1773</v>
          </cell>
          <cell r="K2303">
            <v>43201</v>
          </cell>
          <cell r="L2303" t="str">
            <v>HECTOR  MEMBACHE ZARCO</v>
          </cell>
          <cell r="M2303">
            <v>31</v>
          </cell>
          <cell r="N2303" t="str">
            <v>RESOLUCION</v>
          </cell>
          <cell r="O2303">
            <v>1787</v>
          </cell>
          <cell r="P2303">
            <v>43201</v>
          </cell>
          <cell r="Q2303" t="str">
            <v>AYUDA TEMPORAL A LAS FAMILIAS DE VARIAS LOCALIDADES, PARA LA RELOCALIZACIÓN DE HOGARES LOCALIZADOS EN ZONAS DE ALTO RIESGO NO MITIGABLE ID:2014-W166-063, LOCALIDAD:19 CIUDAD BOLÍVAR, UPZ:68 EL TESORO, SECTOR:WOUNAAN</v>
          </cell>
          <cell r="R2303">
            <v>4573850</v>
          </cell>
          <cell r="S2303">
            <v>0</v>
          </cell>
          <cell r="T2303">
            <v>0</v>
          </cell>
          <cell r="U2303">
            <v>4573850</v>
          </cell>
          <cell r="V2303">
            <v>2286925</v>
          </cell>
        </row>
        <row r="2304">
          <cell r="J2304">
            <v>1774</v>
          </cell>
          <cell r="K2304">
            <v>43201</v>
          </cell>
          <cell r="L2304" t="str">
            <v>JORGE ENRIQUE CASTELLANOS VASQUEZ</v>
          </cell>
          <cell r="M2304">
            <v>31</v>
          </cell>
          <cell r="N2304" t="str">
            <v>RESOLUCION</v>
          </cell>
          <cell r="O2304">
            <v>1790</v>
          </cell>
          <cell r="P2304">
            <v>43201</v>
          </cell>
          <cell r="Q2304" t="str">
            <v>AYUDA TEMPORAL A LAS FAMILIAS DE VARIAS LOCALIDADES, PARA LA RELOCALIZACIÓN DE HOGARES LOCALIZADOS EN ZONAS DE ALTO RIESGO NO MITIGABLE ID:2017-20-15009, LOCALIDAD:20 SUMAPAZ, UPZ:5 UPR RIO SUMAPAZ, SECTOR:LA UNION</v>
          </cell>
          <cell r="R2304">
            <v>7031180</v>
          </cell>
          <cell r="S2304">
            <v>0</v>
          </cell>
          <cell r="T2304">
            <v>0</v>
          </cell>
          <cell r="U2304">
            <v>7031180</v>
          </cell>
          <cell r="V2304">
            <v>3515590</v>
          </cell>
        </row>
        <row r="2305">
          <cell r="J2305">
            <v>1775</v>
          </cell>
          <cell r="K2305">
            <v>43201</v>
          </cell>
          <cell r="L2305" t="str">
            <v>LEYDY VIVIANA CASAS</v>
          </cell>
          <cell r="M2305">
            <v>31</v>
          </cell>
          <cell r="N2305" t="str">
            <v>RESOLUCION</v>
          </cell>
          <cell r="O2305">
            <v>1823</v>
          </cell>
          <cell r="P2305">
            <v>43201</v>
          </cell>
          <cell r="Q2305" t="str">
            <v>AYUDA TEMPORAL A LAS FAMILIAS DE VARIAS LOCALIDADES, PARA LA RELOCALIZACIÓN DE HOGARES LOCALIZADOS EN ZONAS DE ALTO RIESGO NO MITIGABLE ID:2015-Q09-01426, LOCALIDAD:19 CIUDAD BOLÍVAR, UPZ:67 LUCERO, SECTOR:QUEBRADA TROMPETA</v>
          </cell>
          <cell r="R2305">
            <v>5412450</v>
          </cell>
          <cell r="S2305">
            <v>0</v>
          </cell>
          <cell r="T2305">
            <v>0</v>
          </cell>
          <cell r="U2305">
            <v>5412450</v>
          </cell>
          <cell r="V2305">
            <v>2706225</v>
          </cell>
        </row>
        <row r="2306">
          <cell r="J2306">
            <v>1777</v>
          </cell>
          <cell r="K2306">
            <v>43202</v>
          </cell>
          <cell r="L2306" t="str">
            <v>ROSALY  GONZALEZ SAENZ</v>
          </cell>
          <cell r="M2306">
            <v>31</v>
          </cell>
          <cell r="N2306" t="str">
            <v>RESOLUCION</v>
          </cell>
          <cell r="O2306">
            <v>1782</v>
          </cell>
          <cell r="P2306">
            <v>43202</v>
          </cell>
          <cell r="Q2306" t="str">
            <v>Adquisición predial Dto. 511 de 2010. LOCALIDAD: USME; BARRIO: SAN JUAN DE USME;ID: 2010-5-11479</v>
          </cell>
          <cell r="R2306">
            <v>53532600</v>
          </cell>
          <cell r="S2306">
            <v>0</v>
          </cell>
          <cell r="T2306">
            <v>0</v>
          </cell>
          <cell r="U2306">
            <v>53532600</v>
          </cell>
          <cell r="V2306">
            <v>16059780</v>
          </cell>
        </row>
        <row r="2307">
          <cell r="J2307">
            <v>1778</v>
          </cell>
          <cell r="K2307">
            <v>43202</v>
          </cell>
          <cell r="L2307" t="str">
            <v>DIEGO EDWIN PULIDO MOLANO</v>
          </cell>
          <cell r="M2307">
            <v>31</v>
          </cell>
          <cell r="N2307" t="str">
            <v>RESOLUCION</v>
          </cell>
          <cell r="O2307">
            <v>1758</v>
          </cell>
          <cell r="P2307">
            <v>43202</v>
          </cell>
          <cell r="Q2307" t="str">
            <v>Valor excedente de providencia ordena pagar gastos de auxiliar de justicia en el marco de la Acción Popular No 2016-00177 enero de 2018</v>
          </cell>
          <cell r="R2307">
            <v>122953</v>
          </cell>
          <cell r="S2307">
            <v>0</v>
          </cell>
          <cell r="T2307">
            <v>0</v>
          </cell>
          <cell r="U2307">
            <v>122953</v>
          </cell>
          <cell r="V2307">
            <v>122953</v>
          </cell>
        </row>
        <row r="2308">
          <cell r="J2308">
            <v>1779</v>
          </cell>
          <cell r="K2308">
            <v>43202</v>
          </cell>
          <cell r="L2308" t="str">
            <v>DIEGO EDWIN PULIDO MOLANO</v>
          </cell>
          <cell r="M2308">
            <v>31</v>
          </cell>
          <cell r="N2308" t="str">
            <v>RESOLUCION</v>
          </cell>
          <cell r="O2308">
            <v>1286</v>
          </cell>
          <cell r="P2308">
            <v>43202</v>
          </cell>
          <cell r="Q2308" t="str">
            <v>Providencia ordena pagar gastos de auxiliar de justicia en el marco de la Acción Popular No 2016-00177 enero de 2018.</v>
          </cell>
          <cell r="R2308">
            <v>614764</v>
          </cell>
          <cell r="S2308">
            <v>0</v>
          </cell>
          <cell r="T2308">
            <v>0</v>
          </cell>
          <cell r="U2308">
            <v>614764</v>
          </cell>
          <cell r="V2308">
            <v>614764</v>
          </cell>
        </row>
        <row r="2309">
          <cell r="J2309">
            <v>1780</v>
          </cell>
          <cell r="K2309">
            <v>43202</v>
          </cell>
          <cell r="L2309" t="str">
            <v>MARISOL  HERNANDEZ PEREA</v>
          </cell>
          <cell r="M2309">
            <v>31</v>
          </cell>
          <cell r="N2309" t="str">
            <v>RESOLUCION</v>
          </cell>
          <cell r="O2309">
            <v>1844</v>
          </cell>
          <cell r="P2309">
            <v>43202</v>
          </cell>
          <cell r="Q2309" t="str">
            <v>Asignacion del instrumento financiero a las familias ocupantes del predio que hayan superado la fase de verificacion dentro  del marco del Decreto 457 de 2017. LOCALIDAD: KENNEDY; BARRIO: VEREDITAS; ID: 2017-8-383720</v>
          </cell>
          <cell r="R2309">
            <v>54686940</v>
          </cell>
          <cell r="S2309">
            <v>0</v>
          </cell>
          <cell r="T2309">
            <v>0</v>
          </cell>
          <cell r="U2309">
            <v>54686940</v>
          </cell>
          <cell r="V2309">
            <v>54686940</v>
          </cell>
        </row>
        <row r="2310">
          <cell r="J2310">
            <v>1781</v>
          </cell>
          <cell r="K2310">
            <v>43202</v>
          </cell>
          <cell r="L2310" t="str">
            <v>LUIS ALBERTO FAJARDO</v>
          </cell>
          <cell r="M2310">
            <v>31</v>
          </cell>
          <cell r="N2310" t="str">
            <v>RESOLUCION</v>
          </cell>
          <cell r="O2310">
            <v>1856</v>
          </cell>
          <cell r="P2310">
            <v>43202</v>
          </cell>
          <cell r="Q2310" t="str">
            <v>adquisición de mejoras Dto. 511 de 2010. LOCALIDAD: CIUDAD BOLIVAR; BARRIO:PARAISO QUIBA;ID: 2013-Q04-00402</v>
          </cell>
          <cell r="R2310">
            <v>22950000</v>
          </cell>
          <cell r="S2310">
            <v>0</v>
          </cell>
          <cell r="T2310">
            <v>0</v>
          </cell>
          <cell r="U2310">
            <v>22950000</v>
          </cell>
          <cell r="V2310">
            <v>0</v>
          </cell>
        </row>
        <row r="2311">
          <cell r="J2311">
            <v>1782</v>
          </cell>
          <cell r="K2311">
            <v>43202</v>
          </cell>
          <cell r="L2311" t="str">
            <v>MARISOL  AGREDO CLARO</v>
          </cell>
          <cell r="M2311">
            <v>31</v>
          </cell>
          <cell r="N2311" t="str">
            <v>RESOLUCION</v>
          </cell>
          <cell r="O2311">
            <v>1857</v>
          </cell>
          <cell r="P2311">
            <v>43202</v>
          </cell>
          <cell r="Q2311" t="str">
            <v>adquisición predial Dto. 511 de 2010. LOCALIDAD: SAN CRISTOBAL; BARRIO:NUEVA GLORIA;ID: ID:  2015-Q20-01311</v>
          </cell>
          <cell r="R2311">
            <v>81785300</v>
          </cell>
          <cell r="S2311">
            <v>0</v>
          </cell>
          <cell r="T2311">
            <v>0</v>
          </cell>
          <cell r="U2311">
            <v>81785300</v>
          </cell>
          <cell r="V2311">
            <v>24535590</v>
          </cell>
        </row>
        <row r="2312">
          <cell r="J2312">
            <v>1783</v>
          </cell>
          <cell r="K2312">
            <v>43202</v>
          </cell>
          <cell r="L2312" t="str">
            <v>CARLOS ARTURO TAPIERO RUIZ</v>
          </cell>
          <cell r="M2312">
            <v>31</v>
          </cell>
          <cell r="N2312" t="str">
            <v>RESOLUCION</v>
          </cell>
          <cell r="O2312">
            <v>1839</v>
          </cell>
          <cell r="P2312">
            <v>43202</v>
          </cell>
          <cell r="Q2312" t="str">
            <v>Asignacion del instrumento financiero a las familias ocupantes del predio que hayan superado la fase de verificacion dentro  del marco del Decreto 457 de 2017. LOCALIDAD: KENNEDY; BARRIO: VEREDITAS; ID: 2018-8-384314</v>
          </cell>
          <cell r="R2312">
            <v>54686940</v>
          </cell>
          <cell r="S2312">
            <v>0</v>
          </cell>
          <cell r="T2312">
            <v>0</v>
          </cell>
          <cell r="U2312">
            <v>54686940</v>
          </cell>
          <cell r="V2312">
            <v>54686940</v>
          </cell>
        </row>
        <row r="2313">
          <cell r="J2313">
            <v>1784</v>
          </cell>
          <cell r="K2313">
            <v>43202</v>
          </cell>
          <cell r="L2313" t="str">
            <v>ANGELICA PATRICIA VELASQUEZ</v>
          </cell>
          <cell r="M2313">
            <v>31</v>
          </cell>
          <cell r="N2313" t="str">
            <v>RESOLUCION</v>
          </cell>
          <cell r="O2313">
            <v>1845</v>
          </cell>
          <cell r="P2313">
            <v>43202</v>
          </cell>
          <cell r="Q2313" t="str">
            <v>Asignacion del instrumento financiero a las familias ocupantes del predio que hayan superado la fase de verificacion dentro  del marco del Decreto 457 de 2017. LOCALIDAD: KENNEDY; BARRIO: VEREDITAS; ID: 2018-8-384304</v>
          </cell>
          <cell r="R2313">
            <v>54686940</v>
          </cell>
          <cell r="S2313">
            <v>0</v>
          </cell>
          <cell r="T2313">
            <v>0</v>
          </cell>
          <cell r="U2313">
            <v>54686940</v>
          </cell>
          <cell r="V2313">
            <v>54686940</v>
          </cell>
        </row>
        <row r="2314">
          <cell r="J2314">
            <v>1785</v>
          </cell>
          <cell r="K2314">
            <v>43202</v>
          </cell>
          <cell r="L2314" t="str">
            <v>LAURA CAMILA ESCOBAR QUINTERO</v>
          </cell>
          <cell r="M2314">
            <v>31</v>
          </cell>
          <cell r="N2314" t="str">
            <v>RESOLUCION</v>
          </cell>
          <cell r="O2314">
            <v>1846</v>
          </cell>
          <cell r="P2314">
            <v>43202</v>
          </cell>
          <cell r="Q2314" t="str">
            <v>Asignacion del instrumento financiero a las familias ocupantes del predio que hayan superado la fase de verificacion dentro  del marco del Decreto 457 de 2017. LOCALIDAD: KENNEDY; BARRIO: VEREDITAS; ID: 2018-8-384307</v>
          </cell>
          <cell r="R2314">
            <v>54686940</v>
          </cell>
          <cell r="S2314">
            <v>0</v>
          </cell>
          <cell r="T2314">
            <v>0</v>
          </cell>
          <cell r="U2314">
            <v>54686940</v>
          </cell>
          <cell r="V2314">
            <v>54686940</v>
          </cell>
        </row>
        <row r="2315">
          <cell r="J2315">
            <v>1786</v>
          </cell>
          <cell r="K2315">
            <v>43202</v>
          </cell>
          <cell r="L2315" t="str">
            <v>MARIA DEL PILAR CORTES HERNANDEZ</v>
          </cell>
          <cell r="M2315">
            <v>31</v>
          </cell>
          <cell r="N2315" t="str">
            <v>RESOLUCION</v>
          </cell>
          <cell r="O2315">
            <v>1840</v>
          </cell>
          <cell r="P2315">
            <v>43202</v>
          </cell>
          <cell r="Q2315" t="str">
            <v>Asignacion del instrumento financiero a las familias ocupantes del predio que hayan superado la fase de verificacion dentro  del marco del Decreto 457 de 2017. LOCALIDAD: KENNEDY; BARRIO: VEREDITAS; ID: 2017-8-383654</v>
          </cell>
          <cell r="R2315">
            <v>54686940</v>
          </cell>
          <cell r="S2315">
            <v>0</v>
          </cell>
          <cell r="T2315">
            <v>0</v>
          </cell>
          <cell r="U2315">
            <v>54686940</v>
          </cell>
          <cell r="V2315">
            <v>54686940</v>
          </cell>
        </row>
        <row r="2316">
          <cell r="J2316">
            <v>1787</v>
          </cell>
          <cell r="K2316">
            <v>43202</v>
          </cell>
          <cell r="L2316" t="str">
            <v>MISAEL  MARTIN</v>
          </cell>
          <cell r="M2316">
            <v>31</v>
          </cell>
          <cell r="N2316" t="str">
            <v>RESOLUCION</v>
          </cell>
          <cell r="O2316">
            <v>1847</v>
          </cell>
          <cell r="P2316">
            <v>43202</v>
          </cell>
          <cell r="Q2316" t="str">
            <v>Asignacion del instrumento financiero a las familias ocupantes del predio que hayan superado la fase de verificacion dentro  del marco del Decreto 457 de 2017. LOCALIDAD: KENNEDY; BARRIO: VEREDITAS; ID: 2018-8-384305</v>
          </cell>
          <cell r="R2316">
            <v>54686940</v>
          </cell>
          <cell r="S2316">
            <v>0</v>
          </cell>
          <cell r="T2316">
            <v>0</v>
          </cell>
          <cell r="U2316">
            <v>54686940</v>
          </cell>
          <cell r="V2316">
            <v>54686940</v>
          </cell>
        </row>
        <row r="2317">
          <cell r="J2317">
            <v>1788</v>
          </cell>
          <cell r="K2317">
            <v>43202</v>
          </cell>
          <cell r="L2317" t="str">
            <v>OMAR  FRANCO MOLINA</v>
          </cell>
          <cell r="M2317">
            <v>31</v>
          </cell>
          <cell r="N2317" t="str">
            <v>RESOLUCION</v>
          </cell>
          <cell r="O2317">
            <v>1841</v>
          </cell>
          <cell r="P2317">
            <v>43202</v>
          </cell>
          <cell r="Q2317" t="str">
            <v>Asignacion del instrumento financiero a las familias ocupantes del predio que hayan superado la fase de verificacion dentro  del marco del Decreto 457 de 2017. LOCALIDAD: KENNEDY; BARRIO: VEREDITAS; ID: 2018-8-384310</v>
          </cell>
          <cell r="R2317">
            <v>54686940</v>
          </cell>
          <cell r="S2317">
            <v>0</v>
          </cell>
          <cell r="T2317">
            <v>0</v>
          </cell>
          <cell r="U2317">
            <v>54686940</v>
          </cell>
          <cell r="V2317">
            <v>54686940</v>
          </cell>
        </row>
        <row r="2318">
          <cell r="J2318">
            <v>1789</v>
          </cell>
          <cell r="K2318">
            <v>43202</v>
          </cell>
          <cell r="L2318" t="str">
            <v>JANETH  GOMEZ TRIANA</v>
          </cell>
          <cell r="M2318">
            <v>31</v>
          </cell>
          <cell r="N2318" t="str">
            <v>RESOLUCION</v>
          </cell>
          <cell r="O2318">
            <v>1848</v>
          </cell>
          <cell r="P2318">
            <v>43202</v>
          </cell>
          <cell r="Q2318" t="str">
            <v>Asignacion del instrumento financiero a las familias ocupantes del predio que hayan superado la fase de verificacion dentro  del marco del Decreto 457 de 2017. LOCALIDAD: KENNEDY; BARRIO: VEREDITAS; ID: 2018-8-384312</v>
          </cell>
          <cell r="R2318">
            <v>54686940</v>
          </cell>
          <cell r="S2318">
            <v>0</v>
          </cell>
          <cell r="T2318">
            <v>0</v>
          </cell>
          <cell r="U2318">
            <v>54686940</v>
          </cell>
          <cell r="V2318">
            <v>54686940</v>
          </cell>
        </row>
        <row r="2319">
          <cell r="J2319">
            <v>1790</v>
          </cell>
          <cell r="K2319">
            <v>43202</v>
          </cell>
          <cell r="L2319" t="str">
            <v>NINI JOHANNA OLIVEROS LIZCANO</v>
          </cell>
          <cell r="M2319">
            <v>31</v>
          </cell>
          <cell r="N2319" t="str">
            <v>RESOLUCION</v>
          </cell>
          <cell r="O2319">
            <v>1842</v>
          </cell>
          <cell r="P2319">
            <v>43202</v>
          </cell>
          <cell r="Q2319" t="str">
            <v>Asignacion del instrumento financiero a las familias ocupantes del predio que hayan superado la fase de verificacion dentro  del marco del Decreto 457 de 2017. LOCALIDAD: KENNEDY; BARRIO: VEREDITAS; ID: 2018-08-384303</v>
          </cell>
          <cell r="R2319">
            <v>54686940</v>
          </cell>
          <cell r="S2319">
            <v>0</v>
          </cell>
          <cell r="T2319">
            <v>0</v>
          </cell>
          <cell r="U2319">
            <v>54686940</v>
          </cell>
          <cell r="V2319">
            <v>54686940</v>
          </cell>
        </row>
        <row r="2320">
          <cell r="J2320">
            <v>1791</v>
          </cell>
          <cell r="K2320">
            <v>43202</v>
          </cell>
          <cell r="L2320" t="str">
            <v>OSCAR HERNAN AGUILAR VARELA</v>
          </cell>
          <cell r="M2320">
            <v>31</v>
          </cell>
          <cell r="N2320" t="str">
            <v>RESOLUCION</v>
          </cell>
          <cell r="O2320">
            <v>1843</v>
          </cell>
          <cell r="P2320">
            <v>43202</v>
          </cell>
          <cell r="Q2320" t="str">
            <v>Asignacion del instrumento financiero a las familias ocupantes del predio que hayan superado la fase de verificacion dentro  del marco del Decreto 457 de 2017. LOCALIDAD: KENNEDY; BARRIO: VEREDITAS; ID: 2018-8-384306</v>
          </cell>
          <cell r="R2320">
            <v>54686940</v>
          </cell>
          <cell r="S2320">
            <v>0</v>
          </cell>
          <cell r="T2320">
            <v>0</v>
          </cell>
          <cell r="U2320">
            <v>54686940</v>
          </cell>
          <cell r="V2320">
            <v>54686940</v>
          </cell>
        </row>
        <row r="2321">
          <cell r="J2321">
            <v>1792</v>
          </cell>
          <cell r="K2321">
            <v>43203</v>
          </cell>
          <cell r="L2321" t="str">
            <v>WILLIAM  VIUCHE CUPITRA</v>
          </cell>
          <cell r="M2321">
            <v>31</v>
          </cell>
          <cell r="N2321" t="str">
            <v>RESOLUCION</v>
          </cell>
          <cell r="O2321">
            <v>1862</v>
          </cell>
          <cell r="P2321">
            <v>43203</v>
          </cell>
          <cell r="Q2321" t="str">
            <v>VUR de la actual vigencia.Dto 255 de 2013. LOCALIDAD:CIUDAD BOLIVAR; BARRIO:ESTRELLA DEL SUR; ID:2014-Q05-00840</v>
          </cell>
          <cell r="R2321">
            <v>39062100</v>
          </cell>
          <cell r="S2321">
            <v>0</v>
          </cell>
          <cell r="T2321">
            <v>0</v>
          </cell>
          <cell r="U2321">
            <v>39062100</v>
          </cell>
          <cell r="V2321">
            <v>0</v>
          </cell>
        </row>
        <row r="2322">
          <cell r="J2322">
            <v>1793</v>
          </cell>
          <cell r="K2322">
            <v>43203</v>
          </cell>
          <cell r="L2322" t="str">
            <v>MARIA CECILIA BERNAL</v>
          </cell>
          <cell r="M2322">
            <v>31</v>
          </cell>
          <cell r="N2322" t="str">
            <v>RESOLUCION</v>
          </cell>
          <cell r="O2322">
            <v>1863</v>
          </cell>
          <cell r="P2322">
            <v>43203</v>
          </cell>
          <cell r="Q2322" t="str">
            <v>VUR de la actual vigencia.Dto 255 de 2013. LOCALIDAD:CIUDAD BOLIVAR; BARRIO:PARAISO QUIBA; ID:2015-Q04-03677</v>
          </cell>
          <cell r="R2322">
            <v>39062100</v>
          </cell>
          <cell r="S2322">
            <v>0</v>
          </cell>
          <cell r="T2322">
            <v>0</v>
          </cell>
          <cell r="U2322">
            <v>39062100</v>
          </cell>
          <cell r="V2322">
            <v>39062100</v>
          </cell>
        </row>
        <row r="2323">
          <cell r="J2323">
            <v>1795</v>
          </cell>
          <cell r="K2323">
            <v>43203</v>
          </cell>
          <cell r="L2323" t="str">
            <v>CAJA DE VIVIENDA POPULAR</v>
          </cell>
          <cell r="M2323">
            <v>1</v>
          </cell>
          <cell r="N2323" t="str">
            <v>RELACION DE AUTORIZACION</v>
          </cell>
          <cell r="O2323">
            <v>28</v>
          </cell>
          <cell r="P2323">
            <v>43203</v>
          </cell>
          <cell r="Q2323" t="str">
            <v>PAGO DE SEGURIDAD SOCIAL Y PARAFISCALES DE FUNCIONARIOS DE PLANTA TEMPORAL DE LA DIRECCIÓN DE REASENTAMIENTOS DE LA CAJA DE LA VIVIENDA POPULAR  MES DE MARZO DE 2018"</v>
          </cell>
          <cell r="R2323">
            <v>35468800</v>
          </cell>
          <cell r="S2323">
            <v>35468800</v>
          </cell>
          <cell r="T2323">
            <v>0</v>
          </cell>
          <cell r="U2323">
            <v>0</v>
          </cell>
          <cell r="V2323">
            <v>0</v>
          </cell>
        </row>
        <row r="2324">
          <cell r="J2324">
            <v>1807</v>
          </cell>
          <cell r="K2324">
            <v>43207</v>
          </cell>
          <cell r="L2324" t="str">
            <v>JHONATAN HARLEY PINZON AVILA</v>
          </cell>
          <cell r="M2324">
            <v>31</v>
          </cell>
          <cell r="N2324" t="str">
            <v>RESOLUCION</v>
          </cell>
          <cell r="O2324">
            <v>1865</v>
          </cell>
          <cell r="P2324">
            <v>43207</v>
          </cell>
          <cell r="Q2324" t="str">
            <v>Asignacion del instrumento financiero a las familias ocupantes del predio que hayan superado la fase de verificacion dentro  del marco del Decreto 457 de 2017. LOCALIDAD: KENNEDY; BARRIO: VEREDITAS; ID: 2017-8-383676</v>
          </cell>
          <cell r="R2324">
            <v>54686940</v>
          </cell>
          <cell r="S2324">
            <v>0</v>
          </cell>
          <cell r="T2324">
            <v>0</v>
          </cell>
          <cell r="U2324">
            <v>54686940</v>
          </cell>
          <cell r="V2324">
            <v>54686940</v>
          </cell>
        </row>
        <row r="2325">
          <cell r="J2325">
            <v>1808</v>
          </cell>
          <cell r="K2325">
            <v>43207</v>
          </cell>
          <cell r="L2325" t="str">
            <v>YENIFER VALENTINA JAIMES AGUILAR</v>
          </cell>
          <cell r="M2325">
            <v>31</v>
          </cell>
          <cell r="N2325" t="str">
            <v>RESOLUCION</v>
          </cell>
          <cell r="O2325">
            <v>1864</v>
          </cell>
          <cell r="P2325">
            <v>43207</v>
          </cell>
          <cell r="Q2325" t="str">
            <v>Asignacion del instrumento financiero a las familias ocupantes del predio que hayan superado la fase de verificacion dentro  del marco del Decreto 457 de 2017. LOCALIDAD: KENNEDY; BARRIO: VEREDITAS; ID: 2018-08-384302</v>
          </cell>
          <cell r="R2325">
            <v>54686940</v>
          </cell>
          <cell r="S2325">
            <v>0</v>
          </cell>
          <cell r="T2325">
            <v>0</v>
          </cell>
          <cell r="U2325">
            <v>54686940</v>
          </cell>
          <cell r="V2325">
            <v>54686940</v>
          </cell>
        </row>
        <row r="2326">
          <cell r="J2326">
            <v>1814</v>
          </cell>
          <cell r="K2326">
            <v>43209</v>
          </cell>
          <cell r="L2326" t="str">
            <v>JESUS MARIA GONZALEZ RODRIGUEZ</v>
          </cell>
          <cell r="M2326">
            <v>31</v>
          </cell>
          <cell r="N2326" t="str">
            <v>RESOLUCION</v>
          </cell>
          <cell r="O2326">
            <v>1894</v>
          </cell>
          <cell r="P2326">
            <v>43209</v>
          </cell>
          <cell r="Q2326" t="str">
            <v>Cumplimiento de la orden impartida por el Juzgado Treinta y Seis  Penal del Circuito con Función de Conocimiento de Bogotá D.C, mediante providencia del 09 de abril de 2018, notificada a la Caja de la Vivienda Popular el 17 de abril de 2018, en el marco de la Acción de Tutela .2018 ¿ 0013, instaurada por el señor JESÚS MARÍA GONZÁLEZ RODRÍGUEZ.</v>
          </cell>
          <cell r="R2326">
            <v>406560</v>
          </cell>
          <cell r="S2326">
            <v>0</v>
          </cell>
          <cell r="T2326">
            <v>0</v>
          </cell>
          <cell r="U2326">
            <v>406560</v>
          </cell>
          <cell r="V2326">
            <v>406560</v>
          </cell>
        </row>
        <row r="2327">
          <cell r="J2327">
            <v>1815</v>
          </cell>
          <cell r="K2327">
            <v>43209</v>
          </cell>
          <cell r="L2327" t="str">
            <v>MAUREN  SIERRA FONSECA</v>
          </cell>
          <cell r="M2327">
            <v>31</v>
          </cell>
          <cell r="N2327" t="str">
            <v>RESOLUCION</v>
          </cell>
          <cell r="O2327">
            <v>1872</v>
          </cell>
          <cell r="P2327">
            <v>43209</v>
          </cell>
          <cell r="Q2327" t="str">
            <v>Asignacion del instrumento financiero a las familias ocupantes del predio que hayan superado la fase de verificacion dentro  del marco del Decreto 457 de 2017. LOCALIDAD: KENNEDY; BARRIO: VEREDITAS; ID: 2018-8-384311</v>
          </cell>
          <cell r="R2327">
            <v>54686940</v>
          </cell>
          <cell r="S2327">
            <v>0</v>
          </cell>
          <cell r="T2327">
            <v>0</v>
          </cell>
          <cell r="U2327">
            <v>54686940</v>
          </cell>
          <cell r="V2327">
            <v>54686940</v>
          </cell>
        </row>
        <row r="2328">
          <cell r="J2328">
            <v>1816</v>
          </cell>
          <cell r="K2328">
            <v>43209</v>
          </cell>
          <cell r="L2328" t="str">
            <v>JOSE ARMANDO PAIBA</v>
          </cell>
          <cell r="M2328">
            <v>31</v>
          </cell>
          <cell r="N2328" t="str">
            <v>RESOLUCION</v>
          </cell>
          <cell r="O2328">
            <v>1870</v>
          </cell>
          <cell r="P2328">
            <v>43209</v>
          </cell>
          <cell r="Q2328" t="str">
            <v>Asignacion del instrumento financiero a las familias ocupantes del predio que hayan superado la fase de verificacion dentro  del marco del Decreto 457 de 2017. LOCALIDAD: KENNEDY; BARRIO: VEREDITAS; ID: 2018-08-384353</v>
          </cell>
          <cell r="R2328">
            <v>54686940</v>
          </cell>
          <cell r="S2328">
            <v>0</v>
          </cell>
          <cell r="T2328">
            <v>0</v>
          </cell>
          <cell r="U2328">
            <v>54686940</v>
          </cell>
          <cell r="V2328">
            <v>54686940</v>
          </cell>
        </row>
        <row r="2329">
          <cell r="J2329">
            <v>1817</v>
          </cell>
          <cell r="K2329">
            <v>43209</v>
          </cell>
          <cell r="L2329" t="str">
            <v>LUZ AIDEE CALDERÓN ORTIZ</v>
          </cell>
          <cell r="M2329">
            <v>31</v>
          </cell>
          <cell r="N2329" t="str">
            <v>RESOLUCION</v>
          </cell>
          <cell r="O2329">
            <v>1873</v>
          </cell>
          <cell r="P2329">
            <v>43209</v>
          </cell>
          <cell r="Q2329" t="str">
            <v>Asignacion del instrumento financiero a las familias ocupantes del predio que hayan superado la fase de verificacion dentro  del marco del Decreto 457 de 2017. LOCALIDAD: KENNEDY; BARRIO: VEREDITAS; ID: 2018-08-384309</v>
          </cell>
          <cell r="R2329">
            <v>54686940</v>
          </cell>
          <cell r="S2329">
            <v>0</v>
          </cell>
          <cell r="T2329">
            <v>0</v>
          </cell>
          <cell r="U2329">
            <v>54686940</v>
          </cell>
          <cell r="V2329">
            <v>54686940</v>
          </cell>
        </row>
        <row r="2330">
          <cell r="J2330">
            <v>1818</v>
          </cell>
          <cell r="K2330">
            <v>43209</v>
          </cell>
          <cell r="L2330" t="str">
            <v>MARIA ANGELICA MARTINEZ JIMENEZ</v>
          </cell>
          <cell r="M2330">
            <v>31</v>
          </cell>
          <cell r="N2330" t="str">
            <v>RESOLUCION</v>
          </cell>
          <cell r="O2330">
            <v>1753</v>
          </cell>
          <cell r="P2330">
            <v>43209</v>
          </cell>
          <cell r="Q2330" t="str">
            <v>AYUDA TEMPORAL A LAS FAMILIAS DE VARIAS LOCALIDADES, PARA LA RELOCALIZACIÓN DE HOGARES LOCALIZADOS EN ZONAS DE ALTO RIESGO NO MITIGABLE ID: 2015-Q04-01467, LOCALIDAD: 19 CIUDAD BOLIVAR, UPZ:67 LUCERO, SECTOR: PEÑA COLORADA</v>
          </cell>
          <cell r="R2330">
            <v>4570263</v>
          </cell>
          <cell r="S2330">
            <v>0</v>
          </cell>
          <cell r="T2330">
            <v>0</v>
          </cell>
          <cell r="U2330">
            <v>4570263</v>
          </cell>
          <cell r="V2330">
            <v>2539035</v>
          </cell>
        </row>
        <row r="2331">
          <cell r="J2331">
            <v>1819</v>
          </cell>
          <cell r="K2331">
            <v>43209</v>
          </cell>
          <cell r="L2331" t="str">
            <v>LORENA  CORTES VILLANUEVA</v>
          </cell>
          <cell r="M2331">
            <v>31</v>
          </cell>
          <cell r="N2331" t="str">
            <v>RESOLUCION</v>
          </cell>
          <cell r="O2331">
            <v>1871</v>
          </cell>
          <cell r="P2331">
            <v>43209</v>
          </cell>
          <cell r="Q2331" t="str">
            <v>Asignacion del instrumento financiero a las familias ocupantes del predio que hayan superado la fase de verificacion dentro  del marco del Decreto 457 de 2017. LOCALIDAD: KENNEDY; BARRIO: VEREDITAS; ID: 2018-8-15298</v>
          </cell>
          <cell r="R2331">
            <v>54686940</v>
          </cell>
          <cell r="S2331">
            <v>0</v>
          </cell>
          <cell r="T2331">
            <v>0</v>
          </cell>
          <cell r="U2331">
            <v>54686940</v>
          </cell>
          <cell r="V2331">
            <v>54686940</v>
          </cell>
        </row>
        <row r="2332">
          <cell r="J2332">
            <v>1824</v>
          </cell>
          <cell r="K2332">
            <v>43210</v>
          </cell>
          <cell r="L2332" t="str">
            <v>FERNANDO  REYES LOZANO</v>
          </cell>
          <cell r="M2332">
            <v>31</v>
          </cell>
          <cell r="N2332" t="str">
            <v>RESOLUCION</v>
          </cell>
          <cell r="O2332">
            <v>1878</v>
          </cell>
          <cell r="P2332">
            <v>43210</v>
          </cell>
          <cell r="Q2332" t="str">
            <v>Asignacion del instrumento financiero a las familias ocupantes del predio que hayan superado la fase de verificacion dentro  del marco del Decreto 457 de 2017. LOCALIDAD: KENNEDY; BARRIO: VEREDITAS; ID: 2017-8-383678</v>
          </cell>
          <cell r="R2332">
            <v>54686940</v>
          </cell>
          <cell r="S2332">
            <v>0</v>
          </cell>
          <cell r="T2332">
            <v>0</v>
          </cell>
          <cell r="U2332">
            <v>54686940</v>
          </cell>
          <cell r="V2332">
            <v>54686940</v>
          </cell>
        </row>
        <row r="2333">
          <cell r="J2333">
            <v>1825</v>
          </cell>
          <cell r="K2333">
            <v>43210</v>
          </cell>
          <cell r="L2333" t="str">
            <v>AMANDA  ROMERO ESPAÑA</v>
          </cell>
          <cell r="M2333">
            <v>31</v>
          </cell>
          <cell r="N2333" t="str">
            <v>RESOLUCION</v>
          </cell>
          <cell r="O2333">
            <v>1879</v>
          </cell>
          <cell r="P2333">
            <v>43210</v>
          </cell>
          <cell r="Q2333" t="str">
            <v>Adquisición predial Dto. 511 de 2010. LOCALIDAD: SAN CRISTOBAL; BARRIO:SAN ISIDRO II SECTOR;ID: ID: 2011-4-13158</v>
          </cell>
          <cell r="R2333">
            <v>8832000</v>
          </cell>
          <cell r="S2333">
            <v>0</v>
          </cell>
          <cell r="T2333">
            <v>0</v>
          </cell>
          <cell r="U2333">
            <v>8832000</v>
          </cell>
          <cell r="V2333">
            <v>0</v>
          </cell>
        </row>
        <row r="2334">
          <cell r="J2334">
            <v>1826</v>
          </cell>
          <cell r="K2334">
            <v>43210</v>
          </cell>
          <cell r="L2334" t="str">
            <v>ANGELICA ANDREA CORTES</v>
          </cell>
          <cell r="M2334">
            <v>31</v>
          </cell>
          <cell r="N2334" t="str">
            <v>RESOLUCION</v>
          </cell>
          <cell r="O2334">
            <v>1876</v>
          </cell>
          <cell r="P2334">
            <v>43210</v>
          </cell>
          <cell r="Q2334" t="str">
            <v>Asignacion del instrumento financiero a las familias ocupantes del predio que hayan superado la fase de verificacion dentro  del marco del Decreto 457 de 2017. LOCALIDAD: KENNEDY; BARRIO: VEREDITAS; ID: 2018-08-384354</v>
          </cell>
          <cell r="R2334">
            <v>54686940</v>
          </cell>
          <cell r="S2334">
            <v>0</v>
          </cell>
          <cell r="T2334">
            <v>0</v>
          </cell>
          <cell r="U2334">
            <v>54686940</v>
          </cell>
          <cell r="V2334">
            <v>54686940</v>
          </cell>
        </row>
        <row r="2335">
          <cell r="J2335">
            <v>1827</v>
          </cell>
          <cell r="K2335">
            <v>43210</v>
          </cell>
          <cell r="L2335" t="str">
            <v>YOLANDA  TOLEDO GONZALEZ</v>
          </cell>
          <cell r="M2335">
            <v>31</v>
          </cell>
          <cell r="N2335" t="str">
            <v>RESOLUCION</v>
          </cell>
          <cell r="O2335">
            <v>1881</v>
          </cell>
          <cell r="P2335">
            <v>43210</v>
          </cell>
          <cell r="Q2335" t="str">
            <v>adquisición predial Dto. 511 de 2010. LOCALIDAD: CIUDAD BOLIVAR; BARRIO:VILLAS DE DIAMANTE;ID: 2016-19-14924</v>
          </cell>
          <cell r="R2335">
            <v>39873100</v>
          </cell>
          <cell r="S2335">
            <v>0</v>
          </cell>
          <cell r="T2335">
            <v>0</v>
          </cell>
          <cell r="U2335">
            <v>39873100</v>
          </cell>
          <cell r="V2335">
            <v>11961930</v>
          </cell>
        </row>
        <row r="2336">
          <cell r="J2336">
            <v>1828</v>
          </cell>
          <cell r="K2336">
            <v>43210</v>
          </cell>
          <cell r="L2336" t="str">
            <v>NESTOR FABIO CASTAÑO GALVIS</v>
          </cell>
          <cell r="M2336">
            <v>31</v>
          </cell>
          <cell r="N2336" t="str">
            <v>RESOLUCION</v>
          </cell>
          <cell r="O2336">
            <v>1893</v>
          </cell>
          <cell r="P2336">
            <v>43210</v>
          </cell>
          <cell r="Q2336" t="str">
            <v>Asignacion del instrumento financiero a las familias ocupantes del predio que hayan superado la fase de verificacion dentro  del marco del Decreto 457 de 2017. LOCALIDAD: KENNEDY; BARRIO: VEREDITAS; ID: 2018-8-384293</v>
          </cell>
          <cell r="R2336">
            <v>54686940</v>
          </cell>
          <cell r="S2336">
            <v>0</v>
          </cell>
          <cell r="T2336">
            <v>0</v>
          </cell>
          <cell r="U2336">
            <v>54686940</v>
          </cell>
          <cell r="V2336">
            <v>54686940</v>
          </cell>
        </row>
        <row r="2337">
          <cell r="J2337">
            <v>1829</v>
          </cell>
          <cell r="K2337">
            <v>43210</v>
          </cell>
          <cell r="L2337" t="str">
            <v>JORGE REINEL LESMES</v>
          </cell>
          <cell r="M2337">
            <v>31</v>
          </cell>
          <cell r="N2337" t="str">
            <v>RESOLUCION</v>
          </cell>
          <cell r="O2337">
            <v>1877</v>
          </cell>
          <cell r="P2337">
            <v>43210</v>
          </cell>
          <cell r="Q2337" t="str">
            <v>Asignacion del instrumento financiero a las familias ocupantes del predio que hayan superado la fase de verificacion dentro  del marco del Decreto 457 de 2017. LOCALIDAD: KENNEDY; BARRIO: VEREDITAS; ID: 2017-8-383790</v>
          </cell>
          <cell r="R2337">
            <v>54686940</v>
          </cell>
          <cell r="S2337">
            <v>0</v>
          </cell>
          <cell r="T2337">
            <v>0</v>
          </cell>
          <cell r="U2337">
            <v>54686940</v>
          </cell>
          <cell r="V2337">
            <v>54686940</v>
          </cell>
        </row>
        <row r="2338">
          <cell r="J2338">
            <v>1843</v>
          </cell>
          <cell r="K2338">
            <v>43215</v>
          </cell>
          <cell r="L2338" t="str">
            <v>JHON FREDY PINZON GOMEZ</v>
          </cell>
          <cell r="M2338">
            <v>31</v>
          </cell>
          <cell r="N2338" t="str">
            <v>RESOLUCION</v>
          </cell>
          <cell r="O2338">
            <v>1931</v>
          </cell>
          <cell r="P2338">
            <v>43215</v>
          </cell>
          <cell r="Q2338" t="str">
            <v>Asignacion del instrumento financiero a las familias ocupantes del predio que hayan superado la fase de verificacion dentro  del marco del Decreto 457 de 2017. LOCALIDAD: KENNEDY; BARRIO: VEREDITAS; ID: 2018-08-384315</v>
          </cell>
          <cell r="R2338">
            <v>54686940</v>
          </cell>
          <cell r="S2338">
            <v>0</v>
          </cell>
          <cell r="T2338">
            <v>0</v>
          </cell>
          <cell r="U2338">
            <v>54686940</v>
          </cell>
          <cell r="V2338">
            <v>54686940</v>
          </cell>
        </row>
        <row r="2339">
          <cell r="J2339">
            <v>1844</v>
          </cell>
          <cell r="K2339">
            <v>43216</v>
          </cell>
          <cell r="L2339" t="str">
            <v>MIGUEL AUGUSTO BOBADILLA</v>
          </cell>
          <cell r="M2339">
            <v>31</v>
          </cell>
          <cell r="N2339" t="str">
            <v>RESOLUCION</v>
          </cell>
          <cell r="O2339">
            <v>1934</v>
          </cell>
          <cell r="P2339">
            <v>43216</v>
          </cell>
          <cell r="Q2339" t="str">
            <v>VUR de la actual vigencia.Dto 255 de 2013. LOCALIDAD:SAN CRISTOBAL; BARRIO:LOS LIBERTADORES; ID:2017-04-14979.</v>
          </cell>
          <cell r="R2339">
            <v>39062100</v>
          </cell>
          <cell r="S2339">
            <v>0</v>
          </cell>
          <cell r="T2339">
            <v>0</v>
          </cell>
          <cell r="U2339">
            <v>39062100</v>
          </cell>
          <cell r="V2339">
            <v>0</v>
          </cell>
        </row>
        <row r="2340">
          <cell r="J2340">
            <v>1845</v>
          </cell>
          <cell r="K2340">
            <v>43216</v>
          </cell>
          <cell r="L2340" t="str">
            <v>LUZ ENITH OSORIO GUTIERREZ</v>
          </cell>
          <cell r="M2340">
            <v>31</v>
          </cell>
          <cell r="N2340" t="str">
            <v>RESOLUCION</v>
          </cell>
          <cell r="O2340">
            <v>1901</v>
          </cell>
          <cell r="P2340">
            <v>43216</v>
          </cell>
          <cell r="Q2340" t="str">
            <v>Adquisición de mejoras Dto. 511 de 2010. LOCALIDAD: CIUDAD BOLIVAR; BARRIO:SANTA VIVIANA;ID: 2003-19-5088</v>
          </cell>
          <cell r="R2340">
            <v>6163200</v>
          </cell>
          <cell r="S2340">
            <v>0</v>
          </cell>
          <cell r="T2340">
            <v>0</v>
          </cell>
          <cell r="U2340">
            <v>6163200</v>
          </cell>
          <cell r="V2340">
            <v>0</v>
          </cell>
        </row>
        <row r="2341">
          <cell r="J2341">
            <v>1846</v>
          </cell>
          <cell r="K2341">
            <v>43216</v>
          </cell>
          <cell r="L2341" t="str">
            <v>HERNAN  PULIDO GALINDO</v>
          </cell>
          <cell r="M2341">
            <v>31</v>
          </cell>
          <cell r="N2341" t="str">
            <v>RESOLUCION</v>
          </cell>
          <cell r="O2341">
            <v>1933</v>
          </cell>
          <cell r="P2341">
            <v>43216</v>
          </cell>
          <cell r="Q2341" t="str">
            <v>VUR de la actual vigencia.Dto 255 de 2013. LOCALIDAD:CIUDAD BOLIVAR; BARRIO:BELLA FLOR SUR; ID:2015-Q03-03337</v>
          </cell>
          <cell r="R2341">
            <v>39062100</v>
          </cell>
          <cell r="S2341">
            <v>0</v>
          </cell>
          <cell r="T2341">
            <v>0</v>
          </cell>
          <cell r="U2341">
            <v>39062100</v>
          </cell>
          <cell r="V2341">
            <v>0</v>
          </cell>
        </row>
        <row r="2342">
          <cell r="J2342">
            <v>1850</v>
          </cell>
          <cell r="K2342">
            <v>43222</v>
          </cell>
          <cell r="L2342" t="str">
            <v>CELENIA  GARCIA JULIO</v>
          </cell>
          <cell r="M2342">
            <v>31</v>
          </cell>
          <cell r="N2342" t="str">
            <v>RESOLUCION</v>
          </cell>
          <cell r="O2342">
            <v>1962</v>
          </cell>
          <cell r="P2342">
            <v>43222</v>
          </cell>
          <cell r="Q2342" t="str">
            <v>Asignación del instrumento financiero a las familias ocupantes del predio que hayan superado la fase de verificacion dentro  del marco del Decreto 457 de 2017. LOCALIDAD: KENNEDY; BARRIO: VEREDITAS; ID: 2018-8-384361</v>
          </cell>
          <cell r="R2342">
            <v>54686940</v>
          </cell>
          <cell r="S2342">
            <v>0</v>
          </cell>
          <cell r="T2342">
            <v>0</v>
          </cell>
          <cell r="U2342">
            <v>54686940</v>
          </cell>
          <cell r="V2342">
            <v>54686940</v>
          </cell>
        </row>
        <row r="2343">
          <cell r="J2343">
            <v>1851</v>
          </cell>
          <cell r="K2343">
            <v>43222</v>
          </cell>
          <cell r="L2343" t="str">
            <v>NUBIA YADIRA GARZON VELASQUEZ</v>
          </cell>
          <cell r="M2343">
            <v>31</v>
          </cell>
          <cell r="N2343" t="str">
            <v>RESOLUCION</v>
          </cell>
          <cell r="O2343">
            <v>1961</v>
          </cell>
          <cell r="P2343">
            <v>43222</v>
          </cell>
          <cell r="Q2343" t="str">
            <v>Asignacion del instrumento financiero a las familias ocupantes del predio que hayan superado la fase de verificacion dentro  del marco del Decreto 457 de 2017. LOCALIDAD: KENNEDY; BARRIO: VEREDITAS; ID: 2017-8-383744</v>
          </cell>
          <cell r="R2343">
            <v>54686940</v>
          </cell>
          <cell r="S2343">
            <v>0</v>
          </cell>
          <cell r="T2343">
            <v>0</v>
          </cell>
          <cell r="U2343">
            <v>54686940</v>
          </cell>
          <cell r="V2343">
            <v>54686940</v>
          </cell>
        </row>
        <row r="2344">
          <cell r="J2344">
            <v>1852</v>
          </cell>
          <cell r="K2344">
            <v>43223</v>
          </cell>
          <cell r="L2344" t="str">
            <v>JORGE  LOMBANA MOTTA</v>
          </cell>
          <cell r="M2344">
            <v>31</v>
          </cell>
          <cell r="N2344" t="str">
            <v>RESOLUCION</v>
          </cell>
          <cell r="O2344">
            <v>1960</v>
          </cell>
          <cell r="P2344">
            <v>43223</v>
          </cell>
          <cell r="Q2344" t="str">
            <v>Asignacion del instrumento financiero a las familias ocupantes del predio que hayan superado la fase de verificacion dentro  del marco del Decreto 457 de 2017. LOCALIDAD: KENNEDY; BARRIO: VEREDITAS; ID: 2017-8-383781</v>
          </cell>
          <cell r="R2344">
            <v>54686940</v>
          </cell>
          <cell r="S2344">
            <v>0</v>
          </cell>
          <cell r="T2344">
            <v>0</v>
          </cell>
          <cell r="U2344">
            <v>54686940</v>
          </cell>
          <cell r="V2344">
            <v>54686940</v>
          </cell>
        </row>
        <row r="2345">
          <cell r="J2345">
            <v>1853</v>
          </cell>
          <cell r="K2345">
            <v>43223</v>
          </cell>
          <cell r="L2345" t="str">
            <v>EDGAR NAYID BELLO NAVARRETE</v>
          </cell>
          <cell r="M2345">
            <v>31</v>
          </cell>
          <cell r="N2345" t="str">
            <v>RESOLUCION</v>
          </cell>
          <cell r="O2345">
            <v>1965</v>
          </cell>
          <cell r="P2345">
            <v>43223</v>
          </cell>
          <cell r="Q2345" t="str">
            <v>Asignacion del instrumento financiero a las familias ocupantes del predio que hayan superado la fase de verificacion dentro  del marco del Decreto 457 de 2017. LOCALIDAD: KENNEDY; BARRIO: VEREDITAS; ID: 2017-8-383680</v>
          </cell>
          <cell r="R2345">
            <v>54686940</v>
          </cell>
          <cell r="S2345">
            <v>0</v>
          </cell>
          <cell r="T2345">
            <v>0</v>
          </cell>
          <cell r="U2345">
            <v>54686940</v>
          </cell>
          <cell r="V2345">
            <v>54686940</v>
          </cell>
        </row>
        <row r="2346">
          <cell r="J2346">
            <v>1854</v>
          </cell>
          <cell r="K2346">
            <v>43223</v>
          </cell>
          <cell r="L2346" t="str">
            <v>CLAUDIA PATRICIA BLANCO GARCIA</v>
          </cell>
          <cell r="M2346">
            <v>31</v>
          </cell>
          <cell r="N2346" t="str">
            <v>RESOLUCION</v>
          </cell>
          <cell r="O2346">
            <v>1964</v>
          </cell>
          <cell r="P2346">
            <v>43223</v>
          </cell>
          <cell r="Q2346" t="str">
            <v>Asignacion del instrumento financiero a las familias ocupantes del predio que hayan superado la fase de verificacion dentro  del marco del Decreto 457 de 2017. LOCALIDAD: KENNEDY; BARRIO: VEREDITAS; ID: 2018-8-384360</v>
          </cell>
          <cell r="R2346">
            <v>54686940</v>
          </cell>
          <cell r="S2346">
            <v>0</v>
          </cell>
          <cell r="T2346">
            <v>0</v>
          </cell>
          <cell r="U2346">
            <v>54686940</v>
          </cell>
          <cell r="V2346">
            <v>54686940</v>
          </cell>
        </row>
        <row r="2347">
          <cell r="J2347">
            <v>1855</v>
          </cell>
          <cell r="K2347">
            <v>43224</v>
          </cell>
          <cell r="L2347" t="str">
            <v>FRANCELINA  DIAZ RINCON</v>
          </cell>
          <cell r="M2347">
            <v>31</v>
          </cell>
          <cell r="N2347" t="str">
            <v>RESOLUCION</v>
          </cell>
          <cell r="O2347">
            <v>1969</v>
          </cell>
          <cell r="P2347">
            <v>43224</v>
          </cell>
          <cell r="Q2347" t="str">
            <v>VUR DE LA ACTUAL VIGENCIA.DTO 255 DE 2013. LOCALIDAD:CIUDAD BOLIVAR; BARRIO:EL MOCHUELO II NORTE; ID:2015-Q09-03262</v>
          </cell>
          <cell r="R2347">
            <v>39062100</v>
          </cell>
          <cell r="S2347">
            <v>0</v>
          </cell>
          <cell r="T2347">
            <v>0</v>
          </cell>
          <cell r="U2347">
            <v>39062100</v>
          </cell>
          <cell r="V2347">
            <v>0</v>
          </cell>
        </row>
        <row r="2348">
          <cell r="J2348">
            <v>1857</v>
          </cell>
          <cell r="K2348">
            <v>43227</v>
          </cell>
          <cell r="L2348" t="str">
            <v>JAIRO  BARRERO DIAZ</v>
          </cell>
          <cell r="M2348">
            <v>31</v>
          </cell>
          <cell r="N2348" t="str">
            <v>RESOLUCION</v>
          </cell>
          <cell r="O2348">
            <v>2008</v>
          </cell>
          <cell r="P2348">
            <v>43227</v>
          </cell>
          <cell r="Q2348" t="str">
            <v>adquisición de mejoras por Dto. 511 de 2010. LOCALIDAD:CIUDAD BOLIVAR ; BARRIO:LOS TRES REYES I ETAPA;ID:2003-19-4556</v>
          </cell>
          <cell r="R2348">
            <v>7392000</v>
          </cell>
          <cell r="S2348">
            <v>0</v>
          </cell>
          <cell r="T2348">
            <v>0</v>
          </cell>
          <cell r="U2348">
            <v>7392000</v>
          </cell>
          <cell r="V2348">
            <v>0</v>
          </cell>
        </row>
        <row r="2349">
          <cell r="J2349">
            <v>1858</v>
          </cell>
          <cell r="K2349">
            <v>43227</v>
          </cell>
          <cell r="L2349" t="str">
            <v>JENNY CATALINA PINZON ZEA</v>
          </cell>
          <cell r="M2349">
            <v>31</v>
          </cell>
          <cell r="N2349" t="str">
            <v>RESOLUCION</v>
          </cell>
          <cell r="O2349">
            <v>1963</v>
          </cell>
          <cell r="P2349">
            <v>43227</v>
          </cell>
          <cell r="Q2349" t="str">
            <v>Asignacion del instrumento financiero a las familias ocupantes del predio que hayan superado la fase de verificacion dentro  del marco del Decreto 457 de 2017. LOCALIDAD: KENNEDY; BARRIO: VEREDITAS; ID: 2018-08-384319</v>
          </cell>
          <cell r="R2349">
            <v>54686940</v>
          </cell>
          <cell r="S2349">
            <v>0</v>
          </cell>
          <cell r="T2349">
            <v>0</v>
          </cell>
          <cell r="U2349">
            <v>54686940</v>
          </cell>
          <cell r="V2349">
            <v>54686940</v>
          </cell>
        </row>
        <row r="2350">
          <cell r="J2350">
            <v>1859</v>
          </cell>
          <cell r="K2350">
            <v>43227</v>
          </cell>
          <cell r="L2350" t="str">
            <v>MARIA FANNY PERDOMO AMAYA</v>
          </cell>
          <cell r="M2350">
            <v>31</v>
          </cell>
          <cell r="N2350" t="str">
            <v>RESOLUCION</v>
          </cell>
          <cell r="O2350">
            <v>2010</v>
          </cell>
          <cell r="P2350">
            <v>43227</v>
          </cell>
          <cell r="Q2350" t="str">
            <v>adquisición de mejoras por Dto. 511 de 2010. LOCALIDAD:CIUDAD BOLIVAR; BARRIO:PARAISO QUIBA; ID:2015-Q04-03691.</v>
          </cell>
          <cell r="R2350">
            <v>65920800</v>
          </cell>
          <cell r="S2350">
            <v>0</v>
          </cell>
          <cell r="T2350">
            <v>0</v>
          </cell>
          <cell r="U2350">
            <v>65920800</v>
          </cell>
          <cell r="V2350">
            <v>0</v>
          </cell>
        </row>
        <row r="2351">
          <cell r="J2351">
            <v>1860</v>
          </cell>
          <cell r="K2351">
            <v>43227</v>
          </cell>
          <cell r="L2351" t="str">
            <v>OVIDIO  MORALES MONSALVE</v>
          </cell>
          <cell r="M2351">
            <v>31</v>
          </cell>
          <cell r="N2351" t="str">
            <v>RESOLUCION</v>
          </cell>
          <cell r="O2351">
            <v>2005</v>
          </cell>
          <cell r="P2351">
            <v>43227</v>
          </cell>
          <cell r="Q2351" t="str">
            <v>Adquisición predial por Dto. 511 de 2010. LOCALIDAD:SAN CRISTOBAL; BARRIO:VILLA DEL CERRO; ID: 2015-Q20-01356</v>
          </cell>
          <cell r="R2351">
            <v>95276430</v>
          </cell>
          <cell r="S2351">
            <v>0</v>
          </cell>
          <cell r="T2351">
            <v>0</v>
          </cell>
          <cell r="U2351">
            <v>95276430</v>
          </cell>
          <cell r="V2351">
            <v>28582929</v>
          </cell>
        </row>
        <row r="2352">
          <cell r="J2352">
            <v>1861</v>
          </cell>
          <cell r="K2352">
            <v>43227</v>
          </cell>
          <cell r="L2352" t="str">
            <v>GONZALO  MUÑOZ GORDILLO</v>
          </cell>
          <cell r="M2352">
            <v>31</v>
          </cell>
          <cell r="N2352" t="str">
            <v>RESOLUCION</v>
          </cell>
          <cell r="O2352">
            <v>2009</v>
          </cell>
          <cell r="P2352">
            <v>43227</v>
          </cell>
          <cell r="Q2352" t="str">
            <v>Adquisición de mejoras por Dto. 511 de 2010. LOCALIDAD:CIUDAD BOLIVAR; BARRIO:ESPINO III; ID: 2012-ALES-198</v>
          </cell>
          <cell r="R2352">
            <v>4536000</v>
          </cell>
          <cell r="S2352">
            <v>0</v>
          </cell>
          <cell r="T2352">
            <v>0</v>
          </cell>
          <cell r="U2352">
            <v>4536000</v>
          </cell>
          <cell r="V2352">
            <v>0</v>
          </cell>
        </row>
        <row r="2353">
          <cell r="J2353">
            <v>1862</v>
          </cell>
          <cell r="K2353">
            <v>43227</v>
          </cell>
          <cell r="L2353" t="str">
            <v>BERNARDO  PALOMINO</v>
          </cell>
          <cell r="M2353">
            <v>31</v>
          </cell>
          <cell r="N2353" t="str">
            <v>RESOLUCION</v>
          </cell>
          <cell r="O2353">
            <v>2004</v>
          </cell>
          <cell r="P2353">
            <v>43227</v>
          </cell>
          <cell r="Q2353" t="str">
            <v>VUR de la actual vigencia.Dto 255 de 2013. LOCALIDAD:USME; BARRIO:ARRAYANES V; ID:2016-Q05-00003</v>
          </cell>
          <cell r="R2353">
            <v>39062100</v>
          </cell>
          <cell r="S2353">
            <v>0</v>
          </cell>
          <cell r="T2353">
            <v>0</v>
          </cell>
          <cell r="U2353">
            <v>39062100</v>
          </cell>
          <cell r="V2353">
            <v>0</v>
          </cell>
        </row>
        <row r="2354">
          <cell r="J2354">
            <v>1864</v>
          </cell>
          <cell r="K2354">
            <v>43227</v>
          </cell>
          <cell r="L2354" t="str">
            <v>SANTIAGO ELIAS CARDONA LOMDOÑO</v>
          </cell>
          <cell r="M2354">
            <v>31</v>
          </cell>
          <cell r="N2354" t="str">
            <v>RESOLUCION</v>
          </cell>
          <cell r="O2354">
            <v>2007</v>
          </cell>
          <cell r="P2354">
            <v>43227</v>
          </cell>
          <cell r="Q2354" t="str">
            <v>adquisición predial por Dto. 511 de 2010. LOCALIDAD:CIUDAD BOLIVAR; BARRIO:PARAISO QUIBA; ID:2013-Q04-00540.</v>
          </cell>
          <cell r="R2354">
            <v>30953090</v>
          </cell>
          <cell r="S2354">
            <v>0</v>
          </cell>
          <cell r="T2354">
            <v>0</v>
          </cell>
          <cell r="U2354">
            <v>30953090</v>
          </cell>
          <cell r="V2354">
            <v>0</v>
          </cell>
        </row>
        <row r="2355">
          <cell r="J2355">
            <v>1865</v>
          </cell>
          <cell r="K2355">
            <v>43228</v>
          </cell>
          <cell r="L2355" t="str">
            <v>TAILOR  MOYA OPUA</v>
          </cell>
          <cell r="M2355">
            <v>31</v>
          </cell>
          <cell r="N2355" t="str">
            <v>RESOLUCION</v>
          </cell>
          <cell r="O2355">
            <v>1943</v>
          </cell>
          <cell r="P2355">
            <v>43228</v>
          </cell>
          <cell r="Q2355" t="str">
            <v>AYUDA TEMPORAL A LAS FAMILIAS DE VARIAS LOCALIDADES, PARA LA RELOCALIZACIÓN DE HOGARES LOCALIZADOS EN ZONAS DE ALTO RIESGO NO MITIGABLE ID:2015-W166-302, LOCALIDAD:19 CIUDAD BOLÍVAR, UPZ:67 LUCERO, SECTOR:WOUNAAN</v>
          </cell>
          <cell r="R2355">
            <v>4574630</v>
          </cell>
          <cell r="S2355">
            <v>0</v>
          </cell>
          <cell r="T2355">
            <v>0</v>
          </cell>
          <cell r="U2355">
            <v>4574630</v>
          </cell>
          <cell r="V2355">
            <v>1829852</v>
          </cell>
        </row>
        <row r="2356">
          <cell r="J2356">
            <v>1866</v>
          </cell>
          <cell r="K2356">
            <v>43228</v>
          </cell>
          <cell r="L2356" t="str">
            <v>CIRO ALBERTO OVALLE SAAVEDRA</v>
          </cell>
          <cell r="M2356">
            <v>31</v>
          </cell>
          <cell r="N2356" t="str">
            <v>RESOLUCION</v>
          </cell>
          <cell r="O2356">
            <v>1953</v>
          </cell>
          <cell r="P2356">
            <v>43228</v>
          </cell>
          <cell r="Q2356" t="str">
            <v>AYUDA TEMPORAL A LAS FAMILIAS DE VARIAS LOCALIDADES, PARA LA RELOCALIZACIÓN DE HOGARES LOCALIZADOS EN ZONAS DE ALTO RIESGO NO MITIGABLE ID:2010-1-11304, LOCALIDAD:01 USAQUÉN, UPZ:11 SAN CRISTÓBAL NORTE, SECTOR:OLA INVERNAL 2010 FOPAE</v>
          </cell>
          <cell r="R2356">
            <v>3874960</v>
          </cell>
          <cell r="S2356">
            <v>0</v>
          </cell>
          <cell r="T2356">
            <v>0</v>
          </cell>
          <cell r="U2356">
            <v>3874960</v>
          </cell>
          <cell r="V2356">
            <v>1937480</v>
          </cell>
        </row>
        <row r="2357">
          <cell r="J2357">
            <v>1867</v>
          </cell>
          <cell r="K2357">
            <v>43228</v>
          </cell>
          <cell r="L2357" t="str">
            <v>MARCO TULIO AVILA GARCIA</v>
          </cell>
          <cell r="M2357">
            <v>31</v>
          </cell>
          <cell r="N2357" t="str">
            <v>RESOLUCION</v>
          </cell>
          <cell r="O2357">
            <v>1954</v>
          </cell>
          <cell r="P2357">
            <v>43228</v>
          </cell>
          <cell r="Q2357" t="str">
            <v>AYUDA TEMPORAL A LAS FAMILIAS DE VARIAS LOCALIDADES, PARA LA RELOCALIZACIÓN DE HOGARES LOCALIZADOS EN ZONAS DE ALTO RIESGO NO MITIGABLE ID:2012-19-13889, LOCALIDAD:19 CIUDAD BOLÍVAR, UPZ:67 LUCERO, SECTOR:</v>
          </cell>
          <cell r="R2357">
            <v>3124968</v>
          </cell>
          <cell r="S2357">
            <v>0</v>
          </cell>
          <cell r="T2357">
            <v>0</v>
          </cell>
          <cell r="U2357">
            <v>3124968</v>
          </cell>
          <cell r="V2357">
            <v>1562484</v>
          </cell>
        </row>
        <row r="2358">
          <cell r="J2358">
            <v>1868</v>
          </cell>
          <cell r="K2358">
            <v>43228</v>
          </cell>
          <cell r="L2358" t="str">
            <v>CINDY PAOLA MARTINEZ ECHEVERRY</v>
          </cell>
          <cell r="M2358">
            <v>31</v>
          </cell>
          <cell r="N2358" t="str">
            <v>RESOLUCION</v>
          </cell>
          <cell r="O2358">
            <v>1980</v>
          </cell>
          <cell r="P2358">
            <v>43228</v>
          </cell>
          <cell r="Q2358" t="str">
            <v>AYUDA TEMPORAL A LAS FAMILIAS DE VARIAS LOCALIDADES, PARA LA RELOCALIZACIÓN DE HOGARES LOCALIZADOS EN ZONAS DE ALTO RIESGO NO MITIGABLE ID:2016-08-14805, LOCALIDAD:08 KENNEDY, UPZ:82 PATIO BONITO, SECTOR:PALMITAS</v>
          </cell>
          <cell r="R2358">
            <v>1829540</v>
          </cell>
          <cell r="S2358">
            <v>0</v>
          </cell>
          <cell r="T2358">
            <v>0</v>
          </cell>
          <cell r="U2358">
            <v>1829540</v>
          </cell>
          <cell r="V2358">
            <v>1372155</v>
          </cell>
        </row>
        <row r="2359">
          <cell r="J2359">
            <v>1869</v>
          </cell>
          <cell r="K2359">
            <v>43228</v>
          </cell>
          <cell r="L2359" t="str">
            <v>MARIA NUBIA CALERO CORRALES</v>
          </cell>
          <cell r="M2359">
            <v>31</v>
          </cell>
          <cell r="N2359" t="str">
            <v>RESOLUCION</v>
          </cell>
          <cell r="O2359">
            <v>1481</v>
          </cell>
          <cell r="P2359">
            <v>43228</v>
          </cell>
          <cell r="Q2359" t="str">
            <v>AYUDA TEMPORAL A LAS FAMILIAS DE VARIAS LOCALIDADES, PARA RELOCALIZACIÓN DE HOGARES LOCALIZADOS EN ZONAS DE ALTO RIESGO NO MITIGABLE ID:2011-19-12582, LOCALIDAD:19 CIUDAD BOLÍVAR, UPZ:67 LUCERO, SECTOR:LIMAS</v>
          </cell>
          <cell r="R2359">
            <v>3383254</v>
          </cell>
          <cell r="S2359">
            <v>0</v>
          </cell>
          <cell r="T2359">
            <v>0</v>
          </cell>
          <cell r="U2359">
            <v>3383254</v>
          </cell>
          <cell r="V2359">
            <v>966644</v>
          </cell>
        </row>
        <row r="2360">
          <cell r="J2360">
            <v>1870</v>
          </cell>
          <cell r="K2360">
            <v>43228</v>
          </cell>
          <cell r="L2360" t="str">
            <v>JOSE MIGUEL SANABRIA ZAPATA</v>
          </cell>
          <cell r="M2360">
            <v>31</v>
          </cell>
          <cell r="N2360" t="str">
            <v>RESOLUCION</v>
          </cell>
          <cell r="O2360">
            <v>1984</v>
          </cell>
          <cell r="P2360">
            <v>43228</v>
          </cell>
          <cell r="Q2360" t="str">
            <v>AYUDA TEMPORAL A LAS FAMILIAS DE VARIAS LOCALIDADES, PARA LA RELOCALIZACIÓN DE HOGARES LOCALIZADOS EN ZONAS DE ALTO RIESGO NO MITIGABLE ID:2014-OTR-00960, LOCALIDAD:19 CIUDAD BOLÍVAR, UPZ:67 LUCERO, SECTOR:TABOR ALTALOMA</v>
          </cell>
          <cell r="R2360">
            <v>4562456</v>
          </cell>
          <cell r="S2360">
            <v>0</v>
          </cell>
          <cell r="T2360">
            <v>0</v>
          </cell>
          <cell r="U2360">
            <v>4562456</v>
          </cell>
          <cell r="V2360">
            <v>2281228</v>
          </cell>
        </row>
        <row r="2361">
          <cell r="J2361">
            <v>1871</v>
          </cell>
          <cell r="K2361">
            <v>43228</v>
          </cell>
          <cell r="L2361" t="str">
            <v>MARLEN  RUBIO AYA</v>
          </cell>
          <cell r="M2361">
            <v>31</v>
          </cell>
          <cell r="N2361" t="str">
            <v>RESOLUCION</v>
          </cell>
          <cell r="O2361">
            <v>1910</v>
          </cell>
          <cell r="P2361">
            <v>43228</v>
          </cell>
          <cell r="Q2361" t="str">
            <v>AYUDA TEMPORAL A LAS FAMILIAS DE VARIAS LOCALIDADES, PARA LA RELOCALIZACIÓN DE HOGARES LOCALIZADOS EN ZONAS DE ALTO RIESGO NO MITIGABLE ID:2012-4-14335, LOCALIDAD:04 SAN CRISTÓBAL, UPZ:50 LA GLORIA.</v>
          </cell>
          <cell r="R2361">
            <v>3659080</v>
          </cell>
          <cell r="S2361">
            <v>0</v>
          </cell>
          <cell r="T2361">
            <v>0</v>
          </cell>
          <cell r="U2361">
            <v>3659080</v>
          </cell>
          <cell r="V2361">
            <v>1829540</v>
          </cell>
        </row>
        <row r="2362">
          <cell r="J2362">
            <v>1872</v>
          </cell>
          <cell r="K2362">
            <v>43228</v>
          </cell>
          <cell r="L2362" t="str">
            <v>HENRY  ALVAREZ</v>
          </cell>
          <cell r="M2362">
            <v>31</v>
          </cell>
          <cell r="N2362" t="str">
            <v>RESOLUCION</v>
          </cell>
          <cell r="O2362">
            <v>1911</v>
          </cell>
          <cell r="P2362">
            <v>43228</v>
          </cell>
          <cell r="Q2362" t="str">
            <v>AYUDA TEMPORAL A LAS FAMILIAS DE VARIAS LOCALIDADES, PARA LA RELOCALIZACIÓN DE HOGARES LOCALIZADOS EN ZONAS DE ALTO RIESGO NO MITIGABLE ID:2015-D227-00060, LOCALIDAD:04 SAN CRISTÓBAL, UPZ:51 LOS LIBERTADORES, SECTOR:SANTA TERESITA</v>
          </cell>
          <cell r="R2362">
            <v>2213148</v>
          </cell>
          <cell r="S2362">
            <v>0</v>
          </cell>
          <cell r="T2362">
            <v>0</v>
          </cell>
          <cell r="U2362">
            <v>2213148</v>
          </cell>
          <cell r="V2362">
            <v>1475432</v>
          </cell>
        </row>
        <row r="2363">
          <cell r="J2363">
            <v>1873</v>
          </cell>
          <cell r="K2363">
            <v>43228</v>
          </cell>
          <cell r="L2363" t="str">
            <v>ADRIAN MARCELO ESPITIA SAGANOME</v>
          </cell>
          <cell r="M2363">
            <v>31</v>
          </cell>
          <cell r="N2363" t="str">
            <v>RESOLUCION</v>
          </cell>
          <cell r="O2363">
            <v>2015</v>
          </cell>
          <cell r="P2363">
            <v>43228</v>
          </cell>
          <cell r="Q2363" t="str">
            <v>AYUDA TEMPORAL A LAS FAMILIAS DE VARIAS LOCALIDADES, PARA LA RELOCALIZACIÓN DE HOGARES LOCALIZADOS EN ZONAS DE ALTO RIESGO NO MITIGABLE ID:2014-OTR-01256, LOCALIDAD:11 SUBA, UPZ:71 TIBABUYES, SECTOR:GAVILANES</v>
          </cell>
          <cell r="R2363">
            <v>3143912</v>
          </cell>
          <cell r="S2363">
            <v>0</v>
          </cell>
          <cell r="T2363">
            <v>0</v>
          </cell>
          <cell r="U2363">
            <v>3143912</v>
          </cell>
          <cell r="V2363">
            <v>1571956</v>
          </cell>
        </row>
        <row r="2364">
          <cell r="J2364">
            <v>1874</v>
          </cell>
          <cell r="K2364">
            <v>43228</v>
          </cell>
          <cell r="L2364" t="str">
            <v>RUTH ZAFIR ROJAS CASTILLO</v>
          </cell>
          <cell r="M2364">
            <v>31</v>
          </cell>
          <cell r="N2364" t="str">
            <v>RESOLUCION</v>
          </cell>
          <cell r="O2364">
            <v>2016</v>
          </cell>
          <cell r="P2364">
            <v>43228</v>
          </cell>
          <cell r="Q2364" t="str">
            <v>AYUDA TEMPORAL A LAS FAMILIAS DE VARIAS LOCALIDADES, PARA LA RELOCALIZACIÓN DE HOGARES LOCALIZADOS EN ZONAS DE ALTO RIESGO NO MITIGABLE ID:2015-Q20-01326, LOCALIDAD:04 SAN CRISTÓBAL, UPZ:50 LA GLORIA, SECTOR:LA CHIGUAZA</v>
          </cell>
          <cell r="R2364">
            <v>4499952</v>
          </cell>
          <cell r="S2364">
            <v>0</v>
          </cell>
          <cell r="T2364">
            <v>0</v>
          </cell>
          <cell r="U2364">
            <v>4499952</v>
          </cell>
          <cell r="V2364">
            <v>2249976</v>
          </cell>
        </row>
        <row r="2365">
          <cell r="J2365">
            <v>1875</v>
          </cell>
          <cell r="K2365">
            <v>43228</v>
          </cell>
          <cell r="L2365" t="str">
            <v>CLAUDIA CATALINA CASTILLO</v>
          </cell>
          <cell r="M2365">
            <v>31</v>
          </cell>
          <cell r="N2365" t="str">
            <v>RESOLUCION</v>
          </cell>
          <cell r="O2365">
            <v>1913</v>
          </cell>
          <cell r="P2365">
            <v>43228</v>
          </cell>
          <cell r="Q2365" t="str">
            <v>AYUDA TEMPORAL A LAS FAMILIAS DE VARIAS LOCALIDADES, PARA LA RELOCALIZACIÓN DE HOGARES LOCALIZADOS EN ZONAS DE ALTO RIESGO NO MITIGABLE ID:2013-Q21-00594, LOCALIDAD: 19 CIUDAD BOLIVAR, UPZ: 67 LUCERO, SECTOR: BRAZO DERECHO DE LIMAS</v>
          </cell>
          <cell r="R2365">
            <v>2744310</v>
          </cell>
          <cell r="S2365">
            <v>0</v>
          </cell>
          <cell r="T2365">
            <v>0</v>
          </cell>
          <cell r="U2365">
            <v>2744310</v>
          </cell>
          <cell r="V2365">
            <v>1372155</v>
          </cell>
        </row>
        <row r="2366">
          <cell r="J2366">
            <v>1876</v>
          </cell>
          <cell r="K2366">
            <v>43228</v>
          </cell>
          <cell r="L2366" t="str">
            <v>JESUS MARIO MERCAZA CHAMAPURO</v>
          </cell>
          <cell r="M2366">
            <v>31</v>
          </cell>
          <cell r="N2366" t="str">
            <v>RESOLUCION</v>
          </cell>
          <cell r="O2366">
            <v>1914</v>
          </cell>
          <cell r="P2366">
            <v>43228</v>
          </cell>
          <cell r="Q2366" t="str">
            <v>AYUDA TEMPORAL A LAS FAMILIAS DE VARIAS LOCALIDADES, PARA LA RELOCALIZACIÓN DE HOGARES LOCALIZADOS EN ZONAS DE ALTO RIESGO NO MITIGABLE ID:2015-W166-422, LOCALIDAD:19 CIUDAD BOLÍVAR, UPZ:67 LUCERO, SECTOR:WOUNAAN</v>
          </cell>
          <cell r="R2366">
            <v>1082528</v>
          </cell>
          <cell r="S2366">
            <v>541264</v>
          </cell>
          <cell r="T2366">
            <v>0</v>
          </cell>
          <cell r="U2366">
            <v>541264</v>
          </cell>
          <cell r="V2366">
            <v>541264</v>
          </cell>
        </row>
        <row r="2367">
          <cell r="J2367">
            <v>1877</v>
          </cell>
          <cell r="K2367">
            <v>43228</v>
          </cell>
          <cell r="L2367" t="str">
            <v>YEIMMY AIDEE MOYANO ESPINOSA</v>
          </cell>
          <cell r="M2367">
            <v>31</v>
          </cell>
          <cell r="N2367" t="str">
            <v>RESOLUCION</v>
          </cell>
          <cell r="O2367">
            <v>2017</v>
          </cell>
          <cell r="P2367">
            <v>43228</v>
          </cell>
          <cell r="Q2367" t="str">
            <v>AYUDA TEMPORAL A LAS FAMILIAS DE VARIAS LOCALIDADES, PARA LA RELOCALIZACIÓN DE HOGARES LOCALIZADOS EN ZONAS DE ALTO RIESGO NO MITIGABLE ID:2011-4-13626, LOCALIDAD:04 SAN CRISTÓBAL, UPZ:32 SAN BLAS,</v>
          </cell>
          <cell r="R2367">
            <v>3515589</v>
          </cell>
          <cell r="S2367">
            <v>0</v>
          </cell>
          <cell r="T2367">
            <v>0</v>
          </cell>
          <cell r="U2367">
            <v>3515589</v>
          </cell>
          <cell r="V2367">
            <v>1562484</v>
          </cell>
        </row>
        <row r="2368">
          <cell r="J2368">
            <v>1878</v>
          </cell>
          <cell r="K2368">
            <v>43228</v>
          </cell>
          <cell r="L2368" t="str">
            <v>DOSITEO  MORENO</v>
          </cell>
          <cell r="M2368">
            <v>31</v>
          </cell>
          <cell r="N2368" t="str">
            <v>RESOLUCION</v>
          </cell>
          <cell r="O2368">
            <v>1915</v>
          </cell>
          <cell r="P2368">
            <v>43228</v>
          </cell>
          <cell r="Q2368" t="str">
            <v>AYUDA TEMPORAL A LAS FAMILIAS DE VARIAS LOCALIDADES, PARA LA RELOCALIZACIÓN DE HOGARES LOCALIZADOS EN ZONAS DE ALTO RIESGO NO MITIGABLE ID:2013000131, LOCALIDAD:04 SAN CRISTÓBAL, UPZ:51 LOS LIBERTADORES, SECTOR:QUEBRADA VEREJONES</v>
          </cell>
          <cell r="R2368">
            <v>4429638</v>
          </cell>
          <cell r="S2368">
            <v>0</v>
          </cell>
          <cell r="T2368">
            <v>0</v>
          </cell>
          <cell r="U2368">
            <v>4429638</v>
          </cell>
          <cell r="V2368">
            <v>1968728</v>
          </cell>
        </row>
        <row r="2369">
          <cell r="J2369">
            <v>1879</v>
          </cell>
          <cell r="K2369">
            <v>43228</v>
          </cell>
          <cell r="L2369" t="str">
            <v>JAVIER  CORTES SANCHEZ</v>
          </cell>
          <cell r="M2369">
            <v>31</v>
          </cell>
          <cell r="N2369" t="str">
            <v>RESOLUCION</v>
          </cell>
          <cell r="O2369">
            <v>1916</v>
          </cell>
          <cell r="P2369">
            <v>43228</v>
          </cell>
          <cell r="Q2369" t="str">
            <v>AYUDA TEMPORAL A LAS FAMILIAS DE VARIAS LOCALIDADES, PARA LA RELOCALIZACIÓN DE HOGARES LOCALIZADOS EN ZONAS DE ALTO RIESGO NO MITIGABLE ID:2011-18-13403, LOCALIDAD:18 RAFAEL URIBE URIBE, UPZ:55 DIANA TURBAY</v>
          </cell>
          <cell r="R2369">
            <v>4001913</v>
          </cell>
          <cell r="S2369">
            <v>0</v>
          </cell>
          <cell r="T2369">
            <v>0</v>
          </cell>
          <cell r="U2369">
            <v>4001913</v>
          </cell>
          <cell r="V2369">
            <v>2223285</v>
          </cell>
        </row>
        <row r="2370">
          <cell r="J2370">
            <v>1880</v>
          </cell>
          <cell r="K2370">
            <v>43229</v>
          </cell>
          <cell r="L2370" t="str">
            <v>JENNY MARITZA JAJOY JANSASOY</v>
          </cell>
          <cell r="M2370">
            <v>31</v>
          </cell>
          <cell r="N2370" t="str">
            <v>RESOLUCION</v>
          </cell>
          <cell r="O2370">
            <v>1917</v>
          </cell>
          <cell r="P2370">
            <v>43229</v>
          </cell>
          <cell r="Q2370" t="str">
            <v>AYUDA TEMPORAL A LAS FAMILIAS DE VARIAS LOCALIDADES, PARA LA RELOCALIZACIÓN DE HOGARES LOCALIZADOS EN ZONAS DE ALTO RIESGO NO MITIGABLE ID:2014-C01-00689, LOCALIDAD:19 CIUDAD BOLÍVAR, UPZ:68 EL TESORO, SECTOR:</v>
          </cell>
          <cell r="R2370">
            <v>4324509</v>
          </cell>
          <cell r="S2370">
            <v>0</v>
          </cell>
          <cell r="T2370">
            <v>0</v>
          </cell>
          <cell r="U2370">
            <v>4324509</v>
          </cell>
          <cell r="V2370">
            <v>1922004</v>
          </cell>
        </row>
        <row r="2371">
          <cell r="J2371">
            <v>1881</v>
          </cell>
          <cell r="K2371">
            <v>43229</v>
          </cell>
          <cell r="L2371" t="str">
            <v>SARA MABEL CASTILLO NUÑEZ</v>
          </cell>
          <cell r="M2371">
            <v>31</v>
          </cell>
          <cell r="N2371" t="str">
            <v>RESOLUCION</v>
          </cell>
          <cell r="O2371">
            <v>1918</v>
          </cell>
          <cell r="P2371">
            <v>43229</v>
          </cell>
          <cell r="Q2371" t="str">
            <v>AYUDA TEMPORAL A LAS FAMILIAS DE VARIAS LOCALIDADES, PARA LA RELOCALIZACIÓN DE HOGARES LOCALIZADOS EN ZONAS DE ALTO RIESGO NO MITIGABLE ID:2016-08-14885, LOCALIDAD:08 KENNEDY, UPZ:82 PATIO BONITO, SECTOR:PALMITAS</v>
          </cell>
          <cell r="R2371">
            <v>3836128</v>
          </cell>
          <cell r="S2371">
            <v>0</v>
          </cell>
          <cell r="T2371">
            <v>0</v>
          </cell>
          <cell r="U2371">
            <v>3836128</v>
          </cell>
          <cell r="V2371">
            <v>1918064</v>
          </cell>
        </row>
        <row r="2372">
          <cell r="J2372">
            <v>1882</v>
          </cell>
          <cell r="K2372">
            <v>43229</v>
          </cell>
          <cell r="L2372" t="str">
            <v>MAGOLA  VALENCIA ARIAS</v>
          </cell>
          <cell r="M2372">
            <v>31</v>
          </cell>
          <cell r="N2372" t="str">
            <v>RESOLUCION</v>
          </cell>
          <cell r="O2372">
            <v>1919</v>
          </cell>
          <cell r="P2372">
            <v>43229</v>
          </cell>
          <cell r="Q2372" t="str">
            <v>AYUDA TEMPORAL A LAS FAMILIAS DE VARIAS LOCALIDADES, PARA LA RELOCALIZACIÓN DE HOGARES LOCALIZADOS EN ZONAS DE ALTO RIESGO NO MITIGABLE ID:2011-18-13455, LOCALIDAD:18 RAFAEL URIBE URIBE, UPZ:55 DIANA TURBAY, SECTOR:</v>
          </cell>
          <cell r="R2372">
            <v>3124968</v>
          </cell>
          <cell r="S2372">
            <v>0</v>
          </cell>
          <cell r="T2372">
            <v>0</v>
          </cell>
          <cell r="U2372">
            <v>3124968</v>
          </cell>
          <cell r="V2372">
            <v>1562484</v>
          </cell>
        </row>
        <row r="2373">
          <cell r="J2373">
            <v>1883</v>
          </cell>
          <cell r="K2373">
            <v>43229</v>
          </cell>
          <cell r="L2373" t="str">
            <v>SANDRA PATRICIA MENDEZ VELANDIA</v>
          </cell>
          <cell r="M2373">
            <v>31</v>
          </cell>
          <cell r="N2373" t="str">
            <v>RESOLUCION</v>
          </cell>
          <cell r="O2373">
            <v>1920</v>
          </cell>
          <cell r="P2373">
            <v>43229</v>
          </cell>
          <cell r="Q2373" t="str">
            <v>AYUDA TEMPORAL A LAS FAMILIAS DE VARIAS LOCALIDADES, PARA LA RELOCALIZACIÓN DE HOGARES LOCALIZADOS EN ZONAS DE ALTO RIESGO NO MITIGABLE ID:2011-4-12650, LOCALIDAD:04 SAN CRISTÓBAL, UPZ:32 SAN BLAS, SECTOR:</v>
          </cell>
          <cell r="R2373">
            <v>3659080</v>
          </cell>
          <cell r="S2373">
            <v>0</v>
          </cell>
          <cell r="T2373">
            <v>0</v>
          </cell>
          <cell r="U2373">
            <v>3659080</v>
          </cell>
          <cell r="V2373">
            <v>1829540</v>
          </cell>
        </row>
        <row r="2374">
          <cell r="J2374">
            <v>1884</v>
          </cell>
          <cell r="K2374">
            <v>43229</v>
          </cell>
          <cell r="L2374" t="str">
            <v>MARIA RITA ESPEJO DIAZ</v>
          </cell>
          <cell r="M2374">
            <v>31</v>
          </cell>
          <cell r="N2374" t="str">
            <v>RESOLUCION</v>
          </cell>
          <cell r="O2374">
            <v>1936</v>
          </cell>
          <cell r="P2374">
            <v>43229</v>
          </cell>
          <cell r="Q2374" t="str">
            <v>AYUDA TEMPORAL A LAS FAMILIAS DE VARIAS LOCALIDADES, PARA LA RELOCALIZACIÓN DE HOGARES LOCALIZADOS EN ZONAS DE ALTO RIESGO NO MITIGABLE ID:2013-Q21-00663, LOCALIDAD:19 CIUDAD BOLÍVAR, UPZ:67 LUCERO, SECTOR:BRAZO DERECHO DE LIMAS</v>
          </cell>
          <cell r="R2374">
            <v>3374968</v>
          </cell>
          <cell r="S2374">
            <v>0</v>
          </cell>
          <cell r="T2374">
            <v>0</v>
          </cell>
          <cell r="U2374">
            <v>3374968</v>
          </cell>
          <cell r="V2374">
            <v>1687484</v>
          </cell>
        </row>
        <row r="2375">
          <cell r="J2375">
            <v>1885</v>
          </cell>
          <cell r="K2375">
            <v>43229</v>
          </cell>
          <cell r="L2375" t="str">
            <v>KENDRY ROBERT MIRANDA</v>
          </cell>
          <cell r="M2375">
            <v>31</v>
          </cell>
          <cell r="N2375" t="str">
            <v>RESOLUCION</v>
          </cell>
          <cell r="O2375">
            <v>1937</v>
          </cell>
          <cell r="P2375">
            <v>43229</v>
          </cell>
          <cell r="Q2375" t="str">
            <v>AYUDA TEMPORAL A LAS FAMILIAS DE VARIAS LOCALIDADES, PARA LA RELOCALIZACIÓN DE HOGARES LOCALIZADOS EN ZONAS DE ALTO RIESGO NO MITIGABLE ID:2014-OTR-01100, LOCALIDAD:19 CIUDAD BOLÍVAR, UPZ:67 LUCERO, SECTOR:TABOR ALTALOMA</v>
          </cell>
          <cell r="R2375">
            <v>2734347</v>
          </cell>
          <cell r="S2375">
            <v>0</v>
          </cell>
          <cell r="T2375">
            <v>0</v>
          </cell>
          <cell r="U2375">
            <v>2734347</v>
          </cell>
          <cell r="V2375">
            <v>1562484</v>
          </cell>
        </row>
        <row r="2376">
          <cell r="J2376">
            <v>1886</v>
          </cell>
          <cell r="K2376">
            <v>43229</v>
          </cell>
          <cell r="L2376" t="str">
            <v>WILLIAM GERMAN ROJAS RUIZ</v>
          </cell>
          <cell r="M2376">
            <v>31</v>
          </cell>
          <cell r="N2376" t="str">
            <v>RESOLUCION</v>
          </cell>
          <cell r="O2376">
            <v>1938</v>
          </cell>
          <cell r="P2376">
            <v>43229</v>
          </cell>
          <cell r="Q2376" t="str">
            <v>AYUDA TEMPORAL A LAS FAMILIAS DE VARIAS LOCALIDADES, PARA LA RELOCALIZACIÓN DE HOGARES LOCALIZADOS EN ZONAS DE ALTO RIESGO NO MITIGABLE ID:2013-Q17-00041, LOCALIDAD:19 CIUDAD BOLÍVAR, UPZ:67 LUCERO, SECTOR:QUEBRADA EL INFIERNO</v>
          </cell>
          <cell r="R2376">
            <v>3448000</v>
          </cell>
          <cell r="S2376">
            <v>0</v>
          </cell>
          <cell r="T2376">
            <v>0</v>
          </cell>
          <cell r="U2376">
            <v>3448000</v>
          </cell>
          <cell r="V2376">
            <v>1724000</v>
          </cell>
        </row>
        <row r="2377">
          <cell r="J2377">
            <v>1887</v>
          </cell>
          <cell r="K2377">
            <v>43229</v>
          </cell>
          <cell r="L2377" t="str">
            <v>MARIA GLADYS MONTERO LEON</v>
          </cell>
          <cell r="M2377">
            <v>31</v>
          </cell>
          <cell r="N2377" t="str">
            <v>RESOLUCION</v>
          </cell>
          <cell r="O2377">
            <v>1939</v>
          </cell>
          <cell r="P2377">
            <v>43229</v>
          </cell>
          <cell r="Q2377" t="str">
            <v>AYUDA TEMPORAL A LAS FAMILIAS DE VARIAS LOCALIDADES, PARA LA RELOCALIZACIÓN DE HOGARES LOCALIZADOS EN ZONAS DE ALTO RIESGO NO MITIGABLE ID:2012-5-14015, LOCALIDAD:05 USME, UPZ:56 DANUBIO, SECTOR:</v>
          </cell>
          <cell r="R2377">
            <v>3342144</v>
          </cell>
          <cell r="S2377">
            <v>0</v>
          </cell>
          <cell r="T2377">
            <v>0</v>
          </cell>
          <cell r="U2377">
            <v>3342144</v>
          </cell>
          <cell r="V2377">
            <v>1671072</v>
          </cell>
        </row>
        <row r="2378">
          <cell r="J2378">
            <v>1888</v>
          </cell>
          <cell r="K2378">
            <v>43229</v>
          </cell>
          <cell r="L2378" t="str">
            <v>LUIS CARLOS RESTREPO TORRES</v>
          </cell>
          <cell r="M2378">
            <v>31</v>
          </cell>
          <cell r="N2378" t="str">
            <v>RESOLUCION</v>
          </cell>
          <cell r="O2378">
            <v>1940</v>
          </cell>
          <cell r="P2378">
            <v>43229</v>
          </cell>
          <cell r="Q2378" t="str">
            <v>AYUDA TEMPORAL A LAS FAMILIAS DE VARIAS LOCALIDADES, PARA LA RELOCALIZACIÓN DE HOGARES LOCALIZADOS EN ZONAS DE ALTO RIESGO NO MITIGABLE ID:2011-19-13702, LOCALIDAD:19 CIUDAD BOLÍVAR, UPZ:67 LUCERO, SECTOR:</v>
          </cell>
          <cell r="R2378">
            <v>3557256</v>
          </cell>
          <cell r="S2378">
            <v>0</v>
          </cell>
          <cell r="T2378">
            <v>0</v>
          </cell>
          <cell r="U2378">
            <v>3557256</v>
          </cell>
          <cell r="V2378">
            <v>1778628</v>
          </cell>
        </row>
        <row r="2379">
          <cell r="J2379">
            <v>1890</v>
          </cell>
          <cell r="K2379">
            <v>43229</v>
          </cell>
          <cell r="L2379" t="str">
            <v>TELMO  ISMARE PIRAZA</v>
          </cell>
          <cell r="M2379">
            <v>31</v>
          </cell>
          <cell r="N2379" t="str">
            <v>RESOLUCION</v>
          </cell>
          <cell r="O2379">
            <v>2027</v>
          </cell>
          <cell r="P2379">
            <v>43229</v>
          </cell>
          <cell r="Q2379" t="str">
            <v>AYUDA TEMPORAL A LAS FAMILIAS DE VARIAS LOCALIDADES, PARA LA RELOCALIZACIÓN DE HOGARES LOCALIZADOS EN ZONAS DE ALTO RIESGO NO MITIGABLE ID:2014-W166-093, LOCALIDAD:19 CIUDAD BOLÍVAR, UPZ:68 EL TESORO, SECTOR:WOUNAAN</v>
          </cell>
          <cell r="R2379">
            <v>5754190</v>
          </cell>
          <cell r="S2379">
            <v>0</v>
          </cell>
          <cell r="T2379">
            <v>0</v>
          </cell>
          <cell r="U2379">
            <v>5754190</v>
          </cell>
          <cell r="V2379">
            <v>2877095</v>
          </cell>
        </row>
        <row r="2380">
          <cell r="J2380">
            <v>1891</v>
          </cell>
          <cell r="K2380">
            <v>43230</v>
          </cell>
          <cell r="L2380" t="str">
            <v>SANDRA YANET PARRA RODRIGUEZ</v>
          </cell>
          <cell r="M2380">
            <v>31</v>
          </cell>
          <cell r="N2380" t="str">
            <v>RESOLUCION</v>
          </cell>
          <cell r="O2380">
            <v>1968</v>
          </cell>
          <cell r="P2380">
            <v>43230</v>
          </cell>
          <cell r="Q2380" t="str">
            <v>VUR de la actual vigencia (Asignacion primera vez).Dto 255 de 2013. LOCALIDAD:CIUDAD BOLIVAR; BARRIO:PARAISO QUIBA; ID:2014-Q21-00711</v>
          </cell>
          <cell r="R2380">
            <v>39062100</v>
          </cell>
          <cell r="S2380">
            <v>0</v>
          </cell>
          <cell r="T2380">
            <v>0</v>
          </cell>
          <cell r="U2380">
            <v>39062100</v>
          </cell>
          <cell r="V2380">
            <v>0</v>
          </cell>
        </row>
        <row r="2381">
          <cell r="J2381">
            <v>1892</v>
          </cell>
          <cell r="K2381">
            <v>43230</v>
          </cell>
          <cell r="L2381" t="str">
            <v>MARIA ISABEL MORENO GARZON</v>
          </cell>
          <cell r="M2381">
            <v>31</v>
          </cell>
          <cell r="N2381" t="str">
            <v>RESOLUCION</v>
          </cell>
          <cell r="O2381">
            <v>2032</v>
          </cell>
          <cell r="P2381">
            <v>43230</v>
          </cell>
          <cell r="Q2381" t="str">
            <v>AYUDA TEMPORAL A LAS FAMILIAS DE VARIAS LOCALIDADES, PARA LA RELOCALIZACIÓN DE HOGARES LOCALIZADOS EN ZONAS DE ALTO RIESGO NO MITIGABLE ID:2013-Q06-00011, LOCALIDAD:19 CIUDAD BOLÍVAR, UPZ:67 LUCERO, SECTOR:QUEBRADA CAÑO BAÚL</v>
          </cell>
          <cell r="R2381">
            <v>3448000</v>
          </cell>
          <cell r="S2381">
            <v>0</v>
          </cell>
          <cell r="T2381">
            <v>0</v>
          </cell>
          <cell r="U2381">
            <v>3448000</v>
          </cell>
          <cell r="V2381">
            <v>1724000</v>
          </cell>
        </row>
        <row r="2382">
          <cell r="J2382">
            <v>1893</v>
          </cell>
          <cell r="K2382">
            <v>43230</v>
          </cell>
          <cell r="L2382" t="str">
            <v>SANDRA YANETH CASANOVA LOPEZ</v>
          </cell>
          <cell r="M2382">
            <v>31</v>
          </cell>
          <cell r="N2382" t="str">
            <v>RESOLUCION</v>
          </cell>
          <cell r="O2382">
            <v>1853</v>
          </cell>
          <cell r="P2382">
            <v>43230</v>
          </cell>
          <cell r="Q2382" t="str">
            <v>AYUDA TEMPORAL A LAS FAMILIAS DE VARIAS LOCALIDADES, PARA LA RELOCALIZACIÓN DE HOGARES LOCALIZADOS EN ZONAS DE ALTO RIESGO NO MITIGABLE ID:2011-4-12681, LOCALIDAD:04 SAN CRISTÓBAL, UPZ:32 SAN BLAS</v>
          </cell>
          <cell r="R2382">
            <v>4679092</v>
          </cell>
          <cell r="S2382">
            <v>0</v>
          </cell>
          <cell r="T2382">
            <v>0</v>
          </cell>
          <cell r="U2382">
            <v>4679092</v>
          </cell>
          <cell r="V2382">
            <v>1276116</v>
          </cell>
        </row>
        <row r="2383">
          <cell r="J2383">
            <v>1894</v>
          </cell>
          <cell r="K2383">
            <v>43230</v>
          </cell>
          <cell r="L2383" t="str">
            <v>JULY JOHANNA USMA USMA</v>
          </cell>
          <cell r="M2383">
            <v>31</v>
          </cell>
          <cell r="N2383" t="str">
            <v>RESOLUCION</v>
          </cell>
          <cell r="O2383">
            <v>1912</v>
          </cell>
          <cell r="P2383">
            <v>43230</v>
          </cell>
          <cell r="Q2383" t="str">
            <v>AYUDA TEMPORAL A LAS FAMILIAS DE VARIAS LOCALIDADES, PARA LA RELOCALIZACIÓN DE HOGARES LOCALIZADOS EN ZONAS DE ALTO RIESGO NO MITIGABLE ID:2017-04-14980, LOCALIDAD:04 SAN CRISTÓBAL, UPZ:32 SAN BLAS</v>
          </cell>
          <cell r="R2383">
            <v>5468690</v>
          </cell>
          <cell r="S2383">
            <v>0</v>
          </cell>
          <cell r="T2383">
            <v>0</v>
          </cell>
          <cell r="U2383">
            <v>5468690</v>
          </cell>
          <cell r="V2383">
            <v>2187476</v>
          </cell>
        </row>
        <row r="2384">
          <cell r="J2384">
            <v>1908</v>
          </cell>
          <cell r="K2384">
            <v>43235</v>
          </cell>
          <cell r="L2384" t="str">
            <v>DIOMILA  SUAREZ MUINANE</v>
          </cell>
          <cell r="M2384">
            <v>31</v>
          </cell>
          <cell r="N2384" t="str">
            <v>RESOLUCION</v>
          </cell>
          <cell r="O2384">
            <v>2035</v>
          </cell>
          <cell r="P2384">
            <v>43235</v>
          </cell>
          <cell r="Q2384" t="str">
            <v>AYUDA TEMPORAL A LAS FAMILIAS DE VARIAS LOCALIDADES, PARA LA RELOCALIZACIÓN DE HOGARES LOCALIZADOS EN ZONAS DE ALTO RIESGO NO MITIGABLE ID:2015-W166-506, LOCALIDAD:03 SANTA FE, UPZ:92 LA MACARENA, SECTOR:UITOTO</v>
          </cell>
          <cell r="R2384">
            <v>5283690</v>
          </cell>
          <cell r="S2384">
            <v>0</v>
          </cell>
          <cell r="T2384">
            <v>0</v>
          </cell>
          <cell r="U2384">
            <v>5283690</v>
          </cell>
          <cell r="V2384">
            <v>2113476</v>
          </cell>
        </row>
        <row r="2385">
          <cell r="J2385">
            <v>1909</v>
          </cell>
          <cell r="K2385">
            <v>43235</v>
          </cell>
          <cell r="L2385" t="str">
            <v>ANA FLOR MARIN MEDELLIN</v>
          </cell>
          <cell r="M2385">
            <v>31</v>
          </cell>
          <cell r="N2385" t="str">
            <v>RESOLUCION</v>
          </cell>
          <cell r="O2385">
            <v>2034</v>
          </cell>
          <cell r="P2385">
            <v>43235</v>
          </cell>
          <cell r="Q2385" t="str">
            <v>AYUDA TEMPORAL A LAS FAMILIAS DE VARIAS LOCALIDADES, PARA LA RELOCALIZACIÓN DE HOGARES LOCALIZADOS EN ZONAS DE ALTO RIESGO NO MITIGABLE ID:2013-Q10-00425, LOCALIDAD:04 SAN CRISTÓBAL, UPZ:51 LOS LIBERTADORES, SECTOR:QUEBRADA VEREJONES</v>
          </cell>
          <cell r="R2385">
            <v>3249968</v>
          </cell>
          <cell r="S2385">
            <v>0</v>
          </cell>
          <cell r="T2385">
            <v>0</v>
          </cell>
          <cell r="U2385">
            <v>3249968</v>
          </cell>
          <cell r="V2385">
            <v>1624984</v>
          </cell>
        </row>
        <row r="2386">
          <cell r="J2386">
            <v>1913</v>
          </cell>
          <cell r="K2386">
            <v>43237</v>
          </cell>
          <cell r="L2386" t="str">
            <v>OSCAR MAURICIO MEDINA VARGAS</v>
          </cell>
          <cell r="M2386">
            <v>31</v>
          </cell>
          <cell r="N2386" t="str">
            <v>RESOLUCION</v>
          </cell>
          <cell r="O2386">
            <v>2072</v>
          </cell>
          <cell r="P2386">
            <v>43237</v>
          </cell>
          <cell r="Q2386" t="str">
            <v>Vur conforme al avalúo comercial.Dto 255 de 2013 . LOCALIDAD:USAQUEN; BARRIO:TIBABITA RURAL; ID: 2006-1-7963</v>
          </cell>
          <cell r="R2386">
            <v>8741700</v>
          </cell>
          <cell r="S2386">
            <v>0</v>
          </cell>
          <cell r="T2386">
            <v>0</v>
          </cell>
          <cell r="U2386">
            <v>8741700</v>
          </cell>
          <cell r="V2386">
            <v>0</v>
          </cell>
        </row>
        <row r="2387">
          <cell r="J2387">
            <v>1914</v>
          </cell>
          <cell r="K2387">
            <v>43237</v>
          </cell>
          <cell r="L2387" t="str">
            <v>ISABEL CRISTINA VARGAS CRISTANCHO</v>
          </cell>
          <cell r="M2387">
            <v>31</v>
          </cell>
          <cell r="N2387" t="str">
            <v>RESOLUCION</v>
          </cell>
          <cell r="O2387">
            <v>2070</v>
          </cell>
          <cell r="P2387">
            <v>43237</v>
          </cell>
          <cell r="Q2387" t="str">
            <v>adquisición predial por Dto. 511 de 2010. LOCALIDAD:SAN CRISTOBAL; BARRIO:MONTEBELLO; ID:2010-4-11874</v>
          </cell>
          <cell r="R2387">
            <v>240679600</v>
          </cell>
          <cell r="S2387">
            <v>0</v>
          </cell>
          <cell r="T2387">
            <v>0</v>
          </cell>
          <cell r="U2387">
            <v>240679600</v>
          </cell>
          <cell r="V2387">
            <v>72203880</v>
          </cell>
        </row>
        <row r="2388">
          <cell r="J2388">
            <v>1915</v>
          </cell>
          <cell r="K2388">
            <v>43237</v>
          </cell>
          <cell r="L2388" t="str">
            <v>DIOSELINA  ARIAS DE TOVAR</v>
          </cell>
          <cell r="M2388">
            <v>31</v>
          </cell>
          <cell r="N2388" t="str">
            <v>RESOLUCION</v>
          </cell>
          <cell r="O2388">
            <v>2069</v>
          </cell>
          <cell r="P2388">
            <v>43237</v>
          </cell>
          <cell r="Q2388" t="str">
            <v>VUR de la actual vigencia.Dto 255 de 2013. LOCALIDAD:USAQUEN; BARRIO:EL CODITO; ID: 2007-1-10589</v>
          </cell>
          <cell r="R2388">
            <v>39062100</v>
          </cell>
          <cell r="S2388">
            <v>0</v>
          </cell>
          <cell r="T2388">
            <v>0</v>
          </cell>
          <cell r="U2388">
            <v>39062100</v>
          </cell>
          <cell r="V2388">
            <v>0</v>
          </cell>
        </row>
        <row r="2389">
          <cell r="J2389">
            <v>1916</v>
          </cell>
          <cell r="K2389">
            <v>43237</v>
          </cell>
          <cell r="L2389" t="str">
            <v>MIGUEL JOSE DELGADO</v>
          </cell>
          <cell r="M2389">
            <v>31</v>
          </cell>
          <cell r="N2389" t="str">
            <v>RESOLUCION</v>
          </cell>
          <cell r="O2389">
            <v>2065</v>
          </cell>
          <cell r="P2389">
            <v>43237</v>
          </cell>
          <cell r="Q2389" t="str">
            <v>Asignacion del instrumento financiero a las familias ocupantes del predio que hayan superado la fase de verificacion dentro  del marco del Decreto 457 de 2017. LOCALIDAD: KENNEDY; BARRIO: VEREDITAS; ID: 2017-8-383649</v>
          </cell>
          <cell r="R2389">
            <v>54686940</v>
          </cell>
          <cell r="S2389">
            <v>0</v>
          </cell>
          <cell r="T2389">
            <v>0</v>
          </cell>
          <cell r="U2389">
            <v>54686940</v>
          </cell>
          <cell r="V2389">
            <v>54686940</v>
          </cell>
        </row>
        <row r="2390">
          <cell r="J2390">
            <v>1932</v>
          </cell>
          <cell r="K2390">
            <v>43242</v>
          </cell>
          <cell r="L2390" t="str">
            <v>LUIS ALBERTO ZAMBRANO LOPEZ</v>
          </cell>
          <cell r="M2390">
            <v>31</v>
          </cell>
          <cell r="N2390" t="str">
            <v>RESOLUCION</v>
          </cell>
          <cell r="O2390">
            <v>2079</v>
          </cell>
          <cell r="P2390">
            <v>43242</v>
          </cell>
          <cell r="Q2390" t="str">
            <v>Adquisicion predial por Dto. 511 de 2010. LOCALIDAD:USME; BARRIO:ARRAYANES V; ID: 2015-Q01-04328.</v>
          </cell>
          <cell r="R2390">
            <v>22194000</v>
          </cell>
          <cell r="S2390">
            <v>0</v>
          </cell>
          <cell r="T2390">
            <v>0</v>
          </cell>
          <cell r="U2390">
            <v>22194000</v>
          </cell>
          <cell r="V2390">
            <v>0</v>
          </cell>
        </row>
        <row r="2391">
          <cell r="J2391">
            <v>1933</v>
          </cell>
          <cell r="K2391">
            <v>43242</v>
          </cell>
          <cell r="L2391" t="str">
            <v>LEONOR  CHAUTA DE BOHORQUEZ</v>
          </cell>
          <cell r="M2391">
            <v>31</v>
          </cell>
          <cell r="N2391" t="str">
            <v>RESOLUCION</v>
          </cell>
          <cell r="O2391">
            <v>2082</v>
          </cell>
          <cell r="P2391">
            <v>43242</v>
          </cell>
          <cell r="Q2391" t="str">
            <v>Vur conforme al avalúo comercial.Dto 255 de 2013 . LOCALIDAD:CIUDAD BOLIVAR: BARRIO:RINCON DEL PORVENIR; ID: 2005-19-7498</v>
          </cell>
          <cell r="R2391">
            <v>480610</v>
          </cell>
          <cell r="S2391">
            <v>0</v>
          </cell>
          <cell r="T2391">
            <v>0</v>
          </cell>
          <cell r="U2391">
            <v>480610</v>
          </cell>
          <cell r="V2391">
            <v>0</v>
          </cell>
        </row>
        <row r="2392">
          <cell r="J2392">
            <v>1935</v>
          </cell>
          <cell r="K2392">
            <v>43242</v>
          </cell>
          <cell r="L2392" t="str">
            <v>GUSTAVO  LOBATON VARGAS</v>
          </cell>
          <cell r="M2392">
            <v>31</v>
          </cell>
          <cell r="N2392" t="str">
            <v>RESOLUCION</v>
          </cell>
          <cell r="O2392">
            <v>2083</v>
          </cell>
          <cell r="P2392">
            <v>43242</v>
          </cell>
          <cell r="Q2392" t="str">
            <v>VUR conforme a avalúo comercial.Dto 255 de 2013. LOCALIDAD:USAQUEN; BARRIO:SANTA CECILA BAJA; ID: 2005-1-7523</v>
          </cell>
          <cell r="R2392">
            <v>62779330</v>
          </cell>
          <cell r="S2392">
            <v>0</v>
          </cell>
          <cell r="T2392">
            <v>0</v>
          </cell>
          <cell r="U2392">
            <v>62779330</v>
          </cell>
          <cell r="V2392">
            <v>62779330</v>
          </cell>
        </row>
        <row r="2393">
          <cell r="J2393">
            <v>1937</v>
          </cell>
          <cell r="K2393">
            <v>43242</v>
          </cell>
          <cell r="L2393" t="str">
            <v>LUIS PABLO GARZON RAMIREZ</v>
          </cell>
          <cell r="M2393">
            <v>31</v>
          </cell>
          <cell r="N2393" t="str">
            <v>RESOLUCION</v>
          </cell>
          <cell r="O2393">
            <v>2080</v>
          </cell>
          <cell r="P2393">
            <v>43242</v>
          </cell>
          <cell r="Q2393" t="str">
            <v>Adquisición de mejoras por Dto. 511 de 2010. LOCALIDAD:SANTA FE; BARRIO:SAN FRANCISCO RURAL;ID: 2015-Q24-01531</v>
          </cell>
          <cell r="R2393">
            <v>7733250</v>
          </cell>
          <cell r="S2393">
            <v>0</v>
          </cell>
          <cell r="T2393">
            <v>0</v>
          </cell>
          <cell r="U2393">
            <v>7733250</v>
          </cell>
          <cell r="V2393">
            <v>7733250</v>
          </cell>
        </row>
        <row r="2394">
          <cell r="J2394">
            <v>1942</v>
          </cell>
          <cell r="K2394">
            <v>43243</v>
          </cell>
          <cell r="L2394" t="str">
            <v>LUIS ALFONSO PARRA BENAVIDES</v>
          </cell>
          <cell r="M2394">
            <v>31</v>
          </cell>
          <cell r="N2394" t="str">
            <v>RESOLUCION</v>
          </cell>
          <cell r="O2394">
            <v>2077</v>
          </cell>
          <cell r="P2394">
            <v>43243</v>
          </cell>
          <cell r="Q2394" t="str">
            <v>VUR de conformidad con el avalúo comercial (Asignación Primera Vez).Dto 255 de 2013. LOCALIDAD:RAFAEL URIBE URIBE; BARRIO:GRANJAS DE SAN PABLO; ID:2006-18-8886</v>
          </cell>
          <cell r="R2394">
            <v>138036400</v>
          </cell>
          <cell r="S2394">
            <v>0</v>
          </cell>
          <cell r="T2394">
            <v>0</v>
          </cell>
          <cell r="U2394">
            <v>138036400</v>
          </cell>
          <cell r="V2394">
            <v>0</v>
          </cell>
        </row>
        <row r="2395">
          <cell r="J2395">
            <v>1956</v>
          </cell>
          <cell r="K2395">
            <v>43245</v>
          </cell>
          <cell r="L2395" t="str">
            <v>JESUS ENRIQUE BERGAÑO MARTINEZ</v>
          </cell>
          <cell r="M2395">
            <v>31</v>
          </cell>
          <cell r="N2395" t="str">
            <v>RESOLUCION</v>
          </cell>
          <cell r="O2395">
            <v>2098</v>
          </cell>
          <cell r="P2395">
            <v>43245</v>
          </cell>
          <cell r="Q2395" t="str">
            <v>Asignacion del instrumento financiero a las familias ocupantes del predio que hayan superado la fase de verificacion dentro  del marco del Decreto 457 de 2017. LOCALIDAD: KENNEDY; BARRIO: VEREDITAS; ID: 2018-8-384292</v>
          </cell>
          <cell r="R2395">
            <v>54686940</v>
          </cell>
          <cell r="S2395">
            <v>0</v>
          </cell>
          <cell r="T2395">
            <v>0</v>
          </cell>
          <cell r="U2395">
            <v>54686940</v>
          </cell>
          <cell r="V2395">
            <v>54686940</v>
          </cell>
        </row>
        <row r="2396">
          <cell r="J2396">
            <v>1957</v>
          </cell>
          <cell r="K2396">
            <v>43245</v>
          </cell>
          <cell r="L2396" t="str">
            <v>ARMANDO  LOPERA SANCHEZ</v>
          </cell>
          <cell r="M2396">
            <v>31</v>
          </cell>
          <cell r="N2396" t="str">
            <v>RESOLUCION</v>
          </cell>
          <cell r="O2396">
            <v>2119</v>
          </cell>
          <cell r="P2396">
            <v>43245</v>
          </cell>
          <cell r="Q2396" t="str">
            <v>adquisición predial Dto. 511 de 2010. LOCALIDAD: CIUDAD BOLIVAR; BARRIO:BUENOS AIRES;ID: 2014-Q06-00865</v>
          </cell>
          <cell r="R2396">
            <v>64571600</v>
          </cell>
          <cell r="S2396">
            <v>0</v>
          </cell>
          <cell r="T2396">
            <v>0</v>
          </cell>
          <cell r="U2396">
            <v>64571600</v>
          </cell>
          <cell r="V2396">
            <v>0</v>
          </cell>
        </row>
        <row r="2397">
          <cell r="J2397">
            <v>1963</v>
          </cell>
          <cell r="K2397">
            <v>43252</v>
          </cell>
          <cell r="L2397" t="str">
            <v>YURY BRADY TORRES CARVAJAL</v>
          </cell>
          <cell r="M2397">
            <v>31</v>
          </cell>
          <cell r="N2397" t="str">
            <v>RESOLUCION</v>
          </cell>
          <cell r="O2397">
            <v>2148</v>
          </cell>
          <cell r="P2397">
            <v>43252</v>
          </cell>
          <cell r="Q2397" t="str">
            <v>AYUDA TEMPORAL A LAS FAMILIAS DE VARIAS LOCALIDADES, PARA LA RELOCALIZACIÓN DE HOGARES LOCALIZADOS EN ZONAS DE ALTO RIESGO NO MITIGABLE ID:2002-4-2648, LOCALIDAD:04 SAN CRISTÓBAL, UPZ:32 SAN BLAS</v>
          </cell>
          <cell r="R2397">
            <v>3749960</v>
          </cell>
          <cell r="S2397">
            <v>0</v>
          </cell>
          <cell r="T2397">
            <v>0</v>
          </cell>
          <cell r="U2397">
            <v>3749960</v>
          </cell>
          <cell r="V2397">
            <v>1406235</v>
          </cell>
        </row>
        <row r="2398">
          <cell r="J2398">
            <v>1964</v>
          </cell>
          <cell r="K2398">
            <v>43252</v>
          </cell>
          <cell r="L2398" t="str">
            <v>JORGE ELIECER AGUILAR CUTIVA</v>
          </cell>
          <cell r="M2398">
            <v>31</v>
          </cell>
          <cell r="N2398" t="str">
            <v>RESOLUCION</v>
          </cell>
          <cell r="O2398">
            <v>2149</v>
          </cell>
          <cell r="P2398">
            <v>43252</v>
          </cell>
          <cell r="Q2398" t="str">
            <v>AYUDA TEMPORAL A LAS FAMILIAS DE VARIAS LOCALIDADES, PARA LA RELOCALIZACIÓN DE HOGARES LOCALIZADOS EN ZONAS DE ALTO RIESGO NO MITIGABLE ID:2018-Q03-15047, LOCALIDAD:19 CIUDAD BOLÍVAR, UPZ:66 SAN FRANCISCO, SECTOR:LIMAS</v>
          </cell>
          <cell r="R2398">
            <v>3999960</v>
          </cell>
          <cell r="S2398">
            <v>0</v>
          </cell>
          <cell r="T2398">
            <v>0</v>
          </cell>
          <cell r="U2398">
            <v>3999960</v>
          </cell>
          <cell r="V2398">
            <v>1499985</v>
          </cell>
        </row>
        <row r="2399">
          <cell r="J2399">
            <v>1965</v>
          </cell>
          <cell r="K2399">
            <v>43252</v>
          </cell>
          <cell r="L2399" t="str">
            <v>EVELYN  MOLINA MAHECHA</v>
          </cell>
          <cell r="M2399">
            <v>31</v>
          </cell>
          <cell r="N2399" t="str">
            <v>RESOLUCION</v>
          </cell>
          <cell r="O2399">
            <v>2150</v>
          </cell>
          <cell r="P2399">
            <v>43252</v>
          </cell>
          <cell r="Q2399" t="str">
            <v>AYUDA TEMPORAL A LAS FAMILIAS DE VARIAS LOCALIDADES, PARA LA RELOCALIZACIÓN DE HOGARES LOCALIZADOS EN ZONAS DE ALTO RIESGO NO MITIGABLE ID:2012-19-14244, LOCALIDAD:19 CIUDAD BOLÍVAR, UPZ:67 LUCERO</v>
          </cell>
          <cell r="R2399">
            <v>3374968</v>
          </cell>
          <cell r="S2399">
            <v>0</v>
          </cell>
          <cell r="T2399">
            <v>0</v>
          </cell>
          <cell r="U2399">
            <v>3374968</v>
          </cell>
          <cell r="V2399">
            <v>1265613</v>
          </cell>
        </row>
        <row r="2400">
          <cell r="J2400">
            <v>1966</v>
          </cell>
          <cell r="K2400">
            <v>43252</v>
          </cell>
          <cell r="L2400" t="str">
            <v>MARIA NANCY GAITAN GALAN</v>
          </cell>
          <cell r="M2400">
            <v>31</v>
          </cell>
          <cell r="N2400" t="str">
            <v>RESOLUCION</v>
          </cell>
          <cell r="O2400">
            <v>2151</v>
          </cell>
          <cell r="P2400">
            <v>43252</v>
          </cell>
          <cell r="Q2400" t="str">
            <v>AYUDA TEMPORAL A LAS FAMILIAS DE VARIAS LOCALIDADES, PARA LA RELOCALIZACIÓN DE HOGARES LOCALIZADOS EN ZONAS DE ALTO RIESGO NO MITIGABLE ID:2013000189, LOCALIDAD:19 CIUDAD BOLÍVAR, UPZ:67 LUCERO, SECTOR:QUEBRADA TROMPETA</v>
          </cell>
          <cell r="R2400">
            <v>3124968</v>
          </cell>
          <cell r="S2400">
            <v>0</v>
          </cell>
          <cell r="T2400">
            <v>0</v>
          </cell>
          <cell r="U2400">
            <v>3124968</v>
          </cell>
          <cell r="V2400">
            <v>1171863</v>
          </cell>
        </row>
        <row r="2401">
          <cell r="J2401">
            <v>1967</v>
          </cell>
          <cell r="K2401">
            <v>43252</v>
          </cell>
          <cell r="L2401" t="str">
            <v>MARIA NELCY SASTOQUE VARGAS</v>
          </cell>
          <cell r="M2401">
            <v>31</v>
          </cell>
          <cell r="N2401" t="str">
            <v>RESOLUCION</v>
          </cell>
          <cell r="O2401">
            <v>2153</v>
          </cell>
          <cell r="P2401">
            <v>43252</v>
          </cell>
          <cell r="Q2401" t="str">
            <v>AYUDA TEMPORAL A LAS FAMILIAS DE VARIAS LOCALIDADES, PARA LA RELOCALIZACIÓN DE HOGARES LOCALIZADOS EN ZONAS DE ALTO RIESGO NO MITIGABLE ID:2015-Q03-03557, LOCALIDAD:19 CIUDAD BOLÍVAR, UPZ:66 SAN FRANCISCO, SECTOR:LIMAS</v>
          </cell>
          <cell r="R2401">
            <v>3374968</v>
          </cell>
          <cell r="S2401">
            <v>0</v>
          </cell>
          <cell r="T2401">
            <v>0</v>
          </cell>
          <cell r="U2401">
            <v>3374968</v>
          </cell>
          <cell r="V2401">
            <v>1265613</v>
          </cell>
        </row>
        <row r="2402">
          <cell r="J2402">
            <v>1968</v>
          </cell>
          <cell r="K2402">
            <v>43252</v>
          </cell>
          <cell r="L2402" t="str">
            <v>EMIR  CARPIO LUVIEZA</v>
          </cell>
          <cell r="M2402">
            <v>31</v>
          </cell>
          <cell r="N2402" t="str">
            <v>RESOLUCION</v>
          </cell>
          <cell r="O2402">
            <v>2156</v>
          </cell>
          <cell r="P2402">
            <v>43252</v>
          </cell>
          <cell r="Q2402" t="str">
            <v>AYUDA TEMPORAL A LAS FAMILIAS DE VARIAS LOCALIDADES, PARA LA RELOCALIZACIÓN DE HOGARES LOCALIZADOS EN ZONAS DE ALTO RIESGO NO MITIGABLE ID:2014-W166-038, LOCALIDAD:19 CIUDAD BOLÍVAR, UPZ:68 EL TESORO, SECTOR:WOUNAAN</v>
          </cell>
          <cell r="R2402">
            <v>2878200</v>
          </cell>
          <cell r="S2402">
            <v>0</v>
          </cell>
          <cell r="T2402">
            <v>0</v>
          </cell>
          <cell r="U2402">
            <v>2878200</v>
          </cell>
          <cell r="V2402">
            <v>1439100</v>
          </cell>
        </row>
        <row r="2403">
          <cell r="J2403">
            <v>1969</v>
          </cell>
          <cell r="K2403">
            <v>43252</v>
          </cell>
          <cell r="L2403" t="str">
            <v>JUAN DAVID LOPEZ</v>
          </cell>
          <cell r="M2403">
            <v>31</v>
          </cell>
          <cell r="N2403" t="str">
            <v>RESOLUCION</v>
          </cell>
          <cell r="O2403">
            <v>2157</v>
          </cell>
          <cell r="P2403">
            <v>43252</v>
          </cell>
          <cell r="Q2403" t="str">
            <v>AYUDA TEMPORAL A LAS FAMILIAS DE VARIAS LOCALIDADES, PARA LA RELOCALIZACIÓN DE HOGARES LOCALIZADOS EN ZONAS DE ALTO RIESGO NO MITIGABLE ID:2012-19-13786, LOCALIDAD:19 CIUDAD BOLÍVAR, UPZ:67 LUCERO</v>
          </cell>
          <cell r="R2403">
            <v>2924376</v>
          </cell>
          <cell r="S2403">
            <v>0</v>
          </cell>
          <cell r="T2403">
            <v>0</v>
          </cell>
          <cell r="U2403">
            <v>2924376</v>
          </cell>
          <cell r="V2403">
            <v>835536</v>
          </cell>
        </row>
        <row r="2404">
          <cell r="J2404">
            <v>1970</v>
          </cell>
          <cell r="K2404">
            <v>43252</v>
          </cell>
          <cell r="L2404" t="str">
            <v>BLANCA CECILIA FERNANDEZ ULLOA</v>
          </cell>
          <cell r="M2404">
            <v>31</v>
          </cell>
          <cell r="N2404" t="str">
            <v>RESOLUCION</v>
          </cell>
          <cell r="O2404">
            <v>2159</v>
          </cell>
          <cell r="P2404">
            <v>43252</v>
          </cell>
          <cell r="Q2404" t="str">
            <v>AYUDA TEMPORAL A LAS FAMILIAS DE VARIAS LOCALIDADES, PARA LA RELOCALIZACIÓN DE HOGARES LOCALIZADOS EN ZONAS DE ALTO RIESGO NO MITIGABLE ID:2013-Q09-00469, LOCALIDAD:19 CIUDAD BOLÍVAR, UPZ:67 LUCERO, SECTOR:QUEBRADA TROMPETA</v>
          </cell>
          <cell r="R2404">
            <v>4812448</v>
          </cell>
          <cell r="S2404">
            <v>0</v>
          </cell>
          <cell r="T2404">
            <v>0</v>
          </cell>
          <cell r="U2404">
            <v>4812448</v>
          </cell>
          <cell r="V2404">
            <v>601556</v>
          </cell>
        </row>
        <row r="2405">
          <cell r="J2405">
            <v>1971</v>
          </cell>
          <cell r="K2405">
            <v>43252</v>
          </cell>
          <cell r="L2405" t="str">
            <v>ELVIRA  VANEGAS MONTAÑO</v>
          </cell>
          <cell r="M2405">
            <v>31</v>
          </cell>
          <cell r="N2405" t="str">
            <v>RESOLUCION</v>
          </cell>
          <cell r="O2405">
            <v>2160</v>
          </cell>
          <cell r="P2405">
            <v>43252</v>
          </cell>
          <cell r="Q2405" t="str">
            <v>AYUDA TEMPORAL A LAS FAMILIAS DE VARIAS LOCALIDADES, PARA LA RELOCALIZACIÓN DE HOGARES LOCALIZADOS EN ZONAS DE ALTO RIESGO NO MITIGABLE ID:2011-4-12629, LOCALIDAD:04 SAN CRISTÓBAL, UPZ:32 SAN BLAS</v>
          </cell>
          <cell r="R2405">
            <v>4226944</v>
          </cell>
          <cell r="S2405">
            <v>0</v>
          </cell>
          <cell r="T2405">
            <v>0</v>
          </cell>
          <cell r="U2405">
            <v>4226944</v>
          </cell>
          <cell r="V2405">
            <v>1585104</v>
          </cell>
        </row>
        <row r="2406">
          <cell r="J2406">
            <v>1972</v>
          </cell>
          <cell r="K2406">
            <v>43252</v>
          </cell>
          <cell r="L2406" t="str">
            <v>ABRAHAM  CABEZON MERCAZA</v>
          </cell>
          <cell r="M2406">
            <v>31</v>
          </cell>
          <cell r="N2406" t="str">
            <v>RESOLUCION</v>
          </cell>
          <cell r="O2406">
            <v>2177</v>
          </cell>
          <cell r="P2406">
            <v>43252</v>
          </cell>
          <cell r="Q2406" t="str">
            <v>AYUDA TEMPORAL A LAS FAMILIAS DE VARIAS LOCALIDADES, PARA LA RELOCALIZACIÓN DE HOGARES LOCALIZADOS EN ZONAS DE ALTO RIESGO NO MITIGABLE ID:2014-W166-014, LOCALIDAD:19 CIUDAD BOLÍVAR, UPZ:68 EL TESORO, SECTOR:WOUNAAN</v>
          </cell>
          <cell r="R2406">
            <v>4059510</v>
          </cell>
          <cell r="S2406">
            <v>0</v>
          </cell>
          <cell r="T2406">
            <v>0</v>
          </cell>
          <cell r="U2406">
            <v>4059510</v>
          </cell>
          <cell r="V2406">
            <v>1739790</v>
          </cell>
        </row>
        <row r="2407">
          <cell r="J2407">
            <v>1973</v>
          </cell>
          <cell r="K2407">
            <v>43252</v>
          </cell>
          <cell r="L2407" t="str">
            <v>OFELIA  TIQUE OYOLA</v>
          </cell>
          <cell r="M2407">
            <v>31</v>
          </cell>
          <cell r="N2407" t="str">
            <v>RESOLUCION</v>
          </cell>
          <cell r="O2407">
            <v>2178</v>
          </cell>
          <cell r="P2407">
            <v>43252</v>
          </cell>
          <cell r="Q2407" t="str">
            <v>AYUDA TEMPORAL A LAS FAMILIAS DE VARIAS LOCALIDADES, PARA LA RELOCALIZACIÓN DE HOGARES LOCALIZADOS EN ZONAS DE ALTO RIESGO NO MITIGABLE ID:2012-ALES-436, LOCALIDAD:19 CIUDAD BOLÍVAR, UPZ:69 ISMAEL PERDOMO, SECTOR:ALTOS DE LA ESTANCIA</v>
          </cell>
          <cell r="R2407">
            <v>5863585</v>
          </cell>
          <cell r="S2407">
            <v>0</v>
          </cell>
          <cell r="T2407">
            <v>0</v>
          </cell>
          <cell r="U2407">
            <v>5863585</v>
          </cell>
          <cell r="V2407">
            <v>1353135</v>
          </cell>
        </row>
        <row r="2408">
          <cell r="J2408">
            <v>1974</v>
          </cell>
          <cell r="K2408">
            <v>43252</v>
          </cell>
          <cell r="L2408" t="str">
            <v>JOHAN STIVEN DIAZ POSADA</v>
          </cell>
          <cell r="M2408">
            <v>31</v>
          </cell>
          <cell r="N2408" t="str">
            <v>RESOLUCION</v>
          </cell>
          <cell r="O2408">
            <v>2179</v>
          </cell>
          <cell r="P2408">
            <v>43252</v>
          </cell>
          <cell r="Q2408" t="str">
            <v>AYUDA TEMPORAL A LAS FAMILIAS DE VARIAS LOCALIDADES, PARA LA RELOCALIZACIÓN DE HOGARES LOCALIZADOS EN ZONAS DE ALTO RIESGO NO MITIGABLE ID:2012-18-14525, LOCALIDAD:18 RAFAEL URIBE URIBE, UPZ:55 DIANA TURBAY</v>
          </cell>
          <cell r="R2408">
            <v>3022327</v>
          </cell>
          <cell r="S2408">
            <v>0</v>
          </cell>
          <cell r="T2408">
            <v>0</v>
          </cell>
          <cell r="U2408">
            <v>3022327</v>
          </cell>
          <cell r="V2408">
            <v>863522</v>
          </cell>
        </row>
        <row r="2409">
          <cell r="J2409">
            <v>1975</v>
          </cell>
          <cell r="K2409">
            <v>43252</v>
          </cell>
          <cell r="L2409" t="str">
            <v>EMMA  NUNEZ DE DURAN</v>
          </cell>
          <cell r="M2409">
            <v>31</v>
          </cell>
          <cell r="N2409" t="str">
            <v>RESOLUCION</v>
          </cell>
          <cell r="O2409">
            <v>2180</v>
          </cell>
          <cell r="P2409">
            <v>43252</v>
          </cell>
          <cell r="Q2409" t="str">
            <v>AYUDA TEMPORAL A LAS FAMILIAS DE VARIAS LOCALIDADES, PARA LA RELOCALIZACIÓN DE HOGARES LOCALIZADOS EN ZONAS DE ALTO RIESGO NO MITIGABLE ID:2009-3-11228, LOCALIDAD:03 SANTA FE, UPZ:96 LOURDES</v>
          </cell>
          <cell r="R2409">
            <v>4812448</v>
          </cell>
          <cell r="S2409">
            <v>0</v>
          </cell>
          <cell r="T2409">
            <v>0</v>
          </cell>
          <cell r="U2409">
            <v>4812448</v>
          </cell>
          <cell r="V2409">
            <v>1804668</v>
          </cell>
        </row>
        <row r="2410">
          <cell r="J2410">
            <v>1976</v>
          </cell>
          <cell r="K2410">
            <v>43252</v>
          </cell>
          <cell r="L2410" t="str">
            <v>LUIS ANTONIO CELIS SANCHEZ</v>
          </cell>
          <cell r="M2410">
            <v>31</v>
          </cell>
          <cell r="N2410" t="str">
            <v>RESOLUCION</v>
          </cell>
          <cell r="O2410">
            <v>2181</v>
          </cell>
          <cell r="P2410">
            <v>43252</v>
          </cell>
          <cell r="Q2410" t="str">
            <v>AYUDA TEMPORAL A LAS FAMILIAS DE VARIAS LOCALIDADES, PARA LA RELOCALIZACIÓN DE HOGARES LOCALIZADOS EN ZONAS DE ALTO RIESGO NO MITIGABLE ID:2012-ALES-312, LOCALIDAD:19 CIUDAD BOLÍVAR, UPZ:69 ISMAEL PERDOMO</v>
          </cell>
          <cell r="R2410">
            <v>3448000</v>
          </cell>
          <cell r="S2410">
            <v>0</v>
          </cell>
          <cell r="T2410">
            <v>0</v>
          </cell>
          <cell r="U2410">
            <v>3448000</v>
          </cell>
          <cell r="V2410">
            <v>1724000</v>
          </cell>
        </row>
        <row r="2411">
          <cell r="J2411">
            <v>1980</v>
          </cell>
          <cell r="K2411">
            <v>43252</v>
          </cell>
          <cell r="L2411" t="str">
            <v>MARTHA INES ZIPACON ROSAS</v>
          </cell>
          <cell r="M2411">
            <v>31</v>
          </cell>
          <cell r="N2411" t="str">
            <v>RESOLUCION</v>
          </cell>
          <cell r="O2411">
            <v>2154</v>
          </cell>
          <cell r="P2411">
            <v>43252</v>
          </cell>
          <cell r="Q2411" t="str">
            <v>AYUDA TEMPORAL A LAS FAMILIAS DE VARIAS LOCALIDADES, PARA LA RELOCALIZACIÓN DE HOGARES LOCALIZADOS EN ZONAS DE ALTO RIESGO NO MITIGABLE ID:2010-5-11626, LOCALIDAD:05 USME, UPZ:57 GRAN YOMASA, SECTOR:OLA INVERNAL 2010 FOPAE</v>
          </cell>
          <cell r="R2411">
            <v>3992149</v>
          </cell>
          <cell r="S2411">
            <v>0</v>
          </cell>
          <cell r="T2411">
            <v>0</v>
          </cell>
          <cell r="U2411">
            <v>3992149</v>
          </cell>
          <cell r="V2411">
            <v>1710921</v>
          </cell>
        </row>
        <row r="2412">
          <cell r="J2412">
            <v>1982</v>
          </cell>
          <cell r="K2412">
            <v>43252</v>
          </cell>
          <cell r="L2412" t="str">
            <v>STEVENS  CASTAÑEDA MORENO</v>
          </cell>
          <cell r="M2412">
            <v>31</v>
          </cell>
          <cell r="N2412" t="str">
            <v>RESOLUCION</v>
          </cell>
          <cell r="O2412">
            <v>2155</v>
          </cell>
          <cell r="P2412">
            <v>43252</v>
          </cell>
          <cell r="Q2412" t="str">
            <v>AYUDA TEMPORAL A LAS FAMILIAS DE VARIAS LOCALIDADES, PARA LA RELOCALIZACIÓN DE HOGARES LOCALIZADOS EN ZONAS DE ALTO RIESGO NO MITIGABLE ID:2015-D227-00055, LOCALIDAD:04 SAN CRISTÓBAL, UPZ:51 LOS LIBERTADORES, SECTOR:SANTA TERESITA</v>
          </cell>
          <cell r="R2412">
            <v>2886919</v>
          </cell>
          <cell r="S2412">
            <v>0</v>
          </cell>
          <cell r="T2412">
            <v>0</v>
          </cell>
          <cell r="U2412">
            <v>2886919</v>
          </cell>
          <cell r="V2412">
            <v>1237251</v>
          </cell>
        </row>
        <row r="2413">
          <cell r="J2413">
            <v>1984</v>
          </cell>
          <cell r="K2413">
            <v>43252</v>
          </cell>
          <cell r="L2413" t="str">
            <v>SEGUNDO MIGUEL DE LA CRUZ MONCAYO</v>
          </cell>
          <cell r="M2413">
            <v>31</v>
          </cell>
          <cell r="N2413" t="str">
            <v>RESOLUCION</v>
          </cell>
          <cell r="O2413">
            <v>2139</v>
          </cell>
          <cell r="P2413">
            <v>43252</v>
          </cell>
          <cell r="Q2413" t="str">
            <v>AYUDA TEMPORAL A LAS FAMILIAS DE VARIAS LOCALIDADES, PARA LA RELOCALIZACIÓN DE HOGARES LOCALIZADOS EN ZONAS DE ALTO RIESGO NO MITIGABLE ID:2015-D227-00036, LOCALIDAD:04 SAN CRISTÓBAL, UPZ:51 LOS LIBERTADORES, SECTOR:SANTA TERESITA</v>
          </cell>
          <cell r="R2413">
            <v>3098410</v>
          </cell>
          <cell r="S2413">
            <v>0</v>
          </cell>
          <cell r="T2413">
            <v>0</v>
          </cell>
          <cell r="U2413">
            <v>3098410</v>
          </cell>
          <cell r="V2413">
            <v>1327890</v>
          </cell>
        </row>
        <row r="2414">
          <cell r="J2414">
            <v>1986</v>
          </cell>
          <cell r="K2414">
            <v>43252</v>
          </cell>
          <cell r="L2414" t="str">
            <v>MARIBEL  PARRADO CABEZAS</v>
          </cell>
          <cell r="M2414">
            <v>31</v>
          </cell>
          <cell r="N2414" t="str">
            <v>RESOLUCION</v>
          </cell>
          <cell r="O2414">
            <v>2142</v>
          </cell>
          <cell r="P2414">
            <v>43252</v>
          </cell>
          <cell r="Q2414" t="str">
            <v>AYUDA TEMPORAL A LAS FAMILIAS DE VARIAS LOCALIDADES, PARA LA RELOCALIZACIÓN DE HOGARES LOCALIZADOS EN ZONAS DE ALTO RIESGO NO MITIGABLE ID:2011-19-13515, LOCALIDAD:19 CIUDAD BOLÍVAR, UPZ:68 EL TESORO</v>
          </cell>
          <cell r="R2414">
            <v>2439360</v>
          </cell>
          <cell r="S2414">
            <v>0</v>
          </cell>
          <cell r="T2414">
            <v>0</v>
          </cell>
          <cell r="U2414">
            <v>2439360</v>
          </cell>
          <cell r="V2414">
            <v>1219680</v>
          </cell>
        </row>
        <row r="2415">
          <cell r="J2415">
            <v>1987</v>
          </cell>
          <cell r="K2415">
            <v>43252</v>
          </cell>
          <cell r="L2415" t="str">
            <v>HECTOR  CIFUENTES</v>
          </cell>
          <cell r="M2415">
            <v>31</v>
          </cell>
          <cell r="N2415" t="str">
            <v>RESOLUCION</v>
          </cell>
          <cell r="O2415">
            <v>2144</v>
          </cell>
          <cell r="P2415">
            <v>43252</v>
          </cell>
          <cell r="Q2415" t="str">
            <v>AYUDA TEMPORAL A LAS FAMILIAS DE VARIAS LOCALIDADES, PARA LA RELOCALIZACIÓN DE HOGARES LOCALIZADOS EN ZONAS DE ALTO RIESGO NO MITIGABLE ID:2012-19-13865, LOCALIDAD:19 CIUDAD BOLÍVAR, UPZ:67 LUCERO</v>
          </cell>
          <cell r="R2415">
            <v>2849392</v>
          </cell>
          <cell r="S2415">
            <v>0</v>
          </cell>
          <cell r="T2415">
            <v>0</v>
          </cell>
          <cell r="U2415">
            <v>2849392</v>
          </cell>
          <cell r="V2415">
            <v>1221168</v>
          </cell>
        </row>
        <row r="2416">
          <cell r="J2416">
            <v>1989</v>
          </cell>
          <cell r="K2416">
            <v>43252</v>
          </cell>
          <cell r="L2416" t="str">
            <v>JOSE SIGIFREDO CASTELLANOS MONTILLA</v>
          </cell>
          <cell r="M2416">
            <v>31</v>
          </cell>
          <cell r="N2416" t="str">
            <v>RESOLUCION</v>
          </cell>
          <cell r="O2416">
            <v>2146</v>
          </cell>
          <cell r="P2416">
            <v>43252</v>
          </cell>
          <cell r="Q2416" t="str">
            <v>AYUDA TEMPORAL A LAS FAMILIAS DE VARIAS LOCALIDADES, PARA LA RELOCALIZACIÓN DE HOGARES LOCALIZADOS EN ZONAS DE ALTO RIESGO NO MITIGABLE ID:2010-19-11685, LOCALIDAD:19 CIUDAD BOLÍVAR, UPZ:69 ISMAEL PERDOMO, SECTOR:OLA INVERNAL 2010 FOPAE</v>
          </cell>
          <cell r="R2416">
            <v>3098410</v>
          </cell>
          <cell r="S2416">
            <v>0</v>
          </cell>
          <cell r="T2416">
            <v>0</v>
          </cell>
          <cell r="U2416">
            <v>3098410</v>
          </cell>
          <cell r="V2416">
            <v>885260</v>
          </cell>
        </row>
        <row r="2417">
          <cell r="J2417">
            <v>1992</v>
          </cell>
          <cell r="K2417">
            <v>43256</v>
          </cell>
          <cell r="L2417" t="str">
            <v>LUZ KATHERINE TAMAYO HERNANDEZ</v>
          </cell>
          <cell r="M2417">
            <v>31</v>
          </cell>
          <cell r="N2417" t="str">
            <v>RESOLUCION</v>
          </cell>
          <cell r="O2417">
            <v>2196</v>
          </cell>
          <cell r="P2417">
            <v>43256</v>
          </cell>
          <cell r="Q2417" t="str">
            <v>Asignacion del instrumento financiero a las familias ocupantes del predio que hayan superado la fase de verificacion dentro  del marco del Decreto 457 de 2017. LOCALIDAD: KENNEDY; BARRIO: VEREDITAS; ID: 2018-08-384308</v>
          </cell>
          <cell r="R2417">
            <v>54686940</v>
          </cell>
          <cell r="S2417">
            <v>0</v>
          </cell>
          <cell r="T2417">
            <v>0</v>
          </cell>
          <cell r="U2417">
            <v>54686940</v>
          </cell>
          <cell r="V2417">
            <v>54686940</v>
          </cell>
        </row>
        <row r="2418">
          <cell r="J2418">
            <v>1993</v>
          </cell>
          <cell r="K2418">
            <v>43256</v>
          </cell>
          <cell r="L2418" t="str">
            <v>EDNA MARGARITA JIMENEZ VEGA</v>
          </cell>
          <cell r="M2418">
            <v>31</v>
          </cell>
          <cell r="N2418" t="str">
            <v>RESOLUCION</v>
          </cell>
          <cell r="O2418">
            <v>2191</v>
          </cell>
          <cell r="P2418">
            <v>43256</v>
          </cell>
          <cell r="Q2418" t="str">
            <v>adquisición predial Dto. 511 de 2010. LOCALIDAD: USME; BARRIO: EL MOCHUELO;ID: 2013-Q09-00437</v>
          </cell>
          <cell r="R2418">
            <v>59034400</v>
          </cell>
          <cell r="S2418">
            <v>0</v>
          </cell>
          <cell r="T2418">
            <v>0</v>
          </cell>
          <cell r="U2418">
            <v>59034400</v>
          </cell>
          <cell r="V2418">
            <v>59034400</v>
          </cell>
        </row>
        <row r="2419">
          <cell r="J2419">
            <v>1996</v>
          </cell>
          <cell r="K2419">
            <v>43257</v>
          </cell>
          <cell r="L2419" t="str">
            <v>YENNY PAOLA ROJAS PARRA</v>
          </cell>
          <cell r="M2419">
            <v>31</v>
          </cell>
          <cell r="N2419" t="str">
            <v>RESOLUCION</v>
          </cell>
          <cell r="O2419">
            <v>2145</v>
          </cell>
          <cell r="P2419">
            <v>43257</v>
          </cell>
          <cell r="Q2419" t="str">
            <v>AYUDA TEMPORAL A LAS FAMILIAS DE VARIAS LOCALIDADES, PARA LA RELOCALIZACIÓN DE HOGARES LOCALIZADOS EN ZONAS DE ALTO RIESGO NO MITIGABLE ID:2016-Q04-00016, LOCALIDAD:19 CIUDAD BOLÍVAR, UPZ:67 LUCERO, SECTOR:PEÑA COLORADA</v>
          </cell>
          <cell r="R2419">
            <v>4374952</v>
          </cell>
          <cell r="S2419">
            <v>0</v>
          </cell>
          <cell r="T2419">
            <v>0</v>
          </cell>
          <cell r="U2419">
            <v>4374952</v>
          </cell>
          <cell r="V2419">
            <v>1640607</v>
          </cell>
        </row>
        <row r="2420">
          <cell r="J2420">
            <v>1997</v>
          </cell>
          <cell r="K2420">
            <v>43257</v>
          </cell>
          <cell r="L2420" t="str">
            <v>WILLIAM ALEXANDER GONZALEZ SASTOQUE</v>
          </cell>
          <cell r="M2420">
            <v>31</v>
          </cell>
          <cell r="N2420" t="str">
            <v>RESOLUCION</v>
          </cell>
          <cell r="O2420">
            <v>2143</v>
          </cell>
          <cell r="P2420">
            <v>43257</v>
          </cell>
          <cell r="Q2420" t="str">
            <v>AYUDA TEMPORAL A LAS FAMILIAS DE VARIAS LOCALIDADES, PARA LA RELOCALIZACIÓN DE HOGARES LOCALIZADOS EN ZONAS DE ALTO RIESGO NO MITIGABLE ID:2018-Q03-15552, LOCALIDAD:19 CIUDAD BOLÍVAR, UPZ: 66 SAN FRANCISCO, SECTOR:LIMAS</v>
          </cell>
          <cell r="R2420">
            <v>3874960</v>
          </cell>
          <cell r="S2420">
            <v>0</v>
          </cell>
          <cell r="T2420">
            <v>0</v>
          </cell>
          <cell r="U2420">
            <v>3874960</v>
          </cell>
          <cell r="V2420">
            <v>1453110</v>
          </cell>
        </row>
        <row r="2421">
          <cell r="J2421">
            <v>1998</v>
          </cell>
          <cell r="K2421">
            <v>43257</v>
          </cell>
          <cell r="L2421" t="str">
            <v>BLANCA EMMA SANTANA CIFUENTES</v>
          </cell>
          <cell r="M2421">
            <v>31</v>
          </cell>
          <cell r="N2421" t="str">
            <v>RESOLUCION</v>
          </cell>
          <cell r="O2421">
            <v>2147</v>
          </cell>
          <cell r="P2421">
            <v>43257</v>
          </cell>
          <cell r="Q2421" t="str">
            <v>AYUDA TEMPORAL A LAS FAMILIAS DE VARIAS LOCALIDADES, PARA LA RELOCALIZACIÓN DE HOGARES LOCALIZADOS EN ZONAS DE ALTO RIESGO NO MITIGABLE ID:2016-20-00008, LOCALIDAD:20 SUMAPAZ, SECTOR:NAZARETH</v>
          </cell>
          <cell r="R2421">
            <v>4999952</v>
          </cell>
          <cell r="S2421">
            <v>0</v>
          </cell>
          <cell r="T2421">
            <v>0</v>
          </cell>
          <cell r="U2421">
            <v>4999952</v>
          </cell>
          <cell r="V2421">
            <v>1874982</v>
          </cell>
        </row>
        <row r="2422">
          <cell r="J2422">
            <v>1999</v>
          </cell>
          <cell r="K2422">
            <v>43257</v>
          </cell>
          <cell r="L2422" t="str">
            <v>SEGUNDO  PARRA VARGAS</v>
          </cell>
          <cell r="M2422">
            <v>31</v>
          </cell>
          <cell r="N2422" t="str">
            <v>RESOLUCION</v>
          </cell>
          <cell r="O2422">
            <v>2141</v>
          </cell>
          <cell r="P2422">
            <v>43257</v>
          </cell>
          <cell r="Q2422" t="str">
            <v>AYUDA TEMPORAL A LAS FAMILIAS DE VARIAS LOCALIDADES, PARA LA RELOCALIZACIÓN DE HOGARES LOCALIZADOS EN ZONAS DE ALTO RIESGO NO MITIGABLE ID:2013000241, LOCALIDAD:04 SAN CRISTÓBAL, UPZ:51 LOS LIBERTADORES, SECTOR:QUEBRADA VEREJONES</v>
          </cell>
          <cell r="R2422">
            <v>4499952</v>
          </cell>
          <cell r="S2422">
            <v>0</v>
          </cell>
          <cell r="T2422">
            <v>0</v>
          </cell>
          <cell r="U2422">
            <v>4499952</v>
          </cell>
          <cell r="V2422">
            <v>1687482</v>
          </cell>
        </row>
        <row r="2423">
          <cell r="J2423">
            <v>2000</v>
          </cell>
          <cell r="K2423">
            <v>43257</v>
          </cell>
          <cell r="L2423" t="str">
            <v>CARLOS JOSE VELASQUEZ ROJAS</v>
          </cell>
          <cell r="M2423">
            <v>31</v>
          </cell>
          <cell r="N2423" t="str">
            <v>RESOLUCION</v>
          </cell>
          <cell r="O2423">
            <v>2201</v>
          </cell>
          <cell r="P2423">
            <v>43257</v>
          </cell>
          <cell r="Q2423" t="str">
            <v>AYUDA TEMPORAL A LAS FAMILIAS DE VARIAS LOCALIDADES, PARA LA RELOCALIZACIÓN DE HOGARES LOCALIZADOS EN ZONAS DE ALTO RIESGO NO MITIGABLE ID:2015-Q03-01394, LOCALIDAD:19 CIUDAD BOLÍVAR, UPZ:66 SAN FRANCISCO, SECTOR:LIMAS</v>
          </cell>
          <cell r="R2423">
            <v>2734347</v>
          </cell>
          <cell r="S2423">
            <v>0</v>
          </cell>
          <cell r="T2423">
            <v>0</v>
          </cell>
          <cell r="U2423">
            <v>2734347</v>
          </cell>
          <cell r="V2423">
            <v>1171863</v>
          </cell>
        </row>
        <row r="2424">
          <cell r="J2424">
            <v>2001</v>
          </cell>
          <cell r="K2424">
            <v>43257</v>
          </cell>
          <cell r="L2424" t="str">
            <v>LUZ CELLY DIAZ GALLEGO</v>
          </cell>
          <cell r="M2424">
            <v>31</v>
          </cell>
          <cell r="N2424" t="str">
            <v>RESOLUCION</v>
          </cell>
          <cell r="O2424">
            <v>2200</v>
          </cell>
          <cell r="P2424">
            <v>43257</v>
          </cell>
          <cell r="Q2424" t="str">
            <v>AYUDA TEMPORAL A LAS FAMILIAS DE VARIAS LOCALIDADES, PARA LA RELOCALIZACIÓN DE HOGARES LOCALIZADOS EN ZONAS DE ALTO RIESGO NO MITIGABLE ID:2006-3-8369, LOCALIDAD:03 SANTA FE, UPZ:96 LOURDES</v>
          </cell>
          <cell r="R2424">
            <v>3718092</v>
          </cell>
          <cell r="S2424">
            <v>0</v>
          </cell>
          <cell r="T2424">
            <v>0</v>
          </cell>
          <cell r="U2424">
            <v>3718092</v>
          </cell>
          <cell r="V2424">
            <v>1593468</v>
          </cell>
        </row>
        <row r="2425">
          <cell r="J2425">
            <v>2002</v>
          </cell>
          <cell r="K2425">
            <v>43257</v>
          </cell>
          <cell r="L2425" t="str">
            <v>MIGUEL ANGEL CANTILLO GUTIERREZ</v>
          </cell>
          <cell r="M2425">
            <v>31</v>
          </cell>
          <cell r="N2425" t="str">
            <v>RESOLUCION</v>
          </cell>
          <cell r="O2425">
            <v>2199</v>
          </cell>
          <cell r="P2425">
            <v>43257</v>
          </cell>
          <cell r="Q2425" t="str">
            <v>AYUDA TEMPORAL A LAS FAMILIAS DE VARIAS LOCALIDADES, PARA LA RELOCALIZACIÓN DE HOGARES LOCALIZADOS EN ZONAS DE ALTO RIESGO NO MITIGABLE ID:2012-ALES-409, LOCALIDAD:19 CIUDAD BOLÍVAR, UPZ:69 ISMAEL PERDOMO, SECTOR:ALTOS DE LA ESTANCIA</v>
          </cell>
          <cell r="R2425">
            <v>3017000</v>
          </cell>
          <cell r="S2425">
            <v>0</v>
          </cell>
          <cell r="T2425">
            <v>0</v>
          </cell>
          <cell r="U2425">
            <v>3017000</v>
          </cell>
          <cell r="V2425">
            <v>1293000</v>
          </cell>
        </row>
        <row r="2426">
          <cell r="J2426">
            <v>2003</v>
          </cell>
          <cell r="K2426">
            <v>43257</v>
          </cell>
          <cell r="L2426" t="str">
            <v>ANGIE MARCELA GONZALEZ SASTOQUE</v>
          </cell>
          <cell r="M2426">
            <v>31</v>
          </cell>
          <cell r="N2426" t="str">
            <v>RESOLUCION</v>
          </cell>
          <cell r="O2426">
            <v>2152</v>
          </cell>
          <cell r="P2426">
            <v>43257</v>
          </cell>
          <cell r="Q2426" t="str">
            <v>AYUDA TEMPORAL A LAS FAMILIAS DE VARIAS LOCALIDADES, PARA LA RELOCALIZACIÓN DE HOGARES LOCALIZADOS EN ZONAS DE ALTO RIESGO NO MITIGABLE ID:2018-Q03-15550, LOCALIDAD:19 CIUDAD BOLÍVAR, UPZ: 66 SAN FRANCISCO, SECTOR:LIMAS</v>
          </cell>
          <cell r="R2426">
            <v>4101524</v>
          </cell>
          <cell r="S2426">
            <v>0</v>
          </cell>
          <cell r="T2426">
            <v>0</v>
          </cell>
          <cell r="U2426">
            <v>4101524</v>
          </cell>
          <cell r="V2426">
            <v>1757796</v>
          </cell>
        </row>
        <row r="2427">
          <cell r="J2427">
            <v>2004</v>
          </cell>
          <cell r="K2427">
            <v>43257</v>
          </cell>
          <cell r="L2427" t="str">
            <v>ROSA ELENA GUEVARA MORENO</v>
          </cell>
          <cell r="M2427">
            <v>31</v>
          </cell>
          <cell r="N2427" t="str">
            <v>RESOLUCION</v>
          </cell>
          <cell r="O2427">
            <v>2158</v>
          </cell>
          <cell r="P2427">
            <v>43257</v>
          </cell>
          <cell r="Q2427" t="str">
            <v>AYUDA TEMPORAL A LAS FAMILIAS DE VARIAS LOCALIDADES, PARA LA RELOCALIZACIÓN DE HOGARES LOCALIZADOS EN ZONAS DE ALTO RIESGO NO MITIGABLE ID:2013-Q10-00497, LOCALIDAD:04 SAN CRISTÓBAL, UPZ:51 LOS LIBERTADORES, SECTOR:QUEBRADA VEREJONES</v>
          </cell>
          <cell r="R2427">
            <v>4874952</v>
          </cell>
          <cell r="S2427">
            <v>0</v>
          </cell>
          <cell r="T2427">
            <v>0</v>
          </cell>
          <cell r="U2427">
            <v>4874952</v>
          </cell>
          <cell r="V2427">
            <v>1828107</v>
          </cell>
        </row>
        <row r="2428">
          <cell r="J2428">
            <v>2009</v>
          </cell>
          <cell r="K2428">
            <v>43263</v>
          </cell>
          <cell r="L2428" t="str">
            <v>YENIFER GABRIELA ORJUELA PACHECO</v>
          </cell>
          <cell r="M2428">
            <v>31</v>
          </cell>
          <cell r="N2428" t="str">
            <v>RESOLUCION</v>
          </cell>
          <cell r="O2428">
            <v>2221</v>
          </cell>
          <cell r="P2428">
            <v>43263</v>
          </cell>
          <cell r="Q2428" t="str">
            <v>asignacion de recursos equivalentes a 70 salarios minimos mensuales legales vigentes, conforme a lo estipulado en el decreto 227 de 2015. LOCALIDAD: KENEDY; BARRIO: LAS PALMITAS; ID: 2016-08-14912.</v>
          </cell>
          <cell r="R2428">
            <v>54686940</v>
          </cell>
          <cell r="S2428">
            <v>0</v>
          </cell>
          <cell r="T2428">
            <v>0</v>
          </cell>
          <cell r="U2428">
            <v>54686940</v>
          </cell>
          <cell r="V2428">
            <v>54686940</v>
          </cell>
        </row>
        <row r="2429">
          <cell r="J2429">
            <v>2010</v>
          </cell>
          <cell r="K2429">
            <v>43263</v>
          </cell>
          <cell r="L2429" t="str">
            <v>LEONOR  LEON DE GALINDO</v>
          </cell>
          <cell r="M2429">
            <v>31</v>
          </cell>
          <cell r="N2429" t="str">
            <v>RESOLUCION</v>
          </cell>
          <cell r="O2429">
            <v>2204</v>
          </cell>
          <cell r="P2429">
            <v>43263</v>
          </cell>
          <cell r="Q2429" t="str">
            <v>VUR de la actual vigencia Dto. 255 de 2013. LOCALIDAD: SUBA; BARRIO:SAN PEDRO DE TIBABUYES; ID:2018-11-15274</v>
          </cell>
          <cell r="R2429">
            <v>34911092</v>
          </cell>
          <cell r="S2429">
            <v>0</v>
          </cell>
          <cell r="T2429">
            <v>0</v>
          </cell>
          <cell r="U2429">
            <v>34911092</v>
          </cell>
          <cell r="V2429">
            <v>0</v>
          </cell>
        </row>
        <row r="2430">
          <cell r="J2430">
            <v>2011</v>
          </cell>
          <cell r="K2430">
            <v>43263</v>
          </cell>
          <cell r="L2430" t="str">
            <v>LEONOR  LEON DE GALINDO</v>
          </cell>
          <cell r="M2430">
            <v>31</v>
          </cell>
          <cell r="N2430" t="str">
            <v>RESOLUCION</v>
          </cell>
          <cell r="O2430">
            <v>2204</v>
          </cell>
          <cell r="P2430">
            <v>43263</v>
          </cell>
          <cell r="Q2430" t="str">
            <v>VUR de la actual vigencia Dto. 255 de 2013. LOCALIDAD: SUBA; BARRIO:SAN PEDRO DE TIBABUYES; ID:2018-11-15274</v>
          </cell>
          <cell r="R2430">
            <v>4151008</v>
          </cell>
          <cell r="S2430">
            <v>0</v>
          </cell>
          <cell r="T2430">
            <v>0</v>
          </cell>
          <cell r="U2430">
            <v>4151008</v>
          </cell>
          <cell r="V2430">
            <v>0</v>
          </cell>
        </row>
        <row r="2431">
          <cell r="J2431">
            <v>2012</v>
          </cell>
          <cell r="K2431">
            <v>43263</v>
          </cell>
          <cell r="L2431" t="str">
            <v>EDUIN ALBERTO HERNANDEZ SANCHEZ</v>
          </cell>
          <cell r="M2431">
            <v>31</v>
          </cell>
          <cell r="N2431" t="str">
            <v>RESOLUCION</v>
          </cell>
          <cell r="O2431">
            <v>2222</v>
          </cell>
          <cell r="P2431">
            <v>43263</v>
          </cell>
          <cell r="Q2431" t="str">
            <v>Asignacion de recursos equivalentes a 70 salarios minimos mensuales legales vigentes, conforme a lo estipulado en el decreto 227 de 2015. LOCALIDAD: KENEDY; BARRIO: LAS PALMITAS; ID: 2016-08-14844</v>
          </cell>
          <cell r="R2431">
            <v>54686940</v>
          </cell>
          <cell r="S2431">
            <v>0</v>
          </cell>
          <cell r="T2431">
            <v>0</v>
          </cell>
          <cell r="U2431">
            <v>54686940</v>
          </cell>
          <cell r="V2431">
            <v>54686940</v>
          </cell>
        </row>
        <row r="2432">
          <cell r="J2432">
            <v>2013</v>
          </cell>
          <cell r="K2432">
            <v>43263</v>
          </cell>
          <cell r="L2432" t="str">
            <v>JUAN CARLOS GARCIA</v>
          </cell>
          <cell r="M2432">
            <v>31</v>
          </cell>
          <cell r="N2432" t="str">
            <v>RESOLUCION</v>
          </cell>
          <cell r="O2432">
            <v>2223</v>
          </cell>
          <cell r="P2432">
            <v>43263</v>
          </cell>
          <cell r="Q2432" t="str">
            <v>Asignacion de recursos equivalentes a 70 salarios minimos mensuales legales vigentes, conforme a lo estipulado en el decreto 227 de 2015. LOCALIDAD: KENEDY; BARRIO: LAS PALMITAS; ID: 2017-08-14939</v>
          </cell>
          <cell r="R2432">
            <v>54686940</v>
          </cell>
          <cell r="S2432">
            <v>0</v>
          </cell>
          <cell r="T2432">
            <v>0</v>
          </cell>
          <cell r="U2432">
            <v>54686940</v>
          </cell>
          <cell r="V2432">
            <v>54686940</v>
          </cell>
        </row>
        <row r="2433">
          <cell r="J2433">
            <v>2024</v>
          </cell>
          <cell r="K2433">
            <v>43266</v>
          </cell>
          <cell r="L2433" t="str">
            <v>ARQUIMEDES  RODRIGUEZ OVIEDO</v>
          </cell>
          <cell r="M2433">
            <v>31</v>
          </cell>
          <cell r="N2433" t="str">
            <v>RESOLUCION</v>
          </cell>
          <cell r="O2433">
            <v>2220</v>
          </cell>
          <cell r="P2433">
            <v>43266</v>
          </cell>
          <cell r="Q2433" t="str">
            <v>adquisicón predial por Dto. 511 de 2010. LOCALIDAD:SAN CRISTOBAL; BARRIO:LA BELLEZA; ID:2013-Q10-00424</v>
          </cell>
          <cell r="R2433">
            <v>52944200</v>
          </cell>
          <cell r="S2433">
            <v>0</v>
          </cell>
          <cell r="T2433">
            <v>0</v>
          </cell>
          <cell r="U2433">
            <v>52944200</v>
          </cell>
          <cell r="V2433">
            <v>0</v>
          </cell>
        </row>
        <row r="2434">
          <cell r="J2434">
            <v>2026</v>
          </cell>
          <cell r="K2434">
            <v>43269</v>
          </cell>
          <cell r="L2434" t="str">
            <v>VICTOR MANUEL TORRES AMAYA</v>
          </cell>
          <cell r="M2434">
            <v>31</v>
          </cell>
          <cell r="N2434" t="str">
            <v>RESOLUCION</v>
          </cell>
          <cell r="O2434">
            <v>2279</v>
          </cell>
          <cell r="P2434">
            <v>43269</v>
          </cell>
          <cell r="Q2434" t="str">
            <v>AYUDA TEMPORAL A LAS FAMILIAS DE VARIAS LOCALIDADES, PARA LA RELOCALIZACIÓN DE HOGARES LOCALIZADOS EN ZONAS DE ALTO RIESGO NO MITIGABLE ID:2011-19-12561, LOCALIDAD:19 CIUDAD BOLÍVAR, UPZ:69 ISMAEL PERDOMO, SECTOR:OLA INVERNAL 2010 FOPAE</v>
          </cell>
          <cell r="R2434">
            <v>3490872</v>
          </cell>
          <cell r="S2434">
            <v>0</v>
          </cell>
          <cell r="T2434">
            <v>0</v>
          </cell>
          <cell r="U2434">
            <v>3490872</v>
          </cell>
          <cell r="V2434">
            <v>997392</v>
          </cell>
        </row>
        <row r="2435">
          <cell r="J2435">
            <v>2027</v>
          </cell>
          <cell r="K2435">
            <v>43269</v>
          </cell>
          <cell r="L2435" t="str">
            <v>MARTHA LUCIA AREVALO SALINAS</v>
          </cell>
          <cell r="M2435">
            <v>31</v>
          </cell>
          <cell r="N2435" t="str">
            <v>RESOLUCION</v>
          </cell>
          <cell r="O2435">
            <v>2280</v>
          </cell>
          <cell r="P2435">
            <v>43269</v>
          </cell>
          <cell r="Q2435" t="str">
            <v>AYUDA TEMPORAL A LAS FAMILIAS DE VARIAS LOCALIDADES, PARA LA RELOCALIZACIÓN DE HOGARES LOCALIZADOS EN ZONAS DE ALTO RIESGO NO MITIGABLE ID:2012-4-14199, LOCALIDAD:04 SAN CRISTÓBAL, UPZ:32 SAN BLAS</v>
          </cell>
          <cell r="R2435">
            <v>3515589</v>
          </cell>
          <cell r="S2435">
            <v>0</v>
          </cell>
          <cell r="T2435">
            <v>0</v>
          </cell>
          <cell r="U2435">
            <v>3515589</v>
          </cell>
          <cell r="V2435">
            <v>781242</v>
          </cell>
        </row>
        <row r="2436">
          <cell r="J2436">
            <v>2028</v>
          </cell>
          <cell r="K2436">
            <v>43269</v>
          </cell>
          <cell r="L2436" t="str">
            <v>RAFAEL  BEDOYA</v>
          </cell>
          <cell r="M2436">
            <v>31</v>
          </cell>
          <cell r="N2436" t="str">
            <v>RESOLUCION</v>
          </cell>
          <cell r="O2436">
            <v>2275</v>
          </cell>
          <cell r="P2436">
            <v>43269</v>
          </cell>
          <cell r="Q2436" t="str">
            <v>AYUDA TEMPORAL A LAS FAMILIAS DE VARIAS LOCALIDADES, PARA LA RELOCALIZACIÓN DE HOGARES LOCALIZADOS EN ZONAS DE ALTO RIESGO NO MITIGABLE ID:2012-18-14316, LOCALIDAD:18 RAFAEL URIBE URIBE, UPZ:55 DIANA TURBAY</v>
          </cell>
          <cell r="R2436">
            <v>3812464</v>
          </cell>
          <cell r="S2436">
            <v>0</v>
          </cell>
          <cell r="T2436">
            <v>0</v>
          </cell>
          <cell r="U2436">
            <v>3812464</v>
          </cell>
          <cell r="V2436">
            <v>953116</v>
          </cell>
        </row>
        <row r="2437">
          <cell r="J2437">
            <v>2029</v>
          </cell>
          <cell r="K2437">
            <v>43269</v>
          </cell>
          <cell r="L2437" t="str">
            <v>OLGA PATRICIA ZAMORA SALAMANCA</v>
          </cell>
          <cell r="M2437">
            <v>31</v>
          </cell>
          <cell r="N2437" t="str">
            <v>RESOLUCION</v>
          </cell>
          <cell r="O2437">
            <v>2276</v>
          </cell>
          <cell r="P2437">
            <v>43269</v>
          </cell>
          <cell r="Q2437" t="str">
            <v>AYUDA TEMPORAL A LAS FAMILIAS DE VARIAS LOCALIDADES, PARA LA RELOCALIZACIÓN DE HOGARES LOCALIZADOS EN ZONAS DE ALTO RIESGO NO MITIGABLE ID:2006-4-7956, LOCALIDAD:04 SAN CRISTÓBAL, UPZ:32 SAN BLAS</v>
          </cell>
          <cell r="R2437">
            <v>3124968</v>
          </cell>
          <cell r="S2437">
            <v>0</v>
          </cell>
          <cell r="T2437">
            <v>0</v>
          </cell>
          <cell r="U2437">
            <v>3124968</v>
          </cell>
          <cell r="V2437">
            <v>781242</v>
          </cell>
        </row>
        <row r="2438">
          <cell r="J2438">
            <v>2030</v>
          </cell>
          <cell r="K2438">
            <v>43269</v>
          </cell>
          <cell r="L2438" t="str">
            <v>JOSE ALFONSO BETANCUR MORA</v>
          </cell>
          <cell r="M2438">
            <v>31</v>
          </cell>
          <cell r="N2438" t="str">
            <v>RESOLUCION</v>
          </cell>
          <cell r="O2438">
            <v>2278</v>
          </cell>
          <cell r="P2438">
            <v>43269</v>
          </cell>
          <cell r="Q2438" t="str">
            <v>AYUDA TEMPORAL A LAS FAMILIAS DE VARIAS LOCALIDADES, PARA LA RELOCALIZACIÓN DE HOGARES LOCALIZADOS EN ZONAS DE ALTO RIESGO NO MITIGABLE ID:2013000228, LOCALIDAD:19 CIUDAD BOLÍVAR, UPZ:67 LUCERO, SECTOR:QUEBRADA TROMPETA</v>
          </cell>
          <cell r="R2438">
            <v>3608360</v>
          </cell>
          <cell r="S2438">
            <v>0</v>
          </cell>
          <cell r="T2438">
            <v>0</v>
          </cell>
          <cell r="U2438">
            <v>3608360</v>
          </cell>
          <cell r="V2438">
            <v>902090</v>
          </cell>
        </row>
        <row r="2439">
          <cell r="J2439">
            <v>2032</v>
          </cell>
          <cell r="K2439">
            <v>43270</v>
          </cell>
          <cell r="L2439" t="str">
            <v>JOSE MIGUEL CONTRERAS ROA</v>
          </cell>
          <cell r="M2439">
            <v>31</v>
          </cell>
          <cell r="N2439" t="str">
            <v>RESOLUCION</v>
          </cell>
          <cell r="O2439">
            <v>2274</v>
          </cell>
          <cell r="P2439">
            <v>43270</v>
          </cell>
          <cell r="Q2439" t="str">
            <v>AYUDA TEMPORAL A LAS FAMILIAS DE VARIAS LOCALIDADES, PARA LA RELOCALIZACIÓN DE HOGARES LOCALIZADOS EN ZONAS DE ALTO RIESGO NO MITIGABLE ID:2015-D227-00025, LOCALIDAD:04 SAN CRISTÓBAL, UPZ:51 LOS LIBERTADORES, SECTOR:SANTA TERESITA</v>
          </cell>
          <cell r="R2439">
            <v>3659080</v>
          </cell>
          <cell r="S2439">
            <v>0</v>
          </cell>
          <cell r="T2439">
            <v>0</v>
          </cell>
          <cell r="U2439">
            <v>3659080</v>
          </cell>
          <cell r="V2439">
            <v>914770</v>
          </cell>
        </row>
        <row r="2440">
          <cell r="J2440">
            <v>2033</v>
          </cell>
          <cell r="K2440">
            <v>43270</v>
          </cell>
          <cell r="L2440" t="str">
            <v>LUIS ALBERTO MIRANDA MORELO</v>
          </cell>
          <cell r="M2440">
            <v>31</v>
          </cell>
          <cell r="N2440" t="str">
            <v>RESOLUCION</v>
          </cell>
          <cell r="O2440">
            <v>2277</v>
          </cell>
          <cell r="P2440">
            <v>43270</v>
          </cell>
          <cell r="Q2440" t="str">
            <v>AYUDA TEMPORAL A LAS FAMILIAS DE VARIAS LOCALIDADES, PARA LA RELOCALIZACIÓN DE HOGARES LOCALIZADOS EN ZONAS DE ALTO RIESGO NO MITIGABLE ID:2012-T314-08, LOCALIDAD:04 SAN CRISTÓBAL, UPZ:50 LA GLORIA</v>
          </cell>
          <cell r="R2440">
            <v>3536208</v>
          </cell>
          <cell r="S2440">
            <v>0</v>
          </cell>
          <cell r="T2440">
            <v>0</v>
          </cell>
          <cell r="U2440">
            <v>3536208</v>
          </cell>
          <cell r="V2440">
            <v>884052</v>
          </cell>
        </row>
        <row r="2441">
          <cell r="J2441">
            <v>2034</v>
          </cell>
          <cell r="K2441">
            <v>43270</v>
          </cell>
          <cell r="L2441" t="str">
            <v>LUIS CARLOS RAMIREZ</v>
          </cell>
          <cell r="M2441">
            <v>31</v>
          </cell>
          <cell r="N2441" t="str">
            <v>RESOLUCION</v>
          </cell>
          <cell r="O2441">
            <v>2237</v>
          </cell>
          <cell r="P2441">
            <v>43270</v>
          </cell>
          <cell r="Q2441" t="str">
            <v>VUR DE LA ACTUAL VIGENCIA. LA ASIGNACIÓN SE REALIZA PARA DAR CUMPLIMIENTO AL FALLO DE ACCIÓN POPULAR 2002-00152- SUBA GAVILANES. DECRETO 255 DE 2013.LOCALIDAD: SUBA (GAVILANES); BARRIO: BILBAO; ID: 2018-11-15060</v>
          </cell>
          <cell r="R2441">
            <v>39062100</v>
          </cell>
          <cell r="S2441">
            <v>0</v>
          </cell>
          <cell r="T2441">
            <v>0</v>
          </cell>
          <cell r="U2441">
            <v>39062100</v>
          </cell>
          <cell r="V2441">
            <v>0</v>
          </cell>
        </row>
        <row r="2442">
          <cell r="J2442">
            <v>2035</v>
          </cell>
          <cell r="K2442">
            <v>43270</v>
          </cell>
          <cell r="L2442" t="str">
            <v>JHOAN ESNEIDER SAMACA ROSERO</v>
          </cell>
          <cell r="M2442">
            <v>31</v>
          </cell>
          <cell r="N2442" t="str">
            <v>RESOLUCION</v>
          </cell>
          <cell r="O2442">
            <v>2298</v>
          </cell>
          <cell r="P2442">
            <v>43270</v>
          </cell>
          <cell r="Q2442" t="str">
            <v>Asignacion del instrumento financiero a las familias ocupantes del predio que hayan superado la fase de verificacion dentro  del marco del Decreto 457 de 2017. LOCALIDAD: KENNEDY; BARRIO: VEREDITAS; ID: 2018-08-384584</v>
          </cell>
          <cell r="R2442">
            <v>54686940</v>
          </cell>
          <cell r="S2442">
            <v>0</v>
          </cell>
          <cell r="T2442">
            <v>0</v>
          </cell>
          <cell r="U2442">
            <v>54686940</v>
          </cell>
          <cell r="V2442">
            <v>54686940</v>
          </cell>
        </row>
        <row r="2443">
          <cell r="J2443">
            <v>2036</v>
          </cell>
          <cell r="K2443">
            <v>43270</v>
          </cell>
          <cell r="L2443" t="str">
            <v>CESAR ANDRES BARON LESMES</v>
          </cell>
          <cell r="M2443">
            <v>31</v>
          </cell>
          <cell r="N2443" t="str">
            <v>RESOLUCION</v>
          </cell>
          <cell r="O2443">
            <v>2299</v>
          </cell>
          <cell r="P2443">
            <v>43270</v>
          </cell>
          <cell r="Q2443" t="str">
            <v>Asignacion del instrumento financiero a las familias ocupantes del predio que hayan superado la fase de verificacion dentro  del marco del Decreto 457 de 2017. LOCALIDAD: KENNEDY; BARRIO: VEREDITAS; ID: 2018-8-384317</v>
          </cell>
          <cell r="R2443">
            <v>54686940</v>
          </cell>
          <cell r="S2443">
            <v>0</v>
          </cell>
          <cell r="T2443">
            <v>0</v>
          </cell>
          <cell r="U2443">
            <v>54686940</v>
          </cell>
          <cell r="V2443">
            <v>54686940</v>
          </cell>
        </row>
        <row r="2444">
          <cell r="J2444">
            <v>2040</v>
          </cell>
          <cell r="K2444">
            <v>43271</v>
          </cell>
          <cell r="L2444" t="str">
            <v>JOHN DIDIER TIRADO ROSERO</v>
          </cell>
          <cell r="M2444">
            <v>31</v>
          </cell>
          <cell r="N2444" t="str">
            <v>RESOLUCION</v>
          </cell>
          <cell r="O2444">
            <v>2296</v>
          </cell>
          <cell r="P2444">
            <v>43271</v>
          </cell>
          <cell r="Q2444" t="str">
            <v>Asignacion del instrumento financiero a las familias ocupantes del predio que hayan superado la fase de verificacion dentro  del marco del Decreto 457 de 2017. LOCALIDAD: KENNEDY; BARRIO: VEREDITAS; ID: 2017-8-383653</v>
          </cell>
          <cell r="R2444">
            <v>54686940</v>
          </cell>
          <cell r="S2444">
            <v>0</v>
          </cell>
          <cell r="T2444">
            <v>0</v>
          </cell>
          <cell r="U2444">
            <v>54686940</v>
          </cell>
          <cell r="V2444">
            <v>54686940</v>
          </cell>
        </row>
        <row r="2445">
          <cell r="J2445">
            <v>2041</v>
          </cell>
          <cell r="K2445">
            <v>43271</v>
          </cell>
          <cell r="L2445" t="str">
            <v>NIDIA BIBIANA LESMES SANCHEZ</v>
          </cell>
          <cell r="M2445">
            <v>31</v>
          </cell>
          <cell r="N2445" t="str">
            <v>RESOLUCION</v>
          </cell>
          <cell r="O2445">
            <v>2297</v>
          </cell>
          <cell r="P2445">
            <v>43271</v>
          </cell>
          <cell r="Q2445" t="str">
            <v>Asignacion del instrumento financiero a las familias ocupantes del predio que hayan superado la fase de verificacion dentro  del marco del Decreto 457 de 2017. LOCALIDAD: KENNEDY; BARRIO: VEREDITAS; ID: 2018-8-384318</v>
          </cell>
          <cell r="R2445">
            <v>54686940</v>
          </cell>
          <cell r="S2445">
            <v>0</v>
          </cell>
          <cell r="T2445">
            <v>0</v>
          </cell>
          <cell r="U2445">
            <v>54686940</v>
          </cell>
          <cell r="V2445">
            <v>54686940</v>
          </cell>
        </row>
        <row r="2446">
          <cell r="J2446">
            <v>2047</v>
          </cell>
          <cell r="K2446">
            <v>43271</v>
          </cell>
          <cell r="L2446" t="str">
            <v>BLANCA NORA MONTENEGRO</v>
          </cell>
          <cell r="M2446">
            <v>31</v>
          </cell>
          <cell r="N2446" t="str">
            <v>RESOLUCION</v>
          </cell>
          <cell r="O2446">
            <v>2236</v>
          </cell>
          <cell r="P2446">
            <v>43271</v>
          </cell>
          <cell r="Q2446" t="str">
            <v>VUR DE LA ACTUAL VIGENCIA. LA ASIGNACIÓN SE REALIZA PARA DAR CUMPLIMIENTO AL FALLO DE ACCIÓN POPULAR 2002-00152- SUBA GAVILANES. DECRETO 255 DE 2013.LOCALIDAD: SUBA (GAVILANES); BARRIO: SANTA CECILIA; ID: 2018-11-15214</v>
          </cell>
          <cell r="R2446">
            <v>39062100</v>
          </cell>
          <cell r="S2446">
            <v>0</v>
          </cell>
          <cell r="T2446">
            <v>0</v>
          </cell>
          <cell r="U2446">
            <v>39062100</v>
          </cell>
          <cell r="V2446">
            <v>0</v>
          </cell>
        </row>
        <row r="2447">
          <cell r="J2447">
            <v>2057</v>
          </cell>
          <cell r="K2447">
            <v>43273</v>
          </cell>
          <cell r="L2447" t="str">
            <v>FRANCISCO LUIS LOPEZ OROZCO</v>
          </cell>
          <cell r="M2447">
            <v>31</v>
          </cell>
          <cell r="N2447" t="str">
            <v>RESOLUCION</v>
          </cell>
          <cell r="O2447">
            <v>2387</v>
          </cell>
          <cell r="P2447">
            <v>43273</v>
          </cell>
          <cell r="Q2447" t="str">
            <v>AYUDA TEMPORAL A LAS FAMILIAS DE VARIAS LOCALIDADES, PARA LA RELOCALIZACIÓN DE HOGARES LOCALIZADOS EN ZONAS DE ALTO RIESGO NO MITIGABLE ID:2011-19-12882, LOCALIDAD:19 CIUDAD BOLÍVAR, UPZ:67 LUCERO</v>
          </cell>
          <cell r="R2447">
            <v>2788562</v>
          </cell>
          <cell r="S2447">
            <v>0</v>
          </cell>
          <cell r="T2447">
            <v>0</v>
          </cell>
          <cell r="U2447">
            <v>2788562</v>
          </cell>
          <cell r="V2447">
            <v>796732</v>
          </cell>
        </row>
        <row r="2448">
          <cell r="J2448">
            <v>2058</v>
          </cell>
          <cell r="K2448">
            <v>43273</v>
          </cell>
          <cell r="L2448" t="str">
            <v>LUIS ELIZARDO QUIROGA PEÑA</v>
          </cell>
          <cell r="M2448">
            <v>31</v>
          </cell>
          <cell r="N2448" t="str">
            <v>RESOLUCION</v>
          </cell>
          <cell r="O2448">
            <v>2386</v>
          </cell>
          <cell r="P2448">
            <v>43273</v>
          </cell>
          <cell r="Q2448" t="str">
            <v>AYUDA TEMPORAL A LAS FAMILIAS DE VARIAS LOCALIDADES, PARA LA RELOCALIZACIÓN DE HOGARES LOCALIZADOS EN ZONAS DE ALTO RIESGO NO MITIGABLE ID:2012-18-14355, LOCALIDAD:18 RAFAEL URIBE URIBE, UPZ:55 DIANA TURBAY</v>
          </cell>
          <cell r="R2448">
            <v>2618154</v>
          </cell>
          <cell r="S2448">
            <v>0</v>
          </cell>
          <cell r="T2448">
            <v>0</v>
          </cell>
          <cell r="U2448">
            <v>2618154</v>
          </cell>
          <cell r="V2448">
            <v>748044</v>
          </cell>
        </row>
        <row r="2449">
          <cell r="J2449">
            <v>2059</v>
          </cell>
          <cell r="K2449">
            <v>43273</v>
          </cell>
          <cell r="L2449" t="str">
            <v>MARIELA  CHARRY PINTO</v>
          </cell>
          <cell r="M2449">
            <v>31</v>
          </cell>
          <cell r="N2449" t="str">
            <v>RESOLUCION</v>
          </cell>
          <cell r="O2449">
            <v>2385</v>
          </cell>
          <cell r="P2449">
            <v>43273</v>
          </cell>
          <cell r="Q2449" t="str">
            <v>AYUDA TEMPORAL A LAS FAMILIAS DE VARIAS LOCALIDADES, PARA LA RELOCALIZACIÓN DE HOGARES LOCALIZADOS EN ZONAS DE ALTO RIESGO NO MITIGABLE ID:2012-18-14360, LOCALIDAD:18 RAFAEL URIBE URIBE, UPZ:55 DIANA TURBAY</v>
          </cell>
          <cell r="R2449">
            <v>3752413</v>
          </cell>
          <cell r="S2449">
            <v>0</v>
          </cell>
          <cell r="T2449">
            <v>0</v>
          </cell>
          <cell r="U2449">
            <v>3752413</v>
          </cell>
          <cell r="V2449">
            <v>1072118</v>
          </cell>
        </row>
        <row r="2450">
          <cell r="J2450">
            <v>2060</v>
          </cell>
          <cell r="K2450">
            <v>43273</v>
          </cell>
          <cell r="L2450" t="str">
            <v>MARIA HILDA PRIETO SALAMANCA</v>
          </cell>
          <cell r="M2450">
            <v>31</v>
          </cell>
          <cell r="N2450" t="str">
            <v>RESOLUCION</v>
          </cell>
          <cell r="O2450">
            <v>2384</v>
          </cell>
          <cell r="P2450">
            <v>43273</v>
          </cell>
          <cell r="Q2450" t="str">
            <v>AYUDA TEMPORAL A LAS FAMILIAS DE VARIAS LOCALIDADES, PARA LA RELOCALIZACIÓN DE HOGARES LOCALIZADOS EN ZONAS DE ALTO RIESGO NO MITIGABLE ID:2011-4-13355, LOCALIDAD:04 SAN CRISTÓBAL, UPZ:32 SAN BLAS</v>
          </cell>
          <cell r="R2450">
            <v>3363507</v>
          </cell>
          <cell r="S2450">
            <v>0</v>
          </cell>
          <cell r="T2450">
            <v>0</v>
          </cell>
          <cell r="U2450">
            <v>3363507</v>
          </cell>
          <cell r="V2450">
            <v>961002</v>
          </cell>
        </row>
        <row r="2451">
          <cell r="J2451">
            <v>2061</v>
          </cell>
          <cell r="K2451">
            <v>43273</v>
          </cell>
          <cell r="L2451" t="str">
            <v>MARIA ELVIRA TOVAR</v>
          </cell>
          <cell r="M2451">
            <v>31</v>
          </cell>
          <cell r="N2451" t="str">
            <v>RESOLUCION</v>
          </cell>
          <cell r="O2451">
            <v>2409</v>
          </cell>
          <cell r="P2451">
            <v>43273</v>
          </cell>
          <cell r="Q2451" t="str">
            <v>AYUDA TEMPORAL A LAS FAMILIAS DE VARIAS LOCALIDADES, PARA RELOCALIZACIÓN DE HOGARES LOCALIZADOS EN ZONAS DE ALTO RIESGO NO MITIGABLE ID:2013000328, LOCALIDAD:19 CIUDAD BOLÍVAR, UPZ:67 LUCERO, SECTOR:PEÑA COLORADA</v>
          </cell>
          <cell r="R2451">
            <v>3157315</v>
          </cell>
          <cell r="S2451">
            <v>0</v>
          </cell>
          <cell r="T2451">
            <v>0</v>
          </cell>
          <cell r="U2451">
            <v>3157315</v>
          </cell>
          <cell r="V2451">
            <v>902090</v>
          </cell>
        </row>
        <row r="2452">
          <cell r="J2452">
            <v>2062</v>
          </cell>
          <cell r="K2452">
            <v>43273</v>
          </cell>
          <cell r="L2452" t="str">
            <v>MARINELA  GAONA GONZALEZ</v>
          </cell>
          <cell r="M2452">
            <v>31</v>
          </cell>
          <cell r="N2452" t="str">
            <v>RESOLUCION</v>
          </cell>
          <cell r="O2452">
            <v>2383</v>
          </cell>
          <cell r="P2452">
            <v>43273</v>
          </cell>
          <cell r="Q2452" t="str">
            <v>AYUDA TEMPORAL A LAS FAMILIAS DE VARIAS LOCALIDADES, PARA LA RELOCALIZACIÓN DE HOGARES LOCALIZADOS EN ZONAS DE ALTO RIESGO NO MITIGABLE ID:2012-4-14293, LOCALIDAD:04 SAN CRISTÓBAL, UPZ:50 LA GLORIA</v>
          </cell>
          <cell r="R2452">
            <v>3017000</v>
          </cell>
          <cell r="S2452">
            <v>0</v>
          </cell>
          <cell r="T2452">
            <v>0</v>
          </cell>
          <cell r="U2452">
            <v>3017000</v>
          </cell>
          <cell r="V2452">
            <v>862000</v>
          </cell>
        </row>
        <row r="2453">
          <cell r="J2453">
            <v>2063</v>
          </cell>
          <cell r="K2453">
            <v>43273</v>
          </cell>
          <cell r="L2453" t="str">
            <v>YAMILE  MENDEZ</v>
          </cell>
          <cell r="M2453">
            <v>31</v>
          </cell>
          <cell r="N2453" t="str">
            <v>RESOLUCION</v>
          </cell>
          <cell r="O2453">
            <v>2382</v>
          </cell>
          <cell r="P2453">
            <v>43273</v>
          </cell>
          <cell r="Q2453" t="str">
            <v>AYUDA TEMPORAL A LAS FAMILIAS DE VARIAS LOCALIDADES, PARA LA RELOCALIZACIÓN DE HOGARES LOCALIZADOS EN ZONAS DE ALTO RIESGO NO MITIGABLE ID:2012-ALES-132, LOCALIDAD:19 CIUDAD BOLÍVAR, UPZ:69 ISMAEL PERDOMO, SECTOR:ALTOS DE LA ESTANCIA</v>
          </cell>
          <cell r="R2453">
            <v>3017000</v>
          </cell>
          <cell r="S2453">
            <v>0</v>
          </cell>
          <cell r="T2453">
            <v>0</v>
          </cell>
          <cell r="U2453">
            <v>3017000</v>
          </cell>
          <cell r="V2453">
            <v>862000</v>
          </cell>
        </row>
        <row r="2454">
          <cell r="J2454">
            <v>2064</v>
          </cell>
          <cell r="K2454">
            <v>43273</v>
          </cell>
          <cell r="L2454" t="str">
            <v>CONCEPCION  TOVAR MUÑOZ</v>
          </cell>
          <cell r="M2454">
            <v>31</v>
          </cell>
          <cell r="N2454" t="str">
            <v>RESOLUCION</v>
          </cell>
          <cell r="O2454">
            <v>2381</v>
          </cell>
          <cell r="P2454">
            <v>43273</v>
          </cell>
          <cell r="Q2454" t="str">
            <v>AYUDA TEMPORAL A LAS FAMILIAS DE VARIAS LOCALIDADES, PARA LA RELOCALIZACIÓN DE HOGARES LOCALIZADOS EN ZONAS DE ALTO RIESGO NO MITIGABLE ID:2011-5-12895, LOCALIDAD:05 USME, UPZ:61 CIUDAD DE USME</v>
          </cell>
          <cell r="R2454">
            <v>3374280</v>
          </cell>
          <cell r="S2454">
            <v>0</v>
          </cell>
          <cell r="T2454">
            <v>0</v>
          </cell>
          <cell r="U2454">
            <v>3374280</v>
          </cell>
          <cell r="V2454">
            <v>964080</v>
          </cell>
        </row>
        <row r="2455">
          <cell r="J2455">
            <v>2065</v>
          </cell>
          <cell r="K2455">
            <v>43273</v>
          </cell>
          <cell r="L2455" t="str">
            <v>ARAMINTA  PIÑEROS MARTIN</v>
          </cell>
          <cell r="M2455">
            <v>31</v>
          </cell>
          <cell r="N2455" t="str">
            <v>RESOLUCION</v>
          </cell>
          <cell r="O2455">
            <v>2380</v>
          </cell>
          <cell r="P2455">
            <v>43273</v>
          </cell>
          <cell r="Q2455" t="str">
            <v>AYUDA TEMPORAL A LAS FAMILIAS DE VARIAS LOCALIDADES, PARA LA RELOCALIZACIÓN DE HOGARES LOCALIZADOS EN ZONAS DE ALTO RIESGO NO MITIGABLE ID:2011-5-13039, LOCALIDAD:05 USME, UPZ:56 DANUBIO</v>
          </cell>
          <cell r="R2455">
            <v>3201695</v>
          </cell>
          <cell r="S2455">
            <v>0</v>
          </cell>
          <cell r="T2455">
            <v>0</v>
          </cell>
          <cell r="U2455">
            <v>3201695</v>
          </cell>
          <cell r="V2455">
            <v>914770</v>
          </cell>
        </row>
        <row r="2456">
          <cell r="J2456">
            <v>2066</v>
          </cell>
          <cell r="K2456">
            <v>43273</v>
          </cell>
          <cell r="L2456" t="str">
            <v>ANA ISABEL FORERO SOTO</v>
          </cell>
          <cell r="M2456">
            <v>31</v>
          </cell>
          <cell r="N2456" t="str">
            <v>RESOLUCION</v>
          </cell>
          <cell r="O2456">
            <v>2408</v>
          </cell>
          <cell r="P2456">
            <v>43273</v>
          </cell>
          <cell r="Q2456" t="str">
            <v>AYUDA TEMPORAL A LAS FAMILIAS DE VARIAS LOCALIDADES, PARA LA RELOCALIZACIÓN DE HOGARES LOCALIZADOS EN ZONAS DE ALTO RIESGO NO MITIGABLE ID:2014-OTR-00879, LOCALIDAD:03 SANTA FE, UPZ:96 LOURDES, SECTOR:CASA 2</v>
          </cell>
          <cell r="R2456">
            <v>3516527</v>
          </cell>
          <cell r="S2456">
            <v>0</v>
          </cell>
          <cell r="T2456">
            <v>0</v>
          </cell>
          <cell r="U2456">
            <v>3516527</v>
          </cell>
          <cell r="V2456">
            <v>1004722</v>
          </cell>
        </row>
        <row r="2457">
          <cell r="J2457">
            <v>2067</v>
          </cell>
          <cell r="K2457">
            <v>43273</v>
          </cell>
          <cell r="L2457" t="str">
            <v>MARIA DE LOS ANGELES LOPEZ RUIZ</v>
          </cell>
          <cell r="M2457">
            <v>31</v>
          </cell>
          <cell r="N2457" t="str">
            <v>RESOLUCION</v>
          </cell>
          <cell r="O2457">
            <v>2379</v>
          </cell>
          <cell r="P2457">
            <v>43273</v>
          </cell>
          <cell r="Q2457" t="str">
            <v>AYUDA TEMPORAL A LAS FAMILIAS DE VARIAS LOCALIDADES, PARA LA RELOCALIZACIÓN DE HOGARES LOCALIZADOS EN ZONAS DE ALTO RIESGO NO MITIGABLE ID:2012-ALES-131, LOCALIDAD:19 CIUDAD BOLÍVAR, UPZ:69 ISMAEL PERDOMO</v>
          </cell>
          <cell r="R2457">
            <v>3619000</v>
          </cell>
          <cell r="S2457">
            <v>0</v>
          </cell>
          <cell r="T2457">
            <v>0</v>
          </cell>
          <cell r="U2457">
            <v>3619000</v>
          </cell>
          <cell r="V2457">
            <v>1034000</v>
          </cell>
        </row>
        <row r="2458">
          <cell r="J2458">
            <v>2068</v>
          </cell>
          <cell r="K2458">
            <v>43273</v>
          </cell>
          <cell r="L2458" t="str">
            <v>GLORIA  NIÑO VILLALBA</v>
          </cell>
          <cell r="M2458">
            <v>31</v>
          </cell>
          <cell r="N2458" t="str">
            <v>RESOLUCION</v>
          </cell>
          <cell r="O2458">
            <v>2407</v>
          </cell>
          <cell r="P2458">
            <v>43273</v>
          </cell>
          <cell r="Q2458" t="str">
            <v>AYUDA TEMPORAL A LAS FAMILIAS DE VARIAS LOCALIDADES, PARA LA RELOCALIZACIÓN DE HOGARES LOCALIZADOS EN ZONAS DE ALTO RIESGO NO MITIGABLE ID:2014-OTR-00897, LOCALIDAD:03 SANTA FE, UPZ:96 LOURDES, SECTOR:CASA 3</v>
          </cell>
          <cell r="R2458">
            <v>2976771</v>
          </cell>
          <cell r="S2458">
            <v>0</v>
          </cell>
          <cell r="T2458">
            <v>0</v>
          </cell>
          <cell r="U2458">
            <v>2976771</v>
          </cell>
          <cell r="V2458">
            <v>850506</v>
          </cell>
        </row>
        <row r="2459">
          <cell r="J2459">
            <v>2069</v>
          </cell>
          <cell r="K2459">
            <v>43273</v>
          </cell>
          <cell r="L2459" t="str">
            <v>YUDI KATERINE RAMIREZ RODRIGUEZ</v>
          </cell>
          <cell r="M2459">
            <v>31</v>
          </cell>
          <cell r="N2459" t="str">
            <v>RESOLUCION</v>
          </cell>
          <cell r="O2459">
            <v>2406</v>
          </cell>
          <cell r="P2459">
            <v>43273</v>
          </cell>
          <cell r="Q2459" t="str">
            <v>AYUDA TEMPORAL A LAS FAMILIAS DE VARIAS LOCALIDADES, PARA LA RELOCALIZACIÓN DE HOGARES LOCALIZADOS EN ZONAS DE ALTO RIESGO NO MITIGABLE ID:2014-OTR-00882, LOCALIDAD:03 SANTA FE, UPZ:96 LOURDES, SECTOR:CASA 2</v>
          </cell>
          <cell r="R2459">
            <v>3518186</v>
          </cell>
          <cell r="S2459">
            <v>0</v>
          </cell>
          <cell r="T2459">
            <v>0</v>
          </cell>
          <cell r="U2459">
            <v>3518186</v>
          </cell>
          <cell r="V2459">
            <v>1005196</v>
          </cell>
        </row>
        <row r="2460">
          <cell r="J2460">
            <v>2070</v>
          </cell>
          <cell r="K2460">
            <v>43273</v>
          </cell>
          <cell r="L2460" t="str">
            <v>NELLY  SUA OJEDA</v>
          </cell>
          <cell r="M2460">
            <v>31</v>
          </cell>
          <cell r="N2460" t="str">
            <v>RESOLUCION</v>
          </cell>
          <cell r="O2460">
            <v>2377</v>
          </cell>
          <cell r="P2460">
            <v>43273</v>
          </cell>
          <cell r="Q2460" t="str">
            <v>AYUDA TEMPORAL A LAS FAMILIAS DE VARIAS LOCALIDADES, PARA LA RELOCALIZACIÓN DE HOGARES LOCALIZADOS EN ZONAS DE ALTO RIESGO NO MITIGABLE ID:2012-19-14068, LOCALIDAD:19 CIUDAD BOLÍVAR, UPZ:68 EL TESORO, SECTOR:QUEBRADA TROMPETA</v>
          </cell>
          <cell r="R2460">
            <v>3570210</v>
          </cell>
          <cell r="S2460">
            <v>0</v>
          </cell>
          <cell r="T2460">
            <v>0</v>
          </cell>
          <cell r="U2460">
            <v>3570210</v>
          </cell>
          <cell r="V2460">
            <v>1020060</v>
          </cell>
        </row>
        <row r="2461">
          <cell r="J2461">
            <v>2071</v>
          </cell>
          <cell r="K2461">
            <v>43273</v>
          </cell>
          <cell r="L2461" t="str">
            <v>EVANGELISTA  ARDILA QUIROGA</v>
          </cell>
          <cell r="M2461">
            <v>31</v>
          </cell>
          <cell r="N2461" t="str">
            <v>RESOLUCION</v>
          </cell>
          <cell r="O2461">
            <v>2376</v>
          </cell>
          <cell r="P2461">
            <v>43273</v>
          </cell>
          <cell r="Q2461" t="str">
            <v>AYUDA TEMPORAL A LAS FAMILIAS DE VARIAS LOCALIDADES, PARA LA RELOCALIZACIÓN DE HOGARES LOCALIZADOS EN ZONAS DE ALTO RIESGO NO MITIGABLE ID:2012-19-14220, LOCALIDAD:19 CIUDAD BOLÍVAR, UPZ:68 EL TESORO, SECTOR:QUEBRADA TROMPETA</v>
          </cell>
          <cell r="R2461">
            <v>2685291</v>
          </cell>
          <cell r="S2461">
            <v>0</v>
          </cell>
          <cell r="T2461">
            <v>0</v>
          </cell>
          <cell r="U2461">
            <v>2685291</v>
          </cell>
          <cell r="V2461">
            <v>767226</v>
          </cell>
        </row>
        <row r="2462">
          <cell r="J2462">
            <v>2072</v>
          </cell>
          <cell r="K2462">
            <v>43273</v>
          </cell>
          <cell r="L2462" t="str">
            <v>NATALI  RODRIGUEZ GONZALEZ</v>
          </cell>
          <cell r="M2462">
            <v>31</v>
          </cell>
          <cell r="N2462" t="str">
            <v>RESOLUCION</v>
          </cell>
          <cell r="O2462">
            <v>2405</v>
          </cell>
          <cell r="P2462">
            <v>43273</v>
          </cell>
          <cell r="Q2462" t="str">
            <v>AYUDA TEMPORAL A LAS FAMILIAS DE VARIAS LOCALIDADES, PARA LA RELOCALIZACIÓN DE HOGARES LOCALIZADOS EN ZONAS DE ALTO RIESGO NO MITIGABLE ID:2014-OTR-01001, LOCALIDAD:19 CIUDAD BOLÍVAR, UPZ:67 LUCERO, SECTOR:TABOR ALTALOMA</v>
          </cell>
          <cell r="R2462">
            <v>2582006</v>
          </cell>
          <cell r="S2462">
            <v>0</v>
          </cell>
          <cell r="T2462">
            <v>0</v>
          </cell>
          <cell r="U2462">
            <v>2582006</v>
          </cell>
          <cell r="V2462">
            <v>737716</v>
          </cell>
        </row>
        <row r="2463">
          <cell r="J2463">
            <v>2073</v>
          </cell>
          <cell r="K2463">
            <v>43273</v>
          </cell>
          <cell r="L2463" t="str">
            <v>ANDREA ESMERALDA FRANCO ALGECIRA</v>
          </cell>
          <cell r="M2463">
            <v>31</v>
          </cell>
          <cell r="N2463" t="str">
            <v>RESOLUCION</v>
          </cell>
          <cell r="O2463">
            <v>2375</v>
          </cell>
          <cell r="P2463">
            <v>43273</v>
          </cell>
          <cell r="Q2463" t="str">
            <v>AYUDA TEMPORAL A LAS FAMILIAS DE VARIAS LOCALIDADES, PARA LA RELOCALIZACIÓN DE HOGARES LOCALIZADOS EN ZONAS DE ALTO RIESGO NO MITIGABLE ID:2014-18-14706, LOCALIDAD:18 RAFAEL URIBE URIBE, UPZ:53 MARCO FIDEL SUÁREZ</v>
          </cell>
          <cell r="R2463">
            <v>2893681</v>
          </cell>
          <cell r="S2463">
            <v>0</v>
          </cell>
          <cell r="T2463">
            <v>0</v>
          </cell>
          <cell r="U2463">
            <v>2893681</v>
          </cell>
          <cell r="V2463">
            <v>826766</v>
          </cell>
        </row>
        <row r="2464">
          <cell r="J2464">
            <v>2074</v>
          </cell>
          <cell r="K2464">
            <v>43273</v>
          </cell>
          <cell r="L2464" t="str">
            <v>MORELIA  CANO</v>
          </cell>
          <cell r="M2464">
            <v>31</v>
          </cell>
          <cell r="N2464" t="str">
            <v>RESOLUCION</v>
          </cell>
          <cell r="O2464">
            <v>2374</v>
          </cell>
          <cell r="P2464">
            <v>43273</v>
          </cell>
          <cell r="Q2464" t="str">
            <v>AYUDA TEMPORAL A LAS FAMILIAS DE VARIAS LOCALIDADES, PARA LA RELOCALIZACIÓN DE HOGARES LOCALIZADOS EN ZONAS DE ALTO RIESGO NO MITIGABLE ID:2011-4-12639, LOCALIDAD:04 SAN CRISTÓBAL, UPZ:32 SAN BLAS</v>
          </cell>
          <cell r="R2464">
            <v>2582006</v>
          </cell>
          <cell r="S2464">
            <v>0</v>
          </cell>
          <cell r="T2464">
            <v>0</v>
          </cell>
          <cell r="U2464">
            <v>2582006</v>
          </cell>
          <cell r="V2464">
            <v>737716</v>
          </cell>
        </row>
        <row r="2465">
          <cell r="J2465">
            <v>2075</v>
          </cell>
          <cell r="K2465">
            <v>43273</v>
          </cell>
          <cell r="L2465" t="str">
            <v>DIANA MARCELA OSORIO MORALES</v>
          </cell>
          <cell r="M2465">
            <v>31</v>
          </cell>
          <cell r="N2465" t="str">
            <v>RESOLUCION</v>
          </cell>
          <cell r="O2465">
            <v>2404</v>
          </cell>
          <cell r="P2465">
            <v>43273</v>
          </cell>
          <cell r="Q2465" t="str">
            <v>AYUDA TEMPORAL A LAS FAMILIAS DE VARIAS LOCALIDADES, PARA LA RELOCALIZACIÓN DE HOGARES LOCALIZADOS EN ZONAS DE ALTO RIESGO NO MITIGABLE ID:2014-LC-00791, LOCALIDAD:19 CIUDAD BOLÍVAR, UPZ:69 ISMAEL PERDOMO</v>
          </cell>
          <cell r="R2465">
            <v>2845920</v>
          </cell>
          <cell r="S2465">
            <v>0</v>
          </cell>
          <cell r="T2465">
            <v>0</v>
          </cell>
          <cell r="U2465">
            <v>2845920</v>
          </cell>
          <cell r="V2465">
            <v>813120</v>
          </cell>
        </row>
        <row r="2466">
          <cell r="J2466">
            <v>2076</v>
          </cell>
          <cell r="K2466">
            <v>43273</v>
          </cell>
          <cell r="L2466" t="str">
            <v>VICTOR ANTONIO RIVERO SEVILLA</v>
          </cell>
          <cell r="M2466">
            <v>31</v>
          </cell>
          <cell r="N2466" t="str">
            <v>RESOLUCION</v>
          </cell>
          <cell r="O2466">
            <v>2373</v>
          </cell>
          <cell r="P2466">
            <v>43273</v>
          </cell>
          <cell r="Q2466" t="str">
            <v>AYUDA TEMPORAL A LAS FAMILIAS DE VARIAS LOCALIDADES, PARA LA RELOCALIZACIÓN DE HOGARES LOCALIZADOS EN ZONAS DE ALTO RIESGO NO MITIGABLE ID:2011-4-12657, LOCALIDAD:04 SAN CRISTÓBAL, UPZ:32 SAN BLAS</v>
          </cell>
          <cell r="R2466">
            <v>3367686</v>
          </cell>
          <cell r="S2466">
            <v>0</v>
          </cell>
          <cell r="T2466">
            <v>0</v>
          </cell>
          <cell r="U2466">
            <v>3367686</v>
          </cell>
          <cell r="V2466">
            <v>962196</v>
          </cell>
        </row>
        <row r="2467">
          <cell r="J2467">
            <v>2077</v>
          </cell>
          <cell r="K2467">
            <v>43273</v>
          </cell>
          <cell r="L2467" t="str">
            <v>DORYS MIREYA CAMARGO BUITRAGO</v>
          </cell>
          <cell r="M2467">
            <v>31</v>
          </cell>
          <cell r="N2467" t="str">
            <v>RESOLUCION</v>
          </cell>
          <cell r="O2467">
            <v>2372</v>
          </cell>
          <cell r="P2467">
            <v>43273</v>
          </cell>
          <cell r="Q2467" t="str">
            <v>AYUDA TEMPORAL A LAS FAMILIAS DE VARIAS LOCALIDADES, PARA LA RELOCALIZACIÓN DE HOGARES LOCALIZADOS EN ZONAS DE ALTO RIESGO NO MITIGABLE ID:2011-4-12630, LOCALIDAD:04 SAN CRISTÓBAL, UPZ:32 SAN BLAS</v>
          </cell>
          <cell r="R2467">
            <v>2582006</v>
          </cell>
          <cell r="S2467">
            <v>0</v>
          </cell>
          <cell r="T2467">
            <v>0</v>
          </cell>
          <cell r="U2467">
            <v>2582006</v>
          </cell>
          <cell r="V2467">
            <v>737716</v>
          </cell>
        </row>
        <row r="2468">
          <cell r="J2468">
            <v>2078</v>
          </cell>
          <cell r="K2468">
            <v>43273</v>
          </cell>
          <cell r="L2468" t="str">
            <v>RAMIRO  LEON PEREZ</v>
          </cell>
          <cell r="M2468">
            <v>31</v>
          </cell>
          <cell r="N2468" t="str">
            <v>RESOLUCION</v>
          </cell>
          <cell r="O2468">
            <v>2403</v>
          </cell>
          <cell r="P2468">
            <v>43273</v>
          </cell>
          <cell r="Q2468" t="str">
            <v>AYUDA TEMPORAL A LAS FAMILIAS DE VARIAS LOCALIDADES, PARA LA RELOCALIZACIÓN DE HOGARES LOCALIZADOS EN ZONAS DE ALTO RIESGO NO MITIGABLE ID:2011-4-12692, LOCALIDAD:04 SAN CRISTÓBAL, UPZ:32 SAN BLAS</v>
          </cell>
          <cell r="R2468">
            <v>2582006</v>
          </cell>
          <cell r="S2468">
            <v>0</v>
          </cell>
          <cell r="T2468">
            <v>0</v>
          </cell>
          <cell r="U2468">
            <v>2582006</v>
          </cell>
          <cell r="V2468">
            <v>737716</v>
          </cell>
        </row>
        <row r="2469">
          <cell r="J2469">
            <v>2079</v>
          </cell>
          <cell r="K2469">
            <v>43273</v>
          </cell>
          <cell r="L2469" t="str">
            <v>ANA LUCERO DIAZ DIAZ</v>
          </cell>
          <cell r="M2469">
            <v>31</v>
          </cell>
          <cell r="N2469" t="str">
            <v>RESOLUCION</v>
          </cell>
          <cell r="O2469">
            <v>2371</v>
          </cell>
          <cell r="P2469">
            <v>43273</v>
          </cell>
          <cell r="Q2469" t="str">
            <v>AYUDA TEMPORAL A LAS FAMILIAS DE VARIAS LOCALIDADES, PARA LA RELOCALIZACIÓN DE HOGARES LOCALIZADOS EN ZONAS DE ALTO RIESGO NO MITIGABLE ID:2010-5-11581, LOCALIDAD:05 USME, UPZ:57 GRAN YOMASA, SECTOR:OLA INVERNAL 2010 FOPAE</v>
          </cell>
          <cell r="R2469">
            <v>3299296</v>
          </cell>
          <cell r="S2469">
            <v>0</v>
          </cell>
          <cell r="T2469">
            <v>0</v>
          </cell>
          <cell r="U2469">
            <v>3299296</v>
          </cell>
          <cell r="V2469">
            <v>942656</v>
          </cell>
        </row>
        <row r="2470">
          <cell r="J2470">
            <v>2080</v>
          </cell>
          <cell r="K2470">
            <v>43273</v>
          </cell>
          <cell r="L2470" t="str">
            <v>SANDRA SUGEY BELTRAN</v>
          </cell>
          <cell r="M2470">
            <v>31</v>
          </cell>
          <cell r="N2470" t="str">
            <v>RESOLUCION</v>
          </cell>
          <cell r="O2470">
            <v>2370</v>
          </cell>
          <cell r="P2470">
            <v>43273</v>
          </cell>
          <cell r="Q2470" t="str">
            <v>AYUDA TEMPORAL A LAS FAMILIAS DE VARIAS LOCALIDADES, PARA LA RELOCALIZACIÓN DE HOGARES LOCALIZADOS EN ZONAS DE ALTO RIESGO NO MITIGABLE ID:2011-4-12653, LOCALIDAD:04 SAN CRISTÓBAL, UPZ:32 SAN BLAS</v>
          </cell>
          <cell r="R2470">
            <v>3112753</v>
          </cell>
          <cell r="S2470">
            <v>0</v>
          </cell>
          <cell r="T2470">
            <v>0</v>
          </cell>
          <cell r="U2470">
            <v>3112753</v>
          </cell>
          <cell r="V2470">
            <v>889358</v>
          </cell>
        </row>
        <row r="2471">
          <cell r="J2471">
            <v>2081</v>
          </cell>
          <cell r="K2471">
            <v>43273</v>
          </cell>
          <cell r="L2471" t="str">
            <v>JOSE GONZALO PINZON SOSA</v>
          </cell>
          <cell r="M2471">
            <v>31</v>
          </cell>
          <cell r="N2471" t="str">
            <v>RESOLUCION</v>
          </cell>
          <cell r="O2471">
            <v>2402</v>
          </cell>
          <cell r="P2471">
            <v>43273</v>
          </cell>
          <cell r="Q2471" t="str">
            <v>AYUDA TEMPORAL A LAS FAMILIAS DE VARIAS LOCALIDADES, PARA LA RELOCALIZACIÓN DE HOGARES LOCALIZADOS EN ZONAS DE ALTO RIESGO NO MITIGABLE ID:2011-4-12686, LOCALIDAD:04 SAN CRISTÓBAL, UPZ:32 SAN BLAS</v>
          </cell>
          <cell r="R2471">
            <v>3473267</v>
          </cell>
          <cell r="S2471">
            <v>0</v>
          </cell>
          <cell r="T2471">
            <v>0</v>
          </cell>
          <cell r="U2471">
            <v>3473267</v>
          </cell>
          <cell r="V2471">
            <v>992362</v>
          </cell>
        </row>
        <row r="2472">
          <cell r="J2472">
            <v>2082</v>
          </cell>
          <cell r="K2472">
            <v>43273</v>
          </cell>
          <cell r="L2472" t="str">
            <v>JOSE MODESTO HERNANDEZ MORENO</v>
          </cell>
          <cell r="M2472">
            <v>31</v>
          </cell>
          <cell r="N2472" t="str">
            <v>RESOLUCION</v>
          </cell>
          <cell r="O2472">
            <v>2369</v>
          </cell>
          <cell r="P2472">
            <v>43273</v>
          </cell>
          <cell r="Q2472" t="str">
            <v>AYUDA TEMPORAL A LAS FAMILIAS DE VARIAS LOCALIDADES, PARA LA RELOCALIZACIÓN DE HOGARES LOCALIZADOS EN ZONAS DE ALTO RIESGO NO MITIGABLE ID:2011-19-13514, LOCALIDAD:19 CIUDAD BOLÍVAR, UPZ:68 EL TESORO</v>
          </cell>
          <cell r="R2472">
            <v>2924376</v>
          </cell>
          <cell r="S2472">
            <v>0</v>
          </cell>
          <cell r="T2472">
            <v>0</v>
          </cell>
          <cell r="U2472">
            <v>2924376</v>
          </cell>
          <cell r="V2472">
            <v>835536</v>
          </cell>
        </row>
        <row r="2473">
          <cell r="J2473">
            <v>2083</v>
          </cell>
          <cell r="K2473">
            <v>43273</v>
          </cell>
          <cell r="L2473" t="str">
            <v>ALCIRA  VELASQUEZ CHIQUIZA</v>
          </cell>
          <cell r="M2473">
            <v>31</v>
          </cell>
          <cell r="N2473" t="str">
            <v>RESOLUCION</v>
          </cell>
          <cell r="O2473">
            <v>2368</v>
          </cell>
          <cell r="P2473">
            <v>43273</v>
          </cell>
          <cell r="Q2473" t="str">
            <v>AYUDA TEMPORAL A LAS FAMILIAS DE VARIAS LOCALIDADES, PARA LA RELOCALIZACIÓN DE HOGARES LOCALIZADOS EN ZONAS DE ALTO RIESGO NO MITIGABLE ID:2011-19-12536, LOCALIDAD:19 CIUDAD BOLÍVAR, UPZ:69 ISMAEL PERDOMO, SECTOR:OLA INVERNAL 2010 FOPAE</v>
          </cell>
          <cell r="R2473">
            <v>2845920</v>
          </cell>
          <cell r="S2473">
            <v>0</v>
          </cell>
          <cell r="T2473">
            <v>0</v>
          </cell>
          <cell r="U2473">
            <v>2845920</v>
          </cell>
          <cell r="V2473">
            <v>813120</v>
          </cell>
        </row>
        <row r="2474">
          <cell r="J2474">
            <v>2084</v>
          </cell>
          <cell r="K2474">
            <v>43273</v>
          </cell>
          <cell r="L2474" t="str">
            <v>ERIKA LILIANA LAGUNA CUELLAR</v>
          </cell>
          <cell r="M2474">
            <v>31</v>
          </cell>
          <cell r="N2474" t="str">
            <v>RESOLUCION</v>
          </cell>
          <cell r="O2474">
            <v>2401</v>
          </cell>
          <cell r="P2474">
            <v>43273</v>
          </cell>
          <cell r="Q2474" t="str">
            <v>AYUDA TEMPORAL A LAS FAMILIAS DE VARIAS LOCALIDADES, PARA LA RELOCALIZACIÓN DE HOGARES LOCALIZADOS EN ZONAS DE ALTO RIESGO NO MITIGABLE ID:2014-Q09-01199, LOCALIDAD:19 CIUDAD BOLÍVAR, UPZ:67 LUCERO, SECTOR:QUEBRADA TROMPETA</v>
          </cell>
          <cell r="R2474">
            <v>3356612</v>
          </cell>
          <cell r="S2474">
            <v>0</v>
          </cell>
          <cell r="T2474">
            <v>0</v>
          </cell>
          <cell r="U2474">
            <v>3356612</v>
          </cell>
          <cell r="V2474">
            <v>959032</v>
          </cell>
        </row>
        <row r="2475">
          <cell r="J2475">
            <v>2085</v>
          </cell>
          <cell r="K2475">
            <v>43273</v>
          </cell>
          <cell r="L2475" t="str">
            <v>MARTHA PATRICIA JIMENEZ</v>
          </cell>
          <cell r="M2475">
            <v>31</v>
          </cell>
          <cell r="N2475" t="str">
            <v>RESOLUCION</v>
          </cell>
          <cell r="O2475">
            <v>2367</v>
          </cell>
          <cell r="P2475">
            <v>43273</v>
          </cell>
          <cell r="Q2475" t="str">
            <v>AYUDA TEMPORAL A LAS FAMILIAS DE VARIAS LOCALIDADES, PARA LA RELOCALIZACIÓN DE HOGARES LOCALIZADOS EN ZONAS DE ALTO RIESGO NO MITIGABLE ID:2007-2-10155, LOCALIDAD:02 CHAPINERO, UPZ:89 SAN ISIDRO PATIOS</v>
          </cell>
          <cell r="R2475">
            <v>3017000</v>
          </cell>
          <cell r="S2475">
            <v>0</v>
          </cell>
          <cell r="T2475">
            <v>0</v>
          </cell>
          <cell r="U2475">
            <v>3017000</v>
          </cell>
          <cell r="V2475">
            <v>862000</v>
          </cell>
        </row>
        <row r="2476">
          <cell r="J2476">
            <v>2086</v>
          </cell>
          <cell r="K2476">
            <v>43273</v>
          </cell>
          <cell r="L2476" t="str">
            <v>AHIDA MARIBEL MARROQUIN GUEVARA</v>
          </cell>
          <cell r="M2476">
            <v>31</v>
          </cell>
          <cell r="N2476" t="str">
            <v>RESOLUCION</v>
          </cell>
          <cell r="O2476">
            <v>2400</v>
          </cell>
          <cell r="P2476">
            <v>43273</v>
          </cell>
          <cell r="Q2476" t="str">
            <v>AYUDA TEMPORAL A LAS FAMILIAS DE VARIAS LOCALIDADES, PARA LA RELOCALIZACIÓN DE HOGARES LOCALIZADOS EN ZONAS DE ALTO RIESGO NO MITIGABLE ID:2014-Q03-01085, LOCALIDAD:19 CIUDAD BOLÍVAR, UPZ:66 SAN FRANCISCO, SECTOR:LIMAS</v>
          </cell>
          <cell r="R2476">
            <v>2887073</v>
          </cell>
          <cell r="S2476">
            <v>0</v>
          </cell>
          <cell r="T2476">
            <v>0</v>
          </cell>
          <cell r="U2476">
            <v>2887073</v>
          </cell>
          <cell r="V2476">
            <v>824878</v>
          </cell>
        </row>
        <row r="2477">
          <cell r="J2477">
            <v>2087</v>
          </cell>
          <cell r="K2477">
            <v>43273</v>
          </cell>
          <cell r="L2477" t="str">
            <v>NIDIA  RODRIGUEZ ALONSO</v>
          </cell>
          <cell r="M2477">
            <v>31</v>
          </cell>
          <cell r="N2477" t="str">
            <v>RESOLUCION</v>
          </cell>
          <cell r="O2477">
            <v>2366</v>
          </cell>
          <cell r="P2477">
            <v>43273</v>
          </cell>
          <cell r="Q2477" t="str">
            <v>AYUDA TEMPORAL A LAS FAMILIAS DE VARIAS LOCALIDADES, PARA LA RELOCALIZACIÓN DE HOGARES LOCALIZADOS EN ZONAS DE ALTO RIESGO NO MITIGABLE ID:2010-4-11938, LOCALIDAD:04 SAN CRISTÓBAL, UPZ:32 SAN BLAS, SECTOR:OLA INVERNAL 2010 FOPAE</v>
          </cell>
          <cell r="R2477">
            <v>2788569</v>
          </cell>
          <cell r="S2477">
            <v>0</v>
          </cell>
          <cell r="T2477">
            <v>0</v>
          </cell>
          <cell r="U2477">
            <v>2788569</v>
          </cell>
          <cell r="V2477">
            <v>796734</v>
          </cell>
        </row>
        <row r="2478">
          <cell r="J2478">
            <v>2088</v>
          </cell>
          <cell r="K2478">
            <v>43273</v>
          </cell>
          <cell r="L2478" t="str">
            <v>FABIO IVAN ESPITIA GONZALEZ</v>
          </cell>
          <cell r="M2478">
            <v>31</v>
          </cell>
          <cell r="N2478" t="str">
            <v>RESOLUCION</v>
          </cell>
          <cell r="O2478">
            <v>2399</v>
          </cell>
          <cell r="P2478">
            <v>43273</v>
          </cell>
          <cell r="Q2478" t="str">
            <v>AYUDA TEMPORAL A LAS FAMILIAS DE VARIAS LOCALIDADES, PARA LA RELOCALIZACIÓN DE HOGARES LOCALIZADOS EN ZONAS DE ALTO RIESGO NO MITIGABLE ID:2014-OTR-01128, LOCALIDAD:11 SUBA, UPZ:71 TIBABUYES, SECTOR:GAVILANES</v>
          </cell>
          <cell r="R2478">
            <v>2975525</v>
          </cell>
          <cell r="S2478">
            <v>0</v>
          </cell>
          <cell r="T2478">
            <v>0</v>
          </cell>
          <cell r="U2478">
            <v>2975525</v>
          </cell>
          <cell r="V2478">
            <v>850150</v>
          </cell>
        </row>
        <row r="2479">
          <cell r="J2479">
            <v>2089</v>
          </cell>
          <cell r="K2479">
            <v>43273</v>
          </cell>
          <cell r="L2479" t="str">
            <v>VICTOR MANUEL FIGUEROA RAMOS</v>
          </cell>
          <cell r="M2479">
            <v>31</v>
          </cell>
          <cell r="N2479" t="str">
            <v>RESOLUCION</v>
          </cell>
          <cell r="O2479">
            <v>2398</v>
          </cell>
          <cell r="P2479">
            <v>43273</v>
          </cell>
          <cell r="Q2479" t="str">
            <v>AYUDA TEMPORAL A LAS FAMILIAS DE VARIAS LOCALIDADES, PARA LA RELOCALIZACIÓN DE HOGARES LOCALIZADOS EN ZONAS DE ALTO RIESGO NO MITIGABLE ID:2014-Q03-01043, LOCALIDAD:19 CIUDAD BOLÍVAR, UPZ:66 SAN FRANCISCO, SECTOR:LIMAS</v>
          </cell>
          <cell r="R2479">
            <v>3485139</v>
          </cell>
          <cell r="S2479">
            <v>0</v>
          </cell>
          <cell r="T2479">
            <v>0</v>
          </cell>
          <cell r="U2479">
            <v>3485139</v>
          </cell>
          <cell r="V2479">
            <v>995754</v>
          </cell>
        </row>
        <row r="2480">
          <cell r="J2480">
            <v>2090</v>
          </cell>
          <cell r="K2480">
            <v>43273</v>
          </cell>
          <cell r="L2480" t="str">
            <v>LINA ANDREA MENDEZ GARCIA</v>
          </cell>
          <cell r="M2480">
            <v>31</v>
          </cell>
          <cell r="N2480" t="str">
            <v>RESOLUCION</v>
          </cell>
          <cell r="O2480">
            <v>2397</v>
          </cell>
          <cell r="P2480">
            <v>43273</v>
          </cell>
          <cell r="Q2480" t="str">
            <v>AYUDA TEMPORAL A LAS FAMILIAS DE VARIAS LOCALIDADES, PARA LA RELOCALIZACIÓN DE HOGARES LOCALIZADOS EN ZONAS DE ALTO RIESGO NO MITIGABLE ID:2014-OTR-00903, LOCALIDAD:03 SANTA FE, UPZ:96 LOURDES, SECTOR:CASA 3</v>
          </cell>
          <cell r="R2480">
            <v>4059608</v>
          </cell>
          <cell r="S2480">
            <v>0</v>
          </cell>
          <cell r="T2480">
            <v>0</v>
          </cell>
          <cell r="U2480">
            <v>4059608</v>
          </cell>
          <cell r="V2480">
            <v>1159888</v>
          </cell>
        </row>
        <row r="2481">
          <cell r="J2481">
            <v>2091</v>
          </cell>
          <cell r="K2481">
            <v>43273</v>
          </cell>
          <cell r="L2481" t="str">
            <v>ALBA YOLIMA GARCIA</v>
          </cell>
          <cell r="M2481">
            <v>31</v>
          </cell>
          <cell r="N2481" t="str">
            <v>RESOLUCION</v>
          </cell>
          <cell r="O2481">
            <v>2365</v>
          </cell>
          <cell r="P2481">
            <v>43273</v>
          </cell>
          <cell r="Q2481" t="str">
            <v>AYUDA TEMPORAL A LAS FAMILIAS DE VARIAS LOCALIDADES, PARA LA RELOCALIZACIÓN DE HOGARES LOCALIZADOS EN ZONAS DE ALTO RIESGO NO MITIGABLE ID:2006-19-8545, LOCALIDAD:19 CIUDAD BOLÍVAR, UPZ:68 EL TESORO, SECTOR:QUEBRADA EL INFIERNO</v>
          </cell>
          <cell r="R2481">
            <v>2788569</v>
          </cell>
          <cell r="S2481">
            <v>0</v>
          </cell>
          <cell r="T2481">
            <v>0</v>
          </cell>
          <cell r="U2481">
            <v>2788569</v>
          </cell>
          <cell r="V2481">
            <v>796734</v>
          </cell>
        </row>
        <row r="2482">
          <cell r="J2482">
            <v>2092</v>
          </cell>
          <cell r="K2482">
            <v>43273</v>
          </cell>
          <cell r="L2482" t="str">
            <v>ALBA FLOR IBAÑEZ JIMENEZ</v>
          </cell>
          <cell r="M2482">
            <v>31</v>
          </cell>
          <cell r="N2482" t="str">
            <v>RESOLUCION</v>
          </cell>
          <cell r="O2482">
            <v>2396</v>
          </cell>
          <cell r="P2482">
            <v>43273</v>
          </cell>
          <cell r="Q2482" t="str">
            <v>AYUDA TEMPORAL A LAS FAMILIAS DE VARIAS LOCALIDADES, PARA LA RELOCALIZACIÓN DE HOGARES LOCALIZADOS EN ZONAS DE ALTO RIESGO NO MITIGABLE ID:2014-Q20-01253, LOCALIDAD:04 SAN CRISTÓBAL, UPZ:50 LA GLORIA, SECTOR:LA CHIGUAZA</v>
          </cell>
          <cell r="R2482">
            <v>2992227</v>
          </cell>
          <cell r="S2482">
            <v>0</v>
          </cell>
          <cell r="T2482">
            <v>0</v>
          </cell>
          <cell r="U2482">
            <v>2992227</v>
          </cell>
          <cell r="V2482">
            <v>854922</v>
          </cell>
        </row>
        <row r="2483">
          <cell r="J2483">
            <v>2093</v>
          </cell>
          <cell r="K2483">
            <v>43273</v>
          </cell>
          <cell r="L2483" t="str">
            <v>GLORIA INES SANCHEZ RODRIGUEZ</v>
          </cell>
          <cell r="M2483">
            <v>31</v>
          </cell>
          <cell r="N2483" t="str">
            <v>RESOLUCION</v>
          </cell>
          <cell r="O2483">
            <v>2364</v>
          </cell>
          <cell r="P2483">
            <v>43273</v>
          </cell>
          <cell r="Q2483" t="str">
            <v>AYUDA TEMPORAL A LAS FAMILIAS DE VARIAS LOCALIDADES, PARA LA RELOCALIZACIÓN DE HOGARES LOCALIZADOS EN ZONAS DE ALTO RIESGO NO MITIGABLE ID:2010-5-11596, LOCALIDAD:05 USME, UPZ:57 GRAN YOMASA, SECTOR:OLA INVERNAL 2010 FOPAE</v>
          </cell>
          <cell r="R2483">
            <v>3374280</v>
          </cell>
          <cell r="S2483">
            <v>0</v>
          </cell>
          <cell r="T2483">
            <v>0</v>
          </cell>
          <cell r="U2483">
            <v>3374280</v>
          </cell>
          <cell r="V2483">
            <v>964080</v>
          </cell>
        </row>
        <row r="2484">
          <cell r="J2484">
            <v>2094</v>
          </cell>
          <cell r="K2484">
            <v>43273</v>
          </cell>
          <cell r="L2484" t="str">
            <v>DILCIA  VALDERRAMA BALLEN</v>
          </cell>
          <cell r="M2484">
            <v>31</v>
          </cell>
          <cell r="N2484" t="str">
            <v>RESOLUCION</v>
          </cell>
          <cell r="O2484">
            <v>2363</v>
          </cell>
          <cell r="P2484">
            <v>43273</v>
          </cell>
          <cell r="Q2484" t="str">
            <v>AYUDA TEMPORAL A LAS FAMILIAS DE VARIAS LOCALIDADES, PARA LA RELOCALIZACIÓN DE HOGARES LOCALIZADOS EN ZONAS DE ALTO RIESGO NO MITIGABLE ID:2007-19-9544, LOCALIDAD:19 CIUDAD BOLÍVAR, UPZ:69 ISMAEL PERDOMO</v>
          </cell>
          <cell r="R2484">
            <v>2845920</v>
          </cell>
          <cell r="S2484">
            <v>0</v>
          </cell>
          <cell r="T2484">
            <v>0</v>
          </cell>
          <cell r="U2484">
            <v>2845920</v>
          </cell>
          <cell r="V2484">
            <v>813120</v>
          </cell>
        </row>
        <row r="2485">
          <cell r="J2485">
            <v>2095</v>
          </cell>
          <cell r="K2485">
            <v>43273</v>
          </cell>
          <cell r="L2485" t="str">
            <v>MARIA GILMA RAMOS ROLDAN</v>
          </cell>
          <cell r="M2485">
            <v>31</v>
          </cell>
          <cell r="N2485" t="str">
            <v>RESOLUCION</v>
          </cell>
          <cell r="O2485">
            <v>2395</v>
          </cell>
          <cell r="P2485">
            <v>43273</v>
          </cell>
          <cell r="Q2485" t="str">
            <v>AYUDA TEMPORAL A LAS FAMILIAS DE VARIAS LOCALIDADES, PARA LA RELOCALIZACIÓN DE HOGARES LOCALIZADOS EN ZONAS DE ALTO RIESGO NO MITIGABLE ID:2014-OTR-00900, LOCALIDAD:03 SANTA FE, UPZ:96 LOURDES, SECTOR:CASA 3</v>
          </cell>
          <cell r="R2485">
            <v>2582006</v>
          </cell>
          <cell r="S2485">
            <v>0</v>
          </cell>
          <cell r="T2485">
            <v>0</v>
          </cell>
          <cell r="U2485">
            <v>2582006</v>
          </cell>
          <cell r="V2485">
            <v>737716</v>
          </cell>
        </row>
        <row r="2486">
          <cell r="J2486">
            <v>2096</v>
          </cell>
          <cell r="K2486">
            <v>43273</v>
          </cell>
          <cell r="L2486" t="str">
            <v>JOSE IGNACIO MARTINEZ RODRIGUEZ</v>
          </cell>
          <cell r="M2486">
            <v>31</v>
          </cell>
          <cell r="N2486" t="str">
            <v>RESOLUCION</v>
          </cell>
          <cell r="O2486">
            <v>2362</v>
          </cell>
          <cell r="P2486">
            <v>43273</v>
          </cell>
          <cell r="Q2486" t="str">
            <v>AYUDA TEMPORAL A LAS FAMILIAS DE VARIAS LOCALIDADES, PARA LA RELOCALIZACIÓN DE HOGARES LOCALIZADOS EN ZONAS DE ALTO RIESGO NO MITIGABLE ID:2011-4-12646, LOCALIDAD:04 SAN CRISTÓBAL, UPZ:32 SAN BLAS</v>
          </cell>
          <cell r="R2486">
            <v>2582006</v>
          </cell>
          <cell r="S2486">
            <v>0</v>
          </cell>
          <cell r="T2486">
            <v>0</v>
          </cell>
          <cell r="U2486">
            <v>2582006</v>
          </cell>
          <cell r="V2486">
            <v>737716</v>
          </cell>
        </row>
        <row r="2487">
          <cell r="J2487">
            <v>2097</v>
          </cell>
          <cell r="K2487">
            <v>43273</v>
          </cell>
          <cell r="L2487" t="str">
            <v>JOSE FERNANDO MENDEZ GARCIA</v>
          </cell>
          <cell r="M2487">
            <v>31</v>
          </cell>
          <cell r="N2487" t="str">
            <v>RESOLUCION</v>
          </cell>
          <cell r="O2487">
            <v>2394</v>
          </cell>
          <cell r="P2487">
            <v>43273</v>
          </cell>
          <cell r="Q2487" t="str">
            <v>AYUDA TEMPORAL A LAS FAMILIAS DE VARIAS LOCALIDADES, PARA LA RELOCALIZACIÓN DE HOGARES LOCALIZADOS EN ZONAS DE ALTO RIESGO NO MITIGABLE ID:2014-OTR-00902, LOCALIDAD:03 SANTA FE, UPZ:96 LOURDES, SECTOR:CASA 3</v>
          </cell>
          <cell r="R2487">
            <v>3201695</v>
          </cell>
          <cell r="S2487">
            <v>0</v>
          </cell>
          <cell r="T2487">
            <v>0</v>
          </cell>
          <cell r="U2487">
            <v>3201695</v>
          </cell>
          <cell r="V2487">
            <v>914770</v>
          </cell>
        </row>
        <row r="2488">
          <cell r="J2488">
            <v>2098</v>
          </cell>
          <cell r="K2488">
            <v>43273</v>
          </cell>
          <cell r="L2488" t="str">
            <v>GLADYS  MUÑOZ SANTUARIO</v>
          </cell>
          <cell r="M2488">
            <v>31</v>
          </cell>
          <cell r="N2488" t="str">
            <v>RESOLUCION</v>
          </cell>
          <cell r="O2488">
            <v>2361</v>
          </cell>
          <cell r="P2488">
            <v>43273</v>
          </cell>
          <cell r="Q2488" t="str">
            <v>AYUDA TEMPORAL A LAS FAMILIAS DE VARIAS LOCALIDADES, PARA LA RELOCALIZACIÓN DE HOGARES LOCALIZADOS EN ZONAS DE ALTO RIESGO NO MITIGABLE ID:2012-19-13937, LOCALIDAD:19 CIUDAD BOLÍVAR, UPZ:67 LUCERO</v>
          </cell>
          <cell r="R2488">
            <v>3112599</v>
          </cell>
          <cell r="S2488">
            <v>0</v>
          </cell>
          <cell r="T2488">
            <v>0</v>
          </cell>
          <cell r="U2488">
            <v>3112599</v>
          </cell>
          <cell r="V2488">
            <v>889314</v>
          </cell>
        </row>
        <row r="2489">
          <cell r="J2489">
            <v>2099</v>
          </cell>
          <cell r="K2489">
            <v>43273</v>
          </cell>
          <cell r="L2489" t="str">
            <v>LIBIA AZUCENA FRANCO ALGECIRA</v>
          </cell>
          <cell r="M2489">
            <v>31</v>
          </cell>
          <cell r="N2489" t="str">
            <v>RESOLUCION</v>
          </cell>
          <cell r="O2489">
            <v>2393</v>
          </cell>
          <cell r="P2489">
            <v>43273</v>
          </cell>
          <cell r="Q2489" t="str">
            <v>AYUDA TEMPORAL A LAS FAMILIAS DE VARIAS LOCALIDADES, PARA LA RELOCALIZACIÓN DE HOGARES LOCALIZADOS EN ZONAS DE ALTO RIESGO NO MITIGABLE ID:2014-18-14705, LOCALIDAD:18 RAFAEL URIBE URIBE, UPZ:53 MARCO FIDEL SUÁREZ</v>
          </cell>
          <cell r="R2489">
            <v>2602439</v>
          </cell>
          <cell r="S2489">
            <v>0</v>
          </cell>
          <cell r="T2489">
            <v>0</v>
          </cell>
          <cell r="U2489">
            <v>2602439</v>
          </cell>
          <cell r="V2489">
            <v>743554</v>
          </cell>
        </row>
        <row r="2490">
          <cell r="J2490">
            <v>2100</v>
          </cell>
          <cell r="K2490">
            <v>43273</v>
          </cell>
          <cell r="L2490" t="str">
            <v>FLOR MARINA BAQUERO UMAÑA</v>
          </cell>
          <cell r="M2490">
            <v>31</v>
          </cell>
          <cell r="N2490" t="str">
            <v>RESOLUCION</v>
          </cell>
          <cell r="O2490">
            <v>2343</v>
          </cell>
          <cell r="P2490">
            <v>43273</v>
          </cell>
          <cell r="Q2490" t="str">
            <v>AYUDA TEMPORAL A LAS FAMILIAS DE VARIAS LOCALIDADES, PARA LA RELOCALIZACIÓN DE HOGARES LOCALIZADOS EN ZONAS DE ALTO RIESGO NO MITIGABLE ID:2015-Q03-01481, LOCALIDAD:19 CIUDAD BOLÍVAR, UPZ:66 SAN FRANCISCO, SECTOR:LIMAS</v>
          </cell>
          <cell r="R2490">
            <v>2887073</v>
          </cell>
          <cell r="S2490">
            <v>0</v>
          </cell>
          <cell r="T2490">
            <v>0</v>
          </cell>
          <cell r="U2490">
            <v>2887073</v>
          </cell>
          <cell r="V2490">
            <v>824878</v>
          </cell>
        </row>
        <row r="2491">
          <cell r="J2491">
            <v>2101</v>
          </cell>
          <cell r="K2491">
            <v>43273</v>
          </cell>
          <cell r="L2491" t="str">
            <v>ANGEL IGNACIO GARZON HERNANDEZ</v>
          </cell>
          <cell r="M2491">
            <v>31</v>
          </cell>
          <cell r="N2491" t="str">
            <v>RESOLUCION</v>
          </cell>
          <cell r="O2491">
            <v>2360</v>
          </cell>
          <cell r="P2491">
            <v>43273</v>
          </cell>
          <cell r="Q2491" t="str">
            <v>AYUDA TEMPORAL A LAS FAMILIAS DE VARIAS LOCALIDADES, PARA LA RELOCALIZACIÓN DE HOGARES LOCALIZADOS EN ZONAS DE ALTO RIESGO NO MITIGABLE ID:2011-4-12704, LOCALIDAD:04 SAN CRISTÓBAL, UPZ:32 SAN BLAS</v>
          </cell>
          <cell r="R2491">
            <v>2582006</v>
          </cell>
          <cell r="S2491">
            <v>0</v>
          </cell>
          <cell r="T2491">
            <v>0</v>
          </cell>
          <cell r="U2491">
            <v>2582006</v>
          </cell>
          <cell r="V2491">
            <v>737716</v>
          </cell>
        </row>
        <row r="2492">
          <cell r="J2492">
            <v>2102</v>
          </cell>
          <cell r="K2492">
            <v>43273</v>
          </cell>
          <cell r="L2492" t="str">
            <v>BAUDILIO  TOLOZA CASTILLO</v>
          </cell>
          <cell r="M2492">
            <v>31</v>
          </cell>
          <cell r="N2492" t="str">
            <v>RESOLUCION</v>
          </cell>
          <cell r="O2492">
            <v>2392</v>
          </cell>
          <cell r="P2492">
            <v>43273</v>
          </cell>
          <cell r="Q2492" t="str">
            <v>AYUDA TEMPORAL A LAS FAMILIAS DE VARIAS LOCALIDADES, PARA LA RELOCALIZACIÓN DE HOGARES LOCALIZADOS EN ZONAS DE ALTO RIESGO NO MITIGABLE ID:2014-LC-00790, LOCALIDAD:19 CIUDAD BOLÍVAR, UPZ:69 ISMAEL PERDOMO</v>
          </cell>
          <cell r="R2492">
            <v>3363360</v>
          </cell>
          <cell r="S2492">
            <v>0</v>
          </cell>
          <cell r="T2492">
            <v>0</v>
          </cell>
          <cell r="U2492">
            <v>3363360</v>
          </cell>
          <cell r="V2492">
            <v>960960</v>
          </cell>
        </row>
        <row r="2493">
          <cell r="J2493">
            <v>2103</v>
          </cell>
          <cell r="K2493">
            <v>43273</v>
          </cell>
          <cell r="L2493" t="str">
            <v>MARIA LUCRECIA LOPEZ TORRES</v>
          </cell>
          <cell r="M2493">
            <v>31</v>
          </cell>
          <cell r="N2493" t="str">
            <v>RESOLUCION</v>
          </cell>
          <cell r="O2493">
            <v>2342</v>
          </cell>
          <cell r="P2493">
            <v>43273</v>
          </cell>
          <cell r="Q2493" t="str">
            <v>AYUDA TEMPORAL A LAS FAMILIAS DE VARIAS LOCALIDADES, PARA LA RELOCALIZACIÓN DE HOGARES LOCALIZADOS EN ZONAS DE ALTO RIESGO NO MITIGABLE ID:2014-Q09-00913, LOCALIDAD:19 CIUDAD BOLÍVAR, UPZ:67 LUCERO, SECTOR:QUEBRADA TROMPETA</v>
          </cell>
          <cell r="R2493">
            <v>3463222</v>
          </cell>
          <cell r="S2493">
            <v>0</v>
          </cell>
          <cell r="T2493">
            <v>0</v>
          </cell>
          <cell r="U2493">
            <v>3463222</v>
          </cell>
          <cell r="V2493">
            <v>989492</v>
          </cell>
        </row>
        <row r="2494">
          <cell r="J2494">
            <v>2104</v>
          </cell>
          <cell r="K2494">
            <v>43273</v>
          </cell>
          <cell r="L2494" t="str">
            <v>GLORIA  SANCHEZ DE SANCHEZ</v>
          </cell>
          <cell r="M2494">
            <v>31</v>
          </cell>
          <cell r="N2494" t="str">
            <v>RESOLUCION</v>
          </cell>
          <cell r="O2494">
            <v>2359</v>
          </cell>
          <cell r="P2494">
            <v>43273</v>
          </cell>
          <cell r="Q2494" t="str">
            <v>AYUDA TEMPORAL A LAS FAMILIAS DE VARIAS LOCALIDADES, PARA LA RELOCALIZACIÓN DE HOGARES LOCALIZADOS EN ZONAS DE ALTO RIESGO NO MITIGABLE ID:2011-4-12684, LOCALIDAD:04 SAN CRISTÓBAL, UPZ:32 SAN BLAS</v>
          </cell>
          <cell r="R2494">
            <v>3157574</v>
          </cell>
          <cell r="S2494">
            <v>0</v>
          </cell>
          <cell r="T2494">
            <v>0</v>
          </cell>
          <cell r="U2494">
            <v>3157574</v>
          </cell>
          <cell r="V2494">
            <v>902164</v>
          </cell>
        </row>
        <row r="2495">
          <cell r="J2495">
            <v>2105</v>
          </cell>
          <cell r="K2495">
            <v>43273</v>
          </cell>
          <cell r="L2495" t="str">
            <v>MARIA AURORA BELLO</v>
          </cell>
          <cell r="M2495">
            <v>31</v>
          </cell>
          <cell r="N2495" t="str">
            <v>RESOLUCION</v>
          </cell>
          <cell r="O2495">
            <v>2391</v>
          </cell>
          <cell r="P2495">
            <v>43273</v>
          </cell>
          <cell r="Q2495" t="str">
            <v>AYUDA TEMPORAL A LAS FAMILIAS DE VARIAS LOCALIDADES, PARA LA RELOCALIZACIÓN DE HOGARES LOCALIZADOS EN ZONAS DE ALTO RIESGO NO MITIGABLE ID:2013-Q21-00419, LOCALIDAD:19 CIUDAD BOLÍVAR, UPZ:67 LUCERO, SECTOR:BRAZO DERECHO DE LIMAS</v>
          </cell>
          <cell r="R2495">
            <v>3157315</v>
          </cell>
          <cell r="S2495">
            <v>0</v>
          </cell>
          <cell r="T2495">
            <v>0</v>
          </cell>
          <cell r="U2495">
            <v>3157315</v>
          </cell>
          <cell r="V2495">
            <v>902090</v>
          </cell>
        </row>
        <row r="2496">
          <cell r="J2496">
            <v>2106</v>
          </cell>
          <cell r="K2496">
            <v>43273</v>
          </cell>
          <cell r="L2496" t="str">
            <v>MARYSOL  ROJAS</v>
          </cell>
          <cell r="M2496">
            <v>31</v>
          </cell>
          <cell r="N2496" t="str">
            <v>RESOLUCION</v>
          </cell>
          <cell r="O2496">
            <v>2341</v>
          </cell>
          <cell r="P2496">
            <v>43273</v>
          </cell>
          <cell r="Q2496" t="str">
            <v>AYUDA TEMPORAL A LAS FAMILIAS DE VARIAS LOCALIDADES, PARA LA RELOCALIZACIÓN DE HOGARES LOCALIZADOS EN ZONAS DE ALTO RIESGO NO MITIGABLE ID:2014-Q20-01175, LOCALIDAD:04 SAN CRISTÓBAL, UPZ:50 LA GLORIA, SECTOR:LA CHIGUAZA</v>
          </cell>
          <cell r="R2496">
            <v>2751665</v>
          </cell>
          <cell r="S2496">
            <v>0</v>
          </cell>
          <cell r="T2496">
            <v>0</v>
          </cell>
          <cell r="U2496">
            <v>2751665</v>
          </cell>
          <cell r="V2496">
            <v>786190</v>
          </cell>
        </row>
        <row r="2497">
          <cell r="J2497">
            <v>2107</v>
          </cell>
          <cell r="K2497">
            <v>43273</v>
          </cell>
          <cell r="L2497" t="str">
            <v>ANA CRISTINA GONZALEZ ESTRADA</v>
          </cell>
          <cell r="M2497">
            <v>31</v>
          </cell>
          <cell r="N2497" t="str">
            <v>RESOLUCION</v>
          </cell>
          <cell r="O2497">
            <v>2358</v>
          </cell>
          <cell r="P2497">
            <v>43273</v>
          </cell>
          <cell r="Q2497" t="str">
            <v>AYUDA TEMPORAL A LAS FAMILIAS DE VARIAS LOCALIDADES, PARA LA RELOCALIZACIÓN DE HOGARES LOCALIZADOS EN ZONAS DE ALTO RIESGO NO MITIGABLE ID:2011-4-12696, LOCALIDAD:04 SAN CRISTÓBAL, UPZ:32 SAN BLAS</v>
          </cell>
          <cell r="R2497">
            <v>2582006</v>
          </cell>
          <cell r="S2497">
            <v>0</v>
          </cell>
          <cell r="T2497">
            <v>0</v>
          </cell>
          <cell r="U2497">
            <v>2582006</v>
          </cell>
          <cell r="V2497">
            <v>737716</v>
          </cell>
        </row>
        <row r="2498">
          <cell r="J2498">
            <v>2108</v>
          </cell>
          <cell r="K2498">
            <v>43273</v>
          </cell>
          <cell r="L2498" t="str">
            <v>ANA JAZMIN MUÑOZ PEÑA</v>
          </cell>
          <cell r="M2498">
            <v>31</v>
          </cell>
          <cell r="N2498" t="str">
            <v>RESOLUCION</v>
          </cell>
          <cell r="O2498">
            <v>2340</v>
          </cell>
          <cell r="P2498">
            <v>43273</v>
          </cell>
          <cell r="Q2498" t="str">
            <v>AYUDA TEMPORAL A LAS FAMILIAS DE VARIAS LOCALIDADES, PARA LA RELOCALIZACIÓN DE HOGARES LOCALIZADOS EN ZONAS DE ALTO RIESGO NO MITIGABLE ID:2015-D227-00012, LOCALIDAD:04 SAN CRISTÓBAL, UPZ:51 LOS LIBERTADORES, SECTOR:SANTA TERESITA</v>
          </cell>
          <cell r="R2498">
            <v>2977345</v>
          </cell>
          <cell r="S2498">
            <v>0</v>
          </cell>
          <cell r="T2498">
            <v>0</v>
          </cell>
          <cell r="U2498">
            <v>2977345</v>
          </cell>
          <cell r="V2498">
            <v>850670</v>
          </cell>
        </row>
        <row r="2499">
          <cell r="J2499">
            <v>2109</v>
          </cell>
          <cell r="K2499">
            <v>43273</v>
          </cell>
          <cell r="L2499" t="str">
            <v>LUCILA  MEDINA</v>
          </cell>
          <cell r="M2499">
            <v>31</v>
          </cell>
          <cell r="N2499" t="str">
            <v>RESOLUCION</v>
          </cell>
          <cell r="O2499">
            <v>2357</v>
          </cell>
          <cell r="P2499">
            <v>43273</v>
          </cell>
          <cell r="Q2499" t="str">
            <v>AYUDA TEMPORAL A LAS FAMILIAS DE VARIAS LOCALIDADES, PARA LA RELOCALIZACIÓN DE HOGARES LOCALIZADOS EN ZONAS DE ALTO RIESGO NO MITIGABLE ID:2011-4-12683, LOCALIDAD:04 SAN CRISTÓBAL, UPZ:32 SAN BLAS</v>
          </cell>
          <cell r="R2499">
            <v>2886653</v>
          </cell>
          <cell r="S2499">
            <v>0</v>
          </cell>
          <cell r="T2499">
            <v>0</v>
          </cell>
          <cell r="U2499">
            <v>2886653</v>
          </cell>
          <cell r="V2499">
            <v>824758</v>
          </cell>
        </row>
        <row r="2500">
          <cell r="J2500">
            <v>2110</v>
          </cell>
          <cell r="K2500">
            <v>43273</v>
          </cell>
          <cell r="L2500" t="str">
            <v>MARISOL  BURGOS</v>
          </cell>
          <cell r="M2500">
            <v>31</v>
          </cell>
          <cell r="N2500" t="str">
            <v>RESOLUCION</v>
          </cell>
          <cell r="O2500">
            <v>2390</v>
          </cell>
          <cell r="P2500">
            <v>43273</v>
          </cell>
          <cell r="Q2500" t="str">
            <v>AYUDA TEMPORAL A LAS FAMILIAS DE VARIAS LOCALIDADES, PARA LA RELOCALIZACIÓN DE HOGARES LOCALIZADOS EN ZONAS DE ALTO RIESGO NO MITIGABLE ID:2014-LC-00813, LOCALIDAD:19 CIUDAD BOLÍVAR, UPZ:69 ISMAEL PERDOMO</v>
          </cell>
          <cell r="R2500">
            <v>3022327</v>
          </cell>
          <cell r="S2500">
            <v>0</v>
          </cell>
          <cell r="T2500">
            <v>0</v>
          </cell>
          <cell r="U2500">
            <v>3022327</v>
          </cell>
          <cell r="V2500">
            <v>863522</v>
          </cell>
        </row>
        <row r="2501">
          <cell r="J2501">
            <v>2111</v>
          </cell>
          <cell r="K2501">
            <v>43273</v>
          </cell>
          <cell r="L2501" t="str">
            <v>MIRELLA NATIVA MENDEZ ARISTIZABAL</v>
          </cell>
          <cell r="M2501">
            <v>31</v>
          </cell>
          <cell r="N2501" t="str">
            <v>RESOLUCION</v>
          </cell>
          <cell r="O2501">
            <v>2339</v>
          </cell>
          <cell r="P2501">
            <v>43273</v>
          </cell>
          <cell r="Q2501" t="str">
            <v>AYUDA TEMPORAL A LAS FAMILIAS DE VARIAS LOCALIDADES, PARA LA RELOCALIZACIÓN DE HOGARES LOCALIZADOS EN ZONAS DE ALTO RIESGO NO MITIGABLE ID:2015-ALES-536, LOCALIDAD:19 CIUDAD BOLÍVAR, UPZ:69 ISMAEL PERDOMO, SECTOR:ALTOS DE LA ESTANCIA</v>
          </cell>
          <cell r="R2501">
            <v>1353135</v>
          </cell>
          <cell r="S2501">
            <v>0</v>
          </cell>
          <cell r="T2501">
            <v>0</v>
          </cell>
          <cell r="U2501">
            <v>1353135</v>
          </cell>
          <cell r="V2501">
            <v>902090</v>
          </cell>
        </row>
        <row r="2502">
          <cell r="J2502">
            <v>2112</v>
          </cell>
          <cell r="K2502">
            <v>43273</v>
          </cell>
          <cell r="L2502" t="str">
            <v>ALVARO  GUTIERREZ ARTUNDUAGA</v>
          </cell>
          <cell r="M2502">
            <v>31</v>
          </cell>
          <cell r="N2502" t="str">
            <v>RESOLUCION</v>
          </cell>
          <cell r="O2502">
            <v>2356</v>
          </cell>
          <cell r="P2502">
            <v>43273</v>
          </cell>
          <cell r="Q2502" t="str">
            <v>AYUDA TEMPORAL A LAS FAMILIAS DE VARIAS LOCALIDADES, PARA LA RELOCALIZACIÓN DE HOGARES LOCALIZADOS EN ZONAS DE ALTO RIESGO NO MITIGABLE ID:2013000411, LOCALIDAD:04 SAN CRISTÓBAL, UPZ:51 LOS LIBERTADORES, SECTOR:QUEBRADA VEREJONES</v>
          </cell>
          <cell r="R2502">
            <v>3038112</v>
          </cell>
          <cell r="S2502">
            <v>0</v>
          </cell>
          <cell r="T2502">
            <v>0</v>
          </cell>
          <cell r="U2502">
            <v>3038112</v>
          </cell>
          <cell r="V2502">
            <v>868032</v>
          </cell>
        </row>
        <row r="2503">
          <cell r="J2503">
            <v>2113</v>
          </cell>
          <cell r="K2503">
            <v>43273</v>
          </cell>
          <cell r="L2503" t="str">
            <v>NELSON JAVIER REINA DURAN</v>
          </cell>
          <cell r="M2503">
            <v>31</v>
          </cell>
          <cell r="N2503" t="str">
            <v>RESOLUCION</v>
          </cell>
          <cell r="O2503">
            <v>2355</v>
          </cell>
          <cell r="P2503">
            <v>43273</v>
          </cell>
          <cell r="Q2503" t="str">
            <v>AYUDA TEMPORAL A LAS FAMILIAS DE VARIAS LOCALIDADES, PARA LA RELOCALIZACIÓN DE HOGARES LOCALIZADOS EN ZONAS DE ALTO RIESGO NO MITIGABLE ID:2013000325, LOCALIDAD:19 CIUDAD BOLÍVAR, UPZ:67 LUCERO, SECTOR:PEÑA COLORADA</v>
          </cell>
          <cell r="R2503">
            <v>2846046</v>
          </cell>
          <cell r="S2503">
            <v>0</v>
          </cell>
          <cell r="T2503">
            <v>0</v>
          </cell>
          <cell r="U2503">
            <v>2846046</v>
          </cell>
          <cell r="V2503">
            <v>813156</v>
          </cell>
        </row>
        <row r="2504">
          <cell r="J2504">
            <v>2114</v>
          </cell>
          <cell r="K2504">
            <v>43273</v>
          </cell>
          <cell r="L2504" t="str">
            <v>LILIANA MARCELA CADENA</v>
          </cell>
          <cell r="M2504">
            <v>31</v>
          </cell>
          <cell r="N2504" t="str">
            <v>RESOLUCION</v>
          </cell>
          <cell r="O2504">
            <v>2389</v>
          </cell>
          <cell r="P2504">
            <v>43273</v>
          </cell>
          <cell r="Q2504" t="str">
            <v>AYUDA TEMPORAL A LAS FAMILIAS DE VARIAS LOCALIDADES, PARA LA RELOCALIZACIÓN DE HOGARES LOCALIZADOS EN ZONAS DE ALTO RIESGO NO MITIGABLE ID:2011-19-12742, LOCALIDAD:19 CIUDAD BOLÍVAR, UPZ:68 EL TESORO, SECTOR:QUEBRADA TROMPETA</v>
          </cell>
          <cell r="R2504">
            <v>2924376</v>
          </cell>
          <cell r="S2504">
            <v>0</v>
          </cell>
          <cell r="T2504">
            <v>0</v>
          </cell>
          <cell r="U2504">
            <v>2924376</v>
          </cell>
          <cell r="V2504">
            <v>835536</v>
          </cell>
        </row>
        <row r="2505">
          <cell r="J2505">
            <v>2115</v>
          </cell>
          <cell r="K2505">
            <v>43273</v>
          </cell>
          <cell r="L2505" t="str">
            <v>FLOR ALBA RODRIGUEZ GOMEZ</v>
          </cell>
          <cell r="M2505">
            <v>31</v>
          </cell>
          <cell r="N2505" t="str">
            <v>RESOLUCION</v>
          </cell>
          <cell r="O2505">
            <v>2354</v>
          </cell>
          <cell r="P2505">
            <v>43273</v>
          </cell>
          <cell r="Q2505" t="str">
            <v>AYUDA TEMPORAL A LAS FAMILIAS DE VARIAS LOCALIDADES, PARA LA RELOCALIZACIÓN DE HOGARES LOCALIZADOS EN ZONAS DE ALTO RIESGO NO MITIGABLE ID:2009-4-11165, LOCALIDAD:04 SAN CRISTÓBAL, UPZ:50 LA GLORIA</v>
          </cell>
          <cell r="R2505">
            <v>3157574</v>
          </cell>
          <cell r="S2505">
            <v>0</v>
          </cell>
          <cell r="T2505">
            <v>0</v>
          </cell>
          <cell r="U2505">
            <v>3157574</v>
          </cell>
          <cell r="V2505">
            <v>902164</v>
          </cell>
        </row>
        <row r="2506">
          <cell r="J2506">
            <v>2116</v>
          </cell>
          <cell r="K2506">
            <v>43273</v>
          </cell>
          <cell r="L2506" t="str">
            <v>EDILBERTO  RODRIGUEZ DIAZ</v>
          </cell>
          <cell r="M2506">
            <v>31</v>
          </cell>
          <cell r="N2506" t="str">
            <v>RESOLUCION</v>
          </cell>
          <cell r="O2506">
            <v>2388</v>
          </cell>
          <cell r="P2506">
            <v>43273</v>
          </cell>
          <cell r="Q2506" t="str">
            <v>AYUDA TEMPORAL A LAS FAMILIAS DE VARIAS LOCALIDADES, PARA LA RELOCALIZACIÓN DE HOGARES LOCALIZADOS EN ZONAS DE ALTO RIESGO NO MITIGABLE ID:2011-4-12483, LOCALIDAD:04 SAN CRISTÓBAL, UPZ:50 LA GLORIA, SECTOR:OLA INVERNAL 2010 FOPAE</v>
          </cell>
          <cell r="R2506">
            <v>3150000</v>
          </cell>
          <cell r="S2506">
            <v>0</v>
          </cell>
          <cell r="T2506">
            <v>0</v>
          </cell>
          <cell r="U2506">
            <v>3150000</v>
          </cell>
          <cell r="V2506">
            <v>900000</v>
          </cell>
        </row>
        <row r="2507">
          <cell r="J2507">
            <v>2117</v>
          </cell>
          <cell r="K2507">
            <v>43273</v>
          </cell>
          <cell r="L2507" t="str">
            <v>EMILIO  ACEVEDO AGUIRRE</v>
          </cell>
          <cell r="M2507">
            <v>31</v>
          </cell>
          <cell r="N2507" t="str">
            <v>RESOLUCION</v>
          </cell>
          <cell r="O2507">
            <v>2353</v>
          </cell>
          <cell r="P2507">
            <v>43273</v>
          </cell>
          <cell r="Q2507" t="str">
            <v>AYUDA TEMPORAL A LAS FAMILIAS DE VARIAS LOCALIDADES, PARA LA RELOCALIZACIÓN DE HOGARES LOCALIZADOS EN ZONAS DE ALTO RIESGO NO MITIGABLE ID:2011-19-12515, LOCALIDAD:19 CIUDAD BOLÍVAR, UPZ:67 LUCERO, SECTOR:OLA INVERNAL 2010 FOPAE</v>
          </cell>
          <cell r="R2507">
            <v>2845920</v>
          </cell>
          <cell r="S2507">
            <v>0</v>
          </cell>
          <cell r="T2507">
            <v>0</v>
          </cell>
          <cell r="U2507">
            <v>2845920</v>
          </cell>
          <cell r="V2507">
            <v>813120</v>
          </cell>
        </row>
        <row r="2508">
          <cell r="J2508">
            <v>2118</v>
          </cell>
          <cell r="K2508">
            <v>43273</v>
          </cell>
          <cell r="L2508" t="str">
            <v>YOLANDA  ROJAS RIAÑO</v>
          </cell>
          <cell r="M2508">
            <v>31</v>
          </cell>
          <cell r="N2508" t="str">
            <v>RESOLUCION</v>
          </cell>
          <cell r="O2508">
            <v>2352</v>
          </cell>
          <cell r="P2508">
            <v>43273</v>
          </cell>
          <cell r="Q2508" t="str">
            <v>AYUDA TEMPORAL A LAS FAMILIAS DE VARIAS LOCALIDADES, PARA LA RELOCALIZACIÓN DE HOGARES LOCALIZADOS EN ZONAS DE ALTO RIESGO NO MITIGABLE ID:2010-19-11706, LOCALIDAD:19 CIUDAD BOLÍVAR, UPZ:69 ISMAEL PERDOMO, SECTOR:OLA INVERNAL 2010 FOPAE</v>
          </cell>
          <cell r="R2508">
            <v>3378326</v>
          </cell>
          <cell r="S2508">
            <v>0</v>
          </cell>
          <cell r="T2508">
            <v>0</v>
          </cell>
          <cell r="U2508">
            <v>3378326</v>
          </cell>
          <cell r="V2508">
            <v>965236</v>
          </cell>
        </row>
        <row r="2509">
          <cell r="J2509">
            <v>2121</v>
          </cell>
          <cell r="K2509">
            <v>43273</v>
          </cell>
          <cell r="L2509" t="str">
            <v>JOSE MONZAIDE MAHECHA GONZALEZ</v>
          </cell>
          <cell r="M2509">
            <v>31</v>
          </cell>
          <cell r="N2509" t="str">
            <v>RESOLUCION</v>
          </cell>
          <cell r="O2509">
            <v>2351</v>
          </cell>
          <cell r="P2509">
            <v>43273</v>
          </cell>
          <cell r="Q2509" t="str">
            <v>AYUDA TEMPORAL A LAS FAMILIAS DE VARIAS LOCALIDADES, PARA LA RELOCALIZACIÓN DE HOGARES LOCALIZADOS EN ZONAS DE ALTO RIESGO NO MITIGABLE ID:2011-4-12667, LOCALIDAD:04 SAN CRISTÓBAL, UPZ:32 SAN BLAS</v>
          </cell>
          <cell r="R2509">
            <v>2685291</v>
          </cell>
          <cell r="S2509">
            <v>0</v>
          </cell>
          <cell r="T2509">
            <v>0</v>
          </cell>
          <cell r="U2509">
            <v>2685291</v>
          </cell>
          <cell r="V2509">
            <v>767226</v>
          </cell>
        </row>
        <row r="2510">
          <cell r="J2510">
            <v>2122</v>
          </cell>
          <cell r="K2510">
            <v>43273</v>
          </cell>
          <cell r="L2510" t="str">
            <v>BLANCA ELUBIDIA ZUÑIGA MENESES</v>
          </cell>
          <cell r="M2510">
            <v>31</v>
          </cell>
          <cell r="N2510" t="str">
            <v>RESOLUCION</v>
          </cell>
          <cell r="O2510">
            <v>2350</v>
          </cell>
          <cell r="P2510">
            <v>43273</v>
          </cell>
          <cell r="Q2510" t="str">
            <v>AYUDA TEMPORAL A LAS FAMILIAS DE VARIAS LOCALIDADES, PARA LA RELOCALIZACIÓN DE HOGARES LOCALIZADOS EN ZONAS DE ALTO RIESGO NO MITIGABLE ID:2012-ALES-355, LOCALIDAD:19 CIUDAD BOLÍVAR, UPZ:69 ISMAEL PERDOMO</v>
          </cell>
          <cell r="R2510">
            <v>3218670</v>
          </cell>
          <cell r="S2510">
            <v>0</v>
          </cell>
          <cell r="T2510">
            <v>0</v>
          </cell>
          <cell r="U2510">
            <v>3218670</v>
          </cell>
          <cell r="V2510">
            <v>919620</v>
          </cell>
        </row>
        <row r="2511">
          <cell r="J2511">
            <v>2123</v>
          </cell>
          <cell r="K2511">
            <v>43273</v>
          </cell>
          <cell r="L2511" t="str">
            <v>MARIA IMELDA RODRIGUEZ NIETO</v>
          </cell>
          <cell r="M2511">
            <v>31</v>
          </cell>
          <cell r="N2511" t="str">
            <v>RESOLUCION</v>
          </cell>
          <cell r="O2511">
            <v>2349</v>
          </cell>
          <cell r="P2511">
            <v>43273</v>
          </cell>
          <cell r="Q2511" t="str">
            <v>AYUDA TEMPORAL A LAS FAMILIAS DE VARIAS LOCALIDADES, PARA RELOCALIZACIÓN DE HOGARES LOCALIZADOS EN ZONAS DE ALTO RIESGO NO MITIGABLE ID:2010-18-12379, LOCALIDAD:18 RAFAEL URIBE URIBE, UPZ:54 MARRUECOS, SECTOR:OLA INVERNAL 2010 FOPAE</v>
          </cell>
          <cell r="R2511">
            <v>2977345</v>
          </cell>
          <cell r="S2511">
            <v>0</v>
          </cell>
          <cell r="T2511">
            <v>0</v>
          </cell>
          <cell r="U2511">
            <v>2977345</v>
          </cell>
          <cell r="V2511">
            <v>425335</v>
          </cell>
        </row>
        <row r="2512">
          <cell r="J2512">
            <v>2124</v>
          </cell>
          <cell r="K2512">
            <v>43273</v>
          </cell>
          <cell r="L2512" t="str">
            <v>LUIS  CRUZ DELGADO</v>
          </cell>
          <cell r="M2512">
            <v>31</v>
          </cell>
          <cell r="N2512" t="str">
            <v>RESOLUCION</v>
          </cell>
          <cell r="O2512">
            <v>2348</v>
          </cell>
          <cell r="P2512">
            <v>43273</v>
          </cell>
          <cell r="Q2512" t="str">
            <v>AYUDA TEMPORAL A LAS FAMILIAS DE VARIAS LOCALIDADES, PARA RELOCALIZACIÓN DE HOGARES LOCALIZADOS EN ZONAS DE ALTO RIESGO NO MITIGABLE ID:2003-19-5136, LOCALIDAD:19 CIUDAD BOLÍVAR, UPZ:69 ISMAEL PERDOMO, SECTOR:ALTOS DE LA ESTANCIA</v>
          </cell>
          <cell r="R2512">
            <v>3614814</v>
          </cell>
          <cell r="S2512">
            <v>0</v>
          </cell>
          <cell r="T2512">
            <v>0</v>
          </cell>
          <cell r="U2512">
            <v>3614814</v>
          </cell>
          <cell r="V2512">
            <v>1032804</v>
          </cell>
        </row>
        <row r="2513">
          <cell r="J2513">
            <v>2125</v>
          </cell>
          <cell r="K2513">
            <v>43273</v>
          </cell>
          <cell r="L2513" t="str">
            <v>ANA ELVIA RODRIGUEZ MENDEZ</v>
          </cell>
          <cell r="M2513">
            <v>31</v>
          </cell>
          <cell r="N2513" t="str">
            <v>RESOLUCION</v>
          </cell>
          <cell r="O2513">
            <v>2347</v>
          </cell>
          <cell r="P2513">
            <v>43273</v>
          </cell>
          <cell r="Q2513" t="str">
            <v>AYUDA TEMPORAL A LAS FAMILIAS DE VARIAS LOCALIDADES, PARA LA RELOCALIZACIÓN DE HOGARES LOCALIZADOS EN ZONAS DE ALTO RIESGO NO MITIGABLE ID:2014-OTR-00901, LOCALIDAD:03 SANTA FE, UPZ:96 LOURDES, SECTOR:CASA 3</v>
          </cell>
          <cell r="R2513">
            <v>2975525</v>
          </cell>
          <cell r="S2513">
            <v>0</v>
          </cell>
          <cell r="T2513">
            <v>0</v>
          </cell>
          <cell r="U2513">
            <v>2975525</v>
          </cell>
          <cell r="V2513">
            <v>850150</v>
          </cell>
        </row>
        <row r="2514">
          <cell r="J2514">
            <v>2126</v>
          </cell>
          <cell r="K2514">
            <v>43273</v>
          </cell>
          <cell r="L2514" t="str">
            <v>BLANCA LUZ TORRES CARRILLO</v>
          </cell>
          <cell r="M2514">
            <v>31</v>
          </cell>
          <cell r="N2514" t="str">
            <v>RESOLUCION</v>
          </cell>
          <cell r="O2514">
            <v>2346</v>
          </cell>
          <cell r="P2514">
            <v>43273</v>
          </cell>
          <cell r="Q2514" t="str">
            <v>AYUDA TEMPORAL A LAS FAMILIAS DE VARIAS LOCALIDADES, PARA LA RELOCALIZACIÓN DE HOGARES LOCALIZADOS EN ZONAS DE ALTO RIESGO NO MITIGABLE ID:2014-Q03-01022, LOCALIDAD:19 CIUDAD BOLÍVAR, UPZ:66 SAN FRANCISCO, SECTOR:LIMAS</v>
          </cell>
          <cell r="R2514">
            <v>2924376</v>
          </cell>
          <cell r="S2514">
            <v>0</v>
          </cell>
          <cell r="T2514">
            <v>0</v>
          </cell>
          <cell r="U2514">
            <v>2924376</v>
          </cell>
          <cell r="V2514">
            <v>835536</v>
          </cell>
        </row>
        <row r="2515">
          <cell r="J2515">
            <v>2127</v>
          </cell>
          <cell r="K2515">
            <v>43273</v>
          </cell>
          <cell r="L2515" t="str">
            <v>MARIA BEATRIZ NARANJO PATARROYO</v>
          </cell>
          <cell r="M2515">
            <v>31</v>
          </cell>
          <cell r="N2515" t="str">
            <v>RESOLUCION</v>
          </cell>
          <cell r="O2515">
            <v>2345</v>
          </cell>
          <cell r="P2515">
            <v>43273</v>
          </cell>
          <cell r="Q2515" t="str">
            <v>AYUDA TEMPORAL A LAS FAMILIAS DE VARIAS LOCALIDADES, PARA LA RELOCALIZACIÓN DE HOGARES LOCALIZADOS EN ZONAS DE ALTO RIESGO NO MITIGABLE ID:2014-OTR-00880, LOCALIDAD:03 SANTA FE, UPZ:96 LOURDES, SECTOR:CASA 2</v>
          </cell>
          <cell r="R2515">
            <v>2975525</v>
          </cell>
          <cell r="S2515">
            <v>0</v>
          </cell>
          <cell r="T2515">
            <v>0</v>
          </cell>
          <cell r="U2515">
            <v>2975525</v>
          </cell>
          <cell r="V2515">
            <v>850150</v>
          </cell>
        </row>
        <row r="2516">
          <cell r="J2516">
            <v>2128</v>
          </cell>
          <cell r="K2516">
            <v>43273</v>
          </cell>
          <cell r="L2516" t="str">
            <v>MARTHA FABIOLA CAMACHO ROJAS</v>
          </cell>
          <cell r="M2516">
            <v>31</v>
          </cell>
          <cell r="N2516" t="str">
            <v>RESOLUCION</v>
          </cell>
          <cell r="O2516">
            <v>2344</v>
          </cell>
          <cell r="P2516">
            <v>43273</v>
          </cell>
          <cell r="Q2516" t="str">
            <v>AYUDA TEMPORAL A LAS FAMILIAS DE VARIAS LOCALIDADES, PARA LA RELOCALIZACIÓN DE HOGARES LOCALIZADOS EN ZONAS DE ALTO RIESGO NO MITIGABLE ID:2014-OTR-00871, LOCALIDAD:03 SANTA FE, UPZ:96 LOURDES, SECTOR:CASA 1</v>
          </cell>
          <cell r="R2516">
            <v>2975525</v>
          </cell>
          <cell r="S2516">
            <v>0</v>
          </cell>
          <cell r="T2516">
            <v>0</v>
          </cell>
          <cell r="U2516">
            <v>2975525</v>
          </cell>
          <cell r="V2516">
            <v>850150</v>
          </cell>
        </row>
        <row r="2517">
          <cell r="J2517">
            <v>2129</v>
          </cell>
          <cell r="K2517">
            <v>43276</v>
          </cell>
          <cell r="L2517" t="str">
            <v>JORGE ARNULFO PACANCHIQUE LOPEZ</v>
          </cell>
          <cell r="M2517">
            <v>31</v>
          </cell>
          <cell r="N2517" t="str">
            <v>RESOLUCION</v>
          </cell>
          <cell r="O2517">
            <v>2338</v>
          </cell>
          <cell r="P2517">
            <v>43276</v>
          </cell>
          <cell r="Q2517" t="str">
            <v>AYUDA TEMPORAL A LAS FAMILIAS DE VARIAS LOCALIDADES, PARA LA RELOCALIZACIÓN DE HOGARES LOCALIZADOS EN ZONAS DE ALTO RIESGO NO MITIGABLE ID:2014-OTR-01155, LOCALIDAD:11 SUBA, UPZ:71 TIBABUYES, SECTOR:GAVILANES</v>
          </cell>
          <cell r="R2517">
            <v>3017000</v>
          </cell>
          <cell r="S2517">
            <v>0</v>
          </cell>
          <cell r="T2517">
            <v>0</v>
          </cell>
          <cell r="U2517">
            <v>3017000</v>
          </cell>
          <cell r="V2517">
            <v>862000</v>
          </cell>
        </row>
        <row r="2518">
          <cell r="J2518">
            <v>2130</v>
          </cell>
          <cell r="K2518">
            <v>43276</v>
          </cell>
          <cell r="L2518" t="str">
            <v>ALIRIO  HOYOS</v>
          </cell>
          <cell r="M2518">
            <v>31</v>
          </cell>
          <cell r="N2518" t="str">
            <v>RESOLUCION</v>
          </cell>
          <cell r="O2518">
            <v>2337</v>
          </cell>
          <cell r="P2518">
            <v>43276</v>
          </cell>
          <cell r="Q2518" t="str">
            <v>AYUDA TEMPORAL A LAS FAMILIAS DE VARIAS LOCALIDADES, PARA LA RELOCALIZACIÓN DE HOGARES LOCALIZADOS EN ZONAS DE ALTO RIESGO NO MITIGABLE ID:2015-Q03-01359, LOCALIDAD:19 CIUDAD BOLÍVAR, UPZ:66 SAN FRANCISCO, SECTOR:LIMAS</v>
          </cell>
          <cell r="R2518">
            <v>3157315</v>
          </cell>
          <cell r="S2518">
            <v>0</v>
          </cell>
          <cell r="T2518">
            <v>0</v>
          </cell>
          <cell r="U2518">
            <v>3157315</v>
          </cell>
          <cell r="V2518">
            <v>902090</v>
          </cell>
        </row>
        <row r="2519">
          <cell r="J2519">
            <v>2131</v>
          </cell>
          <cell r="K2519">
            <v>43276</v>
          </cell>
          <cell r="L2519" t="str">
            <v>EZEQUIEL  TORRES</v>
          </cell>
          <cell r="M2519">
            <v>31</v>
          </cell>
          <cell r="N2519" t="str">
            <v>RESOLUCION</v>
          </cell>
          <cell r="O2519">
            <v>2336</v>
          </cell>
          <cell r="P2519">
            <v>43276</v>
          </cell>
          <cell r="Q2519" t="str">
            <v>AYUDA TEMPORAL A LAS FAMILIAS DE VARIAS LOCALIDADES, PARA LA RELOCALIZACIÓN DE HOGARES LOCALIZADOS EN ZONAS DE ALTO RIESGO NO MITIGABLE ID:2014-OTR-00889, LOCALIDAD:03 SANTA FE, UPZ:96 LOURDES, SECTOR:CASA 2</v>
          </cell>
          <cell r="R2519">
            <v>2582006</v>
          </cell>
          <cell r="S2519">
            <v>0</v>
          </cell>
          <cell r="T2519">
            <v>0</v>
          </cell>
          <cell r="U2519">
            <v>2582006</v>
          </cell>
          <cell r="V2519">
            <v>737716</v>
          </cell>
        </row>
        <row r="2520">
          <cell r="J2520">
            <v>2132</v>
          </cell>
          <cell r="K2520">
            <v>43276</v>
          </cell>
          <cell r="L2520" t="str">
            <v>CLARA INES ESCOBAR DE BENAVIDES</v>
          </cell>
          <cell r="M2520">
            <v>31</v>
          </cell>
          <cell r="N2520" t="str">
            <v>RESOLUCION</v>
          </cell>
          <cell r="O2520">
            <v>2335</v>
          </cell>
          <cell r="P2520">
            <v>43276</v>
          </cell>
          <cell r="Q2520" t="str">
            <v>AYUDA TEMPORAL A LAS FAMILIAS DE VARIAS LOCALIDADES, PARA LA RELOCALIZACIÓN DE HOGARES LOCALIZADOS EN ZONAS DE ALTO RIESGO NO MITIGABLE ID:2014-Q04-00825, LOCALIDAD:19 CIUDAD BOLÍVAR, UPZ:67 LUCERO, SECTOR:PEÑA COLORADA</v>
          </cell>
          <cell r="R2520">
            <v>3157315</v>
          </cell>
          <cell r="S2520">
            <v>0</v>
          </cell>
          <cell r="T2520">
            <v>0</v>
          </cell>
          <cell r="U2520">
            <v>3157315</v>
          </cell>
          <cell r="V2520">
            <v>902090</v>
          </cell>
        </row>
        <row r="2521">
          <cell r="J2521">
            <v>2133</v>
          </cell>
          <cell r="K2521">
            <v>43276</v>
          </cell>
          <cell r="L2521" t="str">
            <v>JEINNY ANDREA NAVARRETE</v>
          </cell>
          <cell r="M2521">
            <v>31</v>
          </cell>
          <cell r="N2521" t="str">
            <v>RESOLUCION</v>
          </cell>
          <cell r="O2521">
            <v>2334</v>
          </cell>
          <cell r="P2521">
            <v>43276</v>
          </cell>
          <cell r="Q2521" t="str">
            <v>AYUDA TEMPORAL A LAS FAMILIAS DE VARIAS LOCALIDADES, PARA LA RELOCALIZACIÓN DE HOGARES LOCALIZADOS EN ZONAS DE ALTO RIESGO NO MITIGABLE ID:2014-OTR-00898, LOCALIDAD:03 SANTA FE, UPZ:96 LOURDES, SECTOR:CASA 3</v>
          </cell>
          <cell r="R2521">
            <v>2582006</v>
          </cell>
          <cell r="S2521">
            <v>0</v>
          </cell>
          <cell r="T2521">
            <v>0</v>
          </cell>
          <cell r="U2521">
            <v>2582006</v>
          </cell>
          <cell r="V2521">
            <v>737716</v>
          </cell>
        </row>
        <row r="2522">
          <cell r="J2522">
            <v>2134</v>
          </cell>
          <cell r="K2522">
            <v>43276</v>
          </cell>
          <cell r="L2522" t="str">
            <v>ORLANDO  RODRIGUEZ ANZOLA</v>
          </cell>
          <cell r="M2522">
            <v>31</v>
          </cell>
          <cell r="N2522" t="str">
            <v>RESOLUCION</v>
          </cell>
          <cell r="O2522">
            <v>2333</v>
          </cell>
          <cell r="P2522">
            <v>43276</v>
          </cell>
          <cell r="Q2522" t="str">
            <v>AYUDA TEMPORAL A LAS FAMILIAS DE VARIAS LOCALIDADES, PARA LA RELOCALIZACIÓN DE HOGARES LOCALIZADOS EN ZONAS DE ALTO RIESGO NO MITIGABLE ID:2015-Q03-03362, LOCALIDAD:19 CIUDAD BOLÍVAR, UPZ:67 LUCERO, SECTOR:LIMAS</v>
          </cell>
          <cell r="R2522">
            <v>3098410</v>
          </cell>
          <cell r="S2522">
            <v>0</v>
          </cell>
          <cell r="T2522">
            <v>0</v>
          </cell>
          <cell r="U2522">
            <v>3098410</v>
          </cell>
          <cell r="V2522">
            <v>885260</v>
          </cell>
        </row>
        <row r="2523">
          <cell r="J2523">
            <v>2135</v>
          </cell>
          <cell r="K2523">
            <v>43276</v>
          </cell>
          <cell r="L2523" t="str">
            <v>LUZ ESPERANZA AGUILAR CUTIVA</v>
          </cell>
          <cell r="M2523">
            <v>31</v>
          </cell>
          <cell r="N2523" t="str">
            <v>RESOLUCION</v>
          </cell>
          <cell r="O2523">
            <v>2332</v>
          </cell>
          <cell r="P2523">
            <v>43276</v>
          </cell>
          <cell r="Q2523" t="str">
            <v>AYUDA TEMPORAL A LAS FAMILIAS DE VARIAS LOCALIDADES, PARA LA RELOCALIZACIÓN DE HOGARES LOCALIZADOS EN ZONAS DE ALTO RIESGO NO MITIGABLE ID:2014-Q03-00992, LOCALIDAD:19 CIUDAD BOLÍVAR, UPZ:66 SAN FRANCISCO, SECTOR:LIMAS</v>
          </cell>
          <cell r="R2523">
            <v>3606526</v>
          </cell>
          <cell r="S2523">
            <v>0</v>
          </cell>
          <cell r="T2523">
            <v>0</v>
          </cell>
          <cell r="U2523">
            <v>3606526</v>
          </cell>
          <cell r="V2523">
            <v>1030436</v>
          </cell>
        </row>
        <row r="2524">
          <cell r="J2524">
            <v>2136</v>
          </cell>
          <cell r="K2524">
            <v>43276</v>
          </cell>
          <cell r="L2524" t="str">
            <v>ANA YIBE BELTRAN HERNANDEZ</v>
          </cell>
          <cell r="M2524">
            <v>31</v>
          </cell>
          <cell r="N2524" t="str">
            <v>RESOLUCION</v>
          </cell>
          <cell r="O2524">
            <v>2331</v>
          </cell>
          <cell r="P2524">
            <v>43276</v>
          </cell>
          <cell r="Q2524" t="str">
            <v>AYUDA TEMPORAL A LAS FAMILIAS DE VARIAS LOCALIDADES, PARA LA RELOCALIZACIÓN DE HOGARES LOCALIZADOS EN ZONAS DE ALTO RIESGO NO MITIGABLE ID:2014-Q04-00834, LOCALIDAD:19 CIUDAD BOLÍVAR, UPZ:67 LUCERO, SECTOR:PEÑA COLORADA</v>
          </cell>
          <cell r="R2524">
            <v>2734347</v>
          </cell>
          <cell r="S2524">
            <v>0</v>
          </cell>
          <cell r="T2524">
            <v>0</v>
          </cell>
          <cell r="U2524">
            <v>2734347</v>
          </cell>
          <cell r="V2524">
            <v>781242</v>
          </cell>
        </row>
        <row r="2525">
          <cell r="J2525">
            <v>2137</v>
          </cell>
          <cell r="K2525">
            <v>43276</v>
          </cell>
          <cell r="L2525" t="str">
            <v>JACKELINE  GOMEZ NUÑEZ</v>
          </cell>
          <cell r="M2525">
            <v>31</v>
          </cell>
          <cell r="N2525" t="str">
            <v>RESOLUCION</v>
          </cell>
          <cell r="O2525">
            <v>2330</v>
          </cell>
          <cell r="P2525">
            <v>43276</v>
          </cell>
          <cell r="Q2525" t="str">
            <v>AYUDA TEMPORAL A LAS FAMILIAS DE VARIAS LOCALIDADES, PARA LA RELOCALIZACIÓN DE HOGARES LOCALIZADOS EN ZONAS DE ALTO RIESGO NO MITIGABLE ID:2014-Q09-00928, LOCALIDAD:19 CIUDAD BOLÍVAR, UPZ:67 LUCERO, SECTOR:QUEBRADA TROMPETA</v>
          </cell>
          <cell r="R2525">
            <v>3124968</v>
          </cell>
          <cell r="S2525">
            <v>0</v>
          </cell>
          <cell r="T2525">
            <v>0</v>
          </cell>
          <cell r="U2525">
            <v>3124968</v>
          </cell>
          <cell r="V2525">
            <v>781242</v>
          </cell>
        </row>
        <row r="2526">
          <cell r="J2526">
            <v>2138</v>
          </cell>
          <cell r="K2526">
            <v>43276</v>
          </cell>
          <cell r="L2526" t="str">
            <v>LUZ STELLA CRIOLLO</v>
          </cell>
          <cell r="M2526">
            <v>31</v>
          </cell>
          <cell r="N2526" t="str">
            <v>RESOLUCION</v>
          </cell>
          <cell r="O2526">
            <v>2329</v>
          </cell>
          <cell r="P2526">
            <v>43276</v>
          </cell>
          <cell r="Q2526" t="str">
            <v>AYUDA TEMPORAL A LAS FAMILIAS DE VARIAS LOCALIDADES, PARA LA RELOCALIZACIÓN DE HOGARES LOCALIZADOS EN ZONAS DE ALTO RIESGO NO MITIGABLE ID:2014-Q03-00991, LOCALIDAD:19 CIUDAD BOLÍVAR, UPZ:66 SAN FRANCISCO, SECTOR:LIMAS</v>
          </cell>
          <cell r="R2526">
            <v>3017000</v>
          </cell>
          <cell r="S2526">
            <v>0</v>
          </cell>
          <cell r="T2526">
            <v>0</v>
          </cell>
          <cell r="U2526">
            <v>3017000</v>
          </cell>
          <cell r="V2526">
            <v>862000</v>
          </cell>
        </row>
        <row r="2527">
          <cell r="J2527">
            <v>2139</v>
          </cell>
          <cell r="K2527">
            <v>43276</v>
          </cell>
          <cell r="L2527" t="str">
            <v>MARIA GUADALUPE PULIDO GONZALEZ</v>
          </cell>
          <cell r="M2527">
            <v>31</v>
          </cell>
          <cell r="N2527" t="str">
            <v>RESOLUCION</v>
          </cell>
          <cell r="O2527">
            <v>2328</v>
          </cell>
          <cell r="P2527">
            <v>43276</v>
          </cell>
          <cell r="Q2527" t="str">
            <v>AYUDA TEMPORAL A LAS FAMILIAS DE VARIAS LOCALIDADES, PARA LA RELOCALIZACIÓN DE HOGARES LOCALIZADOS EN ZONAS DE ALTO RIESGO NO MITIGABLE ID:2015-OTR-01363, LOCALIDAD:19 CIUDAD BOLÍVAR, UPZ:67 LUCERO, SECTOR:TABOR ALTALOMA</v>
          </cell>
          <cell r="R2527">
            <v>4647615</v>
          </cell>
          <cell r="S2527">
            <v>0</v>
          </cell>
          <cell r="T2527">
            <v>0</v>
          </cell>
          <cell r="U2527">
            <v>4647615</v>
          </cell>
          <cell r="V2527">
            <v>1327890</v>
          </cell>
        </row>
        <row r="2528">
          <cell r="J2528">
            <v>2140</v>
          </cell>
          <cell r="K2528">
            <v>43276</v>
          </cell>
          <cell r="L2528" t="str">
            <v>HENRY STEVEN AGUILERA BENITEZ</v>
          </cell>
          <cell r="M2528">
            <v>31</v>
          </cell>
          <cell r="N2528" t="str">
            <v>RESOLUCION</v>
          </cell>
          <cell r="O2528">
            <v>2327</v>
          </cell>
          <cell r="P2528">
            <v>43276</v>
          </cell>
          <cell r="Q2528" t="str">
            <v>AYUDA TEMPORAL A LAS FAMILIAS DE VARIAS LOCALIDADES, PARA LA RELOCALIZACIÓN DE HOGARES LOCALIZADOS EN ZONAS DE ALTO RIESGO NO MITIGABLE ID:2015-Q03-01474, LOCALIDAD:19 CIUDAD BOLÍVAR, UPZ:66 SAN FRANCISCO, SECTOR:LIMAS</v>
          </cell>
          <cell r="R2528">
            <v>2950864</v>
          </cell>
          <cell r="S2528">
            <v>0</v>
          </cell>
          <cell r="T2528">
            <v>0</v>
          </cell>
          <cell r="U2528">
            <v>2950864</v>
          </cell>
          <cell r="V2528">
            <v>737716</v>
          </cell>
        </row>
        <row r="2529">
          <cell r="J2529">
            <v>2141</v>
          </cell>
          <cell r="K2529">
            <v>43276</v>
          </cell>
          <cell r="L2529" t="str">
            <v>BERNEY  VIUCHE SIERRA</v>
          </cell>
          <cell r="M2529">
            <v>31</v>
          </cell>
          <cell r="N2529" t="str">
            <v>RESOLUCION</v>
          </cell>
          <cell r="O2529">
            <v>2326</v>
          </cell>
          <cell r="P2529">
            <v>43276</v>
          </cell>
          <cell r="Q2529" t="str">
            <v>AYUDA TEMPORAL A LAS FAMILIAS DE VARIAS LOCALIDADES, PARA LA RELOCALIZACIÓN DE HOGARES LOCALIZADOS EN ZONAS DE ALTO RIESGO NO MITIGABLE ID:2015-Q03-01487, LOCALIDAD:19 CIUDAD BOLÍVAR, UPZ:66 SAN FRANCISCO, SECTOR:LIMAS</v>
          </cell>
          <cell r="R2529">
            <v>2685291</v>
          </cell>
          <cell r="S2529">
            <v>0</v>
          </cell>
          <cell r="T2529">
            <v>0</v>
          </cell>
          <cell r="U2529">
            <v>2685291</v>
          </cell>
          <cell r="V2529">
            <v>767226</v>
          </cell>
        </row>
        <row r="2530">
          <cell r="J2530">
            <v>2142</v>
          </cell>
          <cell r="K2530">
            <v>43276</v>
          </cell>
          <cell r="L2530" t="str">
            <v>MAYURI  RODRIGUEZ RAMIREZ</v>
          </cell>
          <cell r="M2530">
            <v>31</v>
          </cell>
          <cell r="N2530" t="str">
            <v>RESOLUCION</v>
          </cell>
          <cell r="O2530">
            <v>2325</v>
          </cell>
          <cell r="P2530">
            <v>43276</v>
          </cell>
          <cell r="Q2530" t="str">
            <v>AYUDA TEMPORAL A LAS FAMILIAS DE VARIAS LOCALIDADES, PARA LA RELOCALIZACIÓN DE HOGARES LOCALIZADOS EN ZONAS DE ALTO RIESGO NO MITIGABLE ID:2017-04-14930, LOCALIDAD:04 SAN CRISTÓBAL, UPZ:32 SAN BLAS, SECTOR:TRIANGULO ALTO</v>
          </cell>
          <cell r="R2530">
            <v>2840208</v>
          </cell>
          <cell r="S2530">
            <v>0</v>
          </cell>
          <cell r="T2530">
            <v>0</v>
          </cell>
          <cell r="U2530">
            <v>2840208</v>
          </cell>
          <cell r="V2530">
            <v>811488</v>
          </cell>
        </row>
        <row r="2531">
          <cell r="J2531">
            <v>2143</v>
          </cell>
          <cell r="K2531">
            <v>43276</v>
          </cell>
          <cell r="L2531" t="str">
            <v>JOSE VICENTE RODRIGUEZ PARRA</v>
          </cell>
          <cell r="M2531">
            <v>31</v>
          </cell>
          <cell r="N2531" t="str">
            <v>RESOLUCION</v>
          </cell>
          <cell r="O2531">
            <v>2324</v>
          </cell>
          <cell r="P2531">
            <v>43276</v>
          </cell>
          <cell r="Q2531" t="str">
            <v>AYUDA TEMPORAL A LAS FAMILIAS DE VARIAS LOCALIDADES, PARA LA RELOCALIZACIÓN DE HOGARES LOCALIZADOS EN ZONAS DE ALTO RIESGO NO MITIGABLE ID:2017-04-14932, LOCALIDAD:04 SAN CRISTÓBAL, UPZ:32 SAN BLAS, SECTOR:TRIANGULO ALTO</v>
          </cell>
          <cell r="R2531">
            <v>3098410</v>
          </cell>
          <cell r="S2531">
            <v>0</v>
          </cell>
          <cell r="T2531">
            <v>0</v>
          </cell>
          <cell r="U2531">
            <v>3098410</v>
          </cell>
          <cell r="V2531">
            <v>885260</v>
          </cell>
        </row>
        <row r="2532">
          <cell r="J2532">
            <v>2148</v>
          </cell>
          <cell r="K2532">
            <v>43277</v>
          </cell>
          <cell r="L2532" t="str">
            <v>LETICIA  FIERRO GARRIDO</v>
          </cell>
          <cell r="M2532">
            <v>31</v>
          </cell>
          <cell r="N2532" t="str">
            <v>RESOLUCION</v>
          </cell>
          <cell r="O2532">
            <v>2426</v>
          </cell>
          <cell r="P2532">
            <v>43277</v>
          </cell>
          <cell r="Q2532" t="str">
            <v>VUR de la actual vigencia. La asignación se realiza para dar cumplimiento al fallo de acción popular 2002-00152- Suba Gavilanes. Decreto 255 de 2013. LOCALIDAD: SUBA (GAVILANES); BARRIO: SANTA CECILIA;ID: 2018-11-15303</v>
          </cell>
          <cell r="R2532">
            <v>39062100</v>
          </cell>
          <cell r="S2532">
            <v>0</v>
          </cell>
          <cell r="T2532">
            <v>0</v>
          </cell>
          <cell r="U2532">
            <v>39062100</v>
          </cell>
          <cell r="V2532">
            <v>0</v>
          </cell>
        </row>
        <row r="2533">
          <cell r="J2533">
            <v>2149</v>
          </cell>
          <cell r="K2533">
            <v>43277</v>
          </cell>
          <cell r="L2533" t="str">
            <v>BLANCA CECILIA BENAVIDES</v>
          </cell>
          <cell r="M2533">
            <v>31</v>
          </cell>
          <cell r="N2533" t="str">
            <v>RESOLUCION</v>
          </cell>
          <cell r="O2533">
            <v>2538</v>
          </cell>
          <cell r="P2533">
            <v>43277</v>
          </cell>
          <cell r="Q2533" t="str">
            <v>AYUDA TEMPORAL A LAS FAMILIAS DE VARIAS LOCALIDADES, PARA LA RELOCALIZACIÓN DE HOGARES LOCALIZADOS EN ZONAS DE ALTO RIESGO NO MITIGABLE ID:2011-4-12708, LOCALIDAD:04 SAN CRISTÓBAL, UPZ:32 SAN BLAS</v>
          </cell>
          <cell r="R2533">
            <v>2582006</v>
          </cell>
          <cell r="S2533">
            <v>0</v>
          </cell>
          <cell r="T2533">
            <v>0</v>
          </cell>
          <cell r="U2533">
            <v>2582006</v>
          </cell>
          <cell r="V2533">
            <v>737716</v>
          </cell>
        </row>
        <row r="2534">
          <cell r="J2534">
            <v>2150</v>
          </cell>
          <cell r="K2534">
            <v>43277</v>
          </cell>
          <cell r="L2534" t="str">
            <v>JUANA PAULA GAÑAN DE TAPASCO</v>
          </cell>
          <cell r="M2534">
            <v>31</v>
          </cell>
          <cell r="N2534" t="str">
            <v>RESOLUCION</v>
          </cell>
          <cell r="O2534">
            <v>2537</v>
          </cell>
          <cell r="P2534">
            <v>43277</v>
          </cell>
          <cell r="Q2534" t="str">
            <v>AYUDA TEMPORAL A LAS FAMILIAS DE VARIAS LOCALIDADES, PARA LA RELOCALIZACIÓN DE HOGARES LOCALIZADOS EN ZONAS DE ALTO RIESGO NO MITIGABLE ID:2011-4-12722, LOCALIDAD:04 SAN CRISTÓBAL, UPZ:32 SAN BLAS</v>
          </cell>
          <cell r="R2534">
            <v>2661239</v>
          </cell>
          <cell r="S2534">
            <v>0</v>
          </cell>
          <cell r="T2534">
            <v>0</v>
          </cell>
          <cell r="U2534">
            <v>2661239</v>
          </cell>
          <cell r="V2534">
            <v>760354</v>
          </cell>
        </row>
        <row r="2535">
          <cell r="J2535">
            <v>2151</v>
          </cell>
          <cell r="K2535">
            <v>43277</v>
          </cell>
          <cell r="L2535" t="str">
            <v>LUZ ISLENI CADENA SANCHEZ</v>
          </cell>
          <cell r="M2535">
            <v>31</v>
          </cell>
          <cell r="N2535" t="str">
            <v>RESOLUCION</v>
          </cell>
          <cell r="O2535">
            <v>2536</v>
          </cell>
          <cell r="P2535">
            <v>43277</v>
          </cell>
          <cell r="Q2535" t="str">
            <v>AYUDA TEMPORAL A LAS FAMILIAS DE VARIAS LOCALIDADES, PARA LA RELOCALIZACIÓN DE HOGARES LOCALIZADOS EN ZONAS DE ALTO RIESGO NO MITIGABLE ID:2012-5-14150, LOCALIDAD:05 USME, UPZ:58 COMUNEROS</v>
          </cell>
          <cell r="R2535">
            <v>2582006</v>
          </cell>
          <cell r="S2535">
            <v>0</v>
          </cell>
          <cell r="T2535">
            <v>0</v>
          </cell>
          <cell r="U2535">
            <v>2582006</v>
          </cell>
          <cell r="V2535">
            <v>737716</v>
          </cell>
        </row>
        <row r="2536">
          <cell r="J2536">
            <v>2152</v>
          </cell>
          <cell r="K2536">
            <v>43277</v>
          </cell>
          <cell r="L2536" t="str">
            <v>NELLY ESPERANZA CAMARGO LOZANO</v>
          </cell>
          <cell r="M2536">
            <v>31</v>
          </cell>
          <cell r="N2536" t="str">
            <v>RESOLUCION</v>
          </cell>
          <cell r="O2536">
            <v>2535</v>
          </cell>
          <cell r="P2536">
            <v>43277</v>
          </cell>
          <cell r="Q2536" t="str">
            <v>AYUDA TEMPORAL A LAS FAMILIAS DE VARIAS LOCALIDADES, PARA LA RELOCALIZACIÓN DE HOGARES LOCALIZADOS EN ZONAS DE ALTO RIESGO NO MITIGABLE ID:2015-3-14763, LOCALIDAD:03 SANTA FE, UPZ:96 LOURDES</v>
          </cell>
          <cell r="R2536">
            <v>3318945</v>
          </cell>
          <cell r="S2536">
            <v>0</v>
          </cell>
          <cell r="T2536">
            <v>0</v>
          </cell>
          <cell r="U2536">
            <v>3318945</v>
          </cell>
          <cell r="V2536">
            <v>948270</v>
          </cell>
        </row>
        <row r="2537">
          <cell r="J2537">
            <v>2153</v>
          </cell>
          <cell r="K2537">
            <v>43277</v>
          </cell>
          <cell r="L2537" t="str">
            <v>JUAN EVANGELISTA NARANJO PATARROYO</v>
          </cell>
          <cell r="M2537">
            <v>31</v>
          </cell>
          <cell r="N2537" t="str">
            <v>RESOLUCION</v>
          </cell>
          <cell r="O2537">
            <v>2534</v>
          </cell>
          <cell r="P2537">
            <v>43277</v>
          </cell>
          <cell r="Q2537" t="str">
            <v>AYUDA TEMPORAL A LAS FAMILIAS DE VARIAS LOCALIDADES, PARA LA RELOCALIZACIÓN DE HOGARES LOCALIZADOS EN ZONAS DE ALTO RIESGO NO MITIGABLE ID:2014-OTR-00886, LOCALIDAD:03 SANTA FE, UPZ:96 LOURDES, SECTOR:CASA 2</v>
          </cell>
          <cell r="R2537">
            <v>3516527</v>
          </cell>
          <cell r="S2537">
            <v>0</v>
          </cell>
          <cell r="T2537">
            <v>0</v>
          </cell>
          <cell r="U2537">
            <v>3516527</v>
          </cell>
          <cell r="V2537">
            <v>1004722</v>
          </cell>
        </row>
        <row r="2538">
          <cell r="J2538">
            <v>2154</v>
          </cell>
          <cell r="K2538">
            <v>43277</v>
          </cell>
          <cell r="L2538" t="str">
            <v>LUZ HERMINDA MURILLO REIVA</v>
          </cell>
          <cell r="M2538">
            <v>31</v>
          </cell>
          <cell r="N2538" t="str">
            <v>RESOLUCION</v>
          </cell>
          <cell r="O2538">
            <v>2533</v>
          </cell>
          <cell r="P2538">
            <v>43277</v>
          </cell>
          <cell r="Q2538" t="str">
            <v>AYUDA TEMPORAL A LAS FAMILIAS DE VARIAS LOCALIDADES, PARA LA RELOCALIZACIÓN DE HOGARES LOCALIZADOS EN ZONAS DE ALTO RIESGO NO MITIGABLE ID:2016-08-14857, LOCALIDAD:08 KENNEDY, UPZ:82 PATIO BONITO, SECTOR:PALMITAS</v>
          </cell>
          <cell r="R2538">
            <v>3363992</v>
          </cell>
          <cell r="S2538">
            <v>0</v>
          </cell>
          <cell r="T2538">
            <v>0</v>
          </cell>
          <cell r="U2538">
            <v>3363992</v>
          </cell>
          <cell r="V2538">
            <v>840998</v>
          </cell>
        </row>
        <row r="2539">
          <cell r="J2539">
            <v>2155</v>
          </cell>
          <cell r="K2539">
            <v>43277</v>
          </cell>
          <cell r="L2539" t="str">
            <v>FLOR ELISA ULLOA PUENTES</v>
          </cell>
          <cell r="M2539">
            <v>31</v>
          </cell>
          <cell r="N2539" t="str">
            <v>RESOLUCION</v>
          </cell>
          <cell r="O2539">
            <v>2524</v>
          </cell>
          <cell r="P2539">
            <v>43277</v>
          </cell>
          <cell r="Q2539" t="str">
            <v>VUR de la actual vigencia. La asignación se realiza para dar cumplimiento al fallo de acción popular 2002-00152- Suba Gavilanes. Decreto 255 de 2013. LOCALIDAD: SUBA (GAVILANES); BARRIO: SANTA CECILIA; ID:2018-11-15198</v>
          </cell>
          <cell r="R2539">
            <v>39062100</v>
          </cell>
          <cell r="S2539">
            <v>39062100</v>
          </cell>
          <cell r="T2539">
            <v>0</v>
          </cell>
          <cell r="U2539">
            <v>0</v>
          </cell>
          <cell r="V2539">
            <v>0</v>
          </cell>
        </row>
        <row r="2540">
          <cell r="J2540">
            <v>2156</v>
          </cell>
          <cell r="K2540">
            <v>43277</v>
          </cell>
          <cell r="L2540" t="str">
            <v>MARYLIN  REALPE CAMACHO</v>
          </cell>
          <cell r="M2540">
            <v>31</v>
          </cell>
          <cell r="N2540" t="str">
            <v>RESOLUCION</v>
          </cell>
          <cell r="O2540">
            <v>2571</v>
          </cell>
          <cell r="P2540">
            <v>43277</v>
          </cell>
          <cell r="Q2540" t="str">
            <v>AYUDA TEMPORAL A LAS FAMILIAS DE VARIAS LOCALIDADES, PARA LA RELOCALIZACIÓN DE HOGARES LOCALIZADOS EN ZONAS DE ALTO RIESGO NO MITIGABLE ID:2014-OTR-00877, LOCALIDAD:03 SANTA FE, UPZ:96 LOURDES, SECTOR:CASA 1</v>
          </cell>
          <cell r="R2540">
            <v>2976771</v>
          </cell>
          <cell r="S2540">
            <v>0</v>
          </cell>
          <cell r="T2540">
            <v>0</v>
          </cell>
          <cell r="U2540">
            <v>2976771</v>
          </cell>
          <cell r="V2540">
            <v>850506</v>
          </cell>
        </row>
        <row r="2541">
          <cell r="J2541">
            <v>2157</v>
          </cell>
          <cell r="K2541">
            <v>43277</v>
          </cell>
          <cell r="L2541" t="str">
            <v>BLANCA RUTH NARANJO PATARROYO</v>
          </cell>
          <cell r="M2541">
            <v>31</v>
          </cell>
          <cell r="N2541" t="str">
            <v>RESOLUCION</v>
          </cell>
          <cell r="O2541">
            <v>2570</v>
          </cell>
          <cell r="P2541">
            <v>43277</v>
          </cell>
          <cell r="Q2541" t="str">
            <v>AYUDA TEMPORAL A LAS FAMILIAS DE VARIAS LOCALIDADES, PARA LA RELOCALIZACIÓN DE HOGARES LOCALIZADOS EN ZONAS DE ALTO RIESGO NO MITIGABLE ID:2014-OTR-00887, LOCALIDAD:03 SANTA FE, UPZ:96 LOURDES, SECTOR:CASA 2</v>
          </cell>
          <cell r="R2541">
            <v>2975525</v>
          </cell>
          <cell r="S2541">
            <v>0</v>
          </cell>
          <cell r="T2541">
            <v>0</v>
          </cell>
          <cell r="U2541">
            <v>2975525</v>
          </cell>
          <cell r="V2541">
            <v>850150</v>
          </cell>
        </row>
        <row r="2542">
          <cell r="J2542">
            <v>2158</v>
          </cell>
          <cell r="K2542">
            <v>43277</v>
          </cell>
          <cell r="L2542" t="str">
            <v>LILIA INES LOAIZA DE ARRAZOLA</v>
          </cell>
          <cell r="M2542">
            <v>31</v>
          </cell>
          <cell r="N2542" t="str">
            <v>RESOLUCION</v>
          </cell>
          <cell r="O2542">
            <v>2569</v>
          </cell>
          <cell r="P2542">
            <v>43277</v>
          </cell>
          <cell r="Q2542" t="str">
            <v>AYUDA TEMPORAL A LAS FAMILIAS DE VARIAS LOCALIDADES, PARA LA RELOCALIZACIÓN DE HOGARES LOCALIZADOS EN ZONAS DE ALTO RIESGO NO MITIGABLE ID:2013000384, LOCALIDAD:04 SAN CRISTÓBAL, UPZ:51 LOS LIBERTADORES, SECTOR:QUEBRADA VEREJONES</v>
          </cell>
          <cell r="R2542">
            <v>4499955</v>
          </cell>
          <cell r="S2542">
            <v>0</v>
          </cell>
          <cell r="T2542">
            <v>0</v>
          </cell>
          <cell r="U2542">
            <v>4499955</v>
          </cell>
          <cell r="V2542">
            <v>999990</v>
          </cell>
        </row>
        <row r="2543">
          <cell r="J2543">
            <v>2159</v>
          </cell>
          <cell r="K2543">
            <v>43277</v>
          </cell>
          <cell r="L2543" t="str">
            <v>YUDY ZULEYDI TORRES MUÑOZ</v>
          </cell>
          <cell r="M2543">
            <v>31</v>
          </cell>
          <cell r="N2543" t="str">
            <v>RESOLUCION</v>
          </cell>
          <cell r="O2543">
            <v>2532</v>
          </cell>
          <cell r="P2543">
            <v>43277</v>
          </cell>
          <cell r="Q2543" t="str">
            <v>AYUDA TEMPORAL A LAS FAMILIAS DE VARIAS LOCALIDADES, PARA LA RELOCALIZACIÓN DE HOGARES LOCALIZADOS EN ZONAS DE ALTO RIESGO NO MITIGABLE ID:2015-OTR-01373, LOCALIDAD:11 SUBA, UPZ:71 TIBABUYES, SECTOR:GAVILANES</v>
          </cell>
          <cell r="R2543">
            <v>4027933</v>
          </cell>
          <cell r="S2543">
            <v>0</v>
          </cell>
          <cell r="T2543">
            <v>0</v>
          </cell>
          <cell r="U2543">
            <v>4027933</v>
          </cell>
          <cell r="V2543">
            <v>1150838</v>
          </cell>
        </row>
        <row r="2544">
          <cell r="J2544">
            <v>2160</v>
          </cell>
          <cell r="K2544">
            <v>43277</v>
          </cell>
          <cell r="L2544" t="str">
            <v>YADIRA  GOMEZ DAZA</v>
          </cell>
          <cell r="M2544">
            <v>31</v>
          </cell>
          <cell r="N2544" t="str">
            <v>RESOLUCION</v>
          </cell>
          <cell r="O2544">
            <v>2568</v>
          </cell>
          <cell r="P2544">
            <v>43277</v>
          </cell>
          <cell r="Q2544" t="str">
            <v>AYUDA TEMPORAL A LAS FAMILIAS DE VARIAS LOCALIDADES, PARA LA RELOCALIZACIÓN DE HOGARES LOCALIZADOS EN ZONAS DE ALTO RIESGO NO MITIGABLE ID:2012-19-14382, LOCALIDAD:19 CIUDAD BOLÍVAR, UPZ:68 EL TESORO</v>
          </cell>
          <cell r="R2544">
            <v>3218670</v>
          </cell>
          <cell r="S2544">
            <v>0</v>
          </cell>
          <cell r="T2544">
            <v>0</v>
          </cell>
          <cell r="U2544">
            <v>3218670</v>
          </cell>
          <cell r="V2544">
            <v>919620</v>
          </cell>
        </row>
        <row r="2545">
          <cell r="J2545">
            <v>2161</v>
          </cell>
          <cell r="K2545">
            <v>43277</v>
          </cell>
          <cell r="L2545" t="str">
            <v>GILDARDO  TOVAR ABELLO</v>
          </cell>
          <cell r="M2545">
            <v>31</v>
          </cell>
          <cell r="N2545" t="str">
            <v>RESOLUCION</v>
          </cell>
          <cell r="O2545">
            <v>2567</v>
          </cell>
          <cell r="P2545">
            <v>43277</v>
          </cell>
          <cell r="Q2545" t="str">
            <v>AYUDA TEMPORAL A LAS FAMILIAS DE VARIAS LOCALIDADES, PARA LA RELOCALIZACIÓN DE HOGARES LOCALIZADOS EN ZONAS DE ALTO RIESGO NO MITIGABLE ID:2016-19-00006, LOCALIDAD:19 CIUDAD BOLÍVAR, UPZ:67 LUCERO</v>
          </cell>
          <cell r="R2545">
            <v>2685291</v>
          </cell>
          <cell r="S2545">
            <v>0</v>
          </cell>
          <cell r="T2545">
            <v>0</v>
          </cell>
          <cell r="U2545">
            <v>2685291</v>
          </cell>
          <cell r="V2545">
            <v>767226</v>
          </cell>
        </row>
        <row r="2546">
          <cell r="J2546">
            <v>2162</v>
          </cell>
          <cell r="K2546">
            <v>43277</v>
          </cell>
          <cell r="L2546" t="str">
            <v>JOSE ALBERTO REINA SICUA</v>
          </cell>
          <cell r="M2546">
            <v>31</v>
          </cell>
          <cell r="N2546" t="str">
            <v>RESOLUCION</v>
          </cell>
          <cell r="O2546">
            <v>2531</v>
          </cell>
          <cell r="P2546">
            <v>43277</v>
          </cell>
          <cell r="Q2546" t="str">
            <v>AYUDA TEMPORAL A LAS FAMILIAS DE VARIAS LOCALIDADES, PARA RELOCALIZACIÓN DE HOGARES LOCALIZADOS EN ZONAS DE ALTO RIESGO NO MITIGABLE ID:2013000376, LOCALIDAD:19 CIUDAD BOLÍVAR, UPZ:67 LUCERO, SECTOR:PEÑA COLORADA</v>
          </cell>
          <cell r="R2546">
            <v>3017000</v>
          </cell>
          <cell r="S2546">
            <v>0</v>
          </cell>
          <cell r="T2546">
            <v>0</v>
          </cell>
          <cell r="U2546">
            <v>3017000</v>
          </cell>
          <cell r="V2546">
            <v>862000</v>
          </cell>
        </row>
        <row r="2547">
          <cell r="J2547">
            <v>2163</v>
          </cell>
          <cell r="K2547">
            <v>43277</v>
          </cell>
          <cell r="L2547" t="str">
            <v>ALBA LUCIA PEÑA LINARES</v>
          </cell>
          <cell r="M2547">
            <v>31</v>
          </cell>
          <cell r="N2547" t="str">
            <v>RESOLUCION</v>
          </cell>
          <cell r="O2547">
            <v>2566</v>
          </cell>
          <cell r="P2547">
            <v>43277</v>
          </cell>
          <cell r="Q2547" t="str">
            <v>AYUDA TEMPORAL A LAS FAMILIAS DE VARIAS LOCALIDADES, PARA LA RELOCALIZACIÓN DE HOGARES LOCALIZADOS EN ZONAS DE ALTO RIESGO NO MITIGABLE ID:2012-T314-09, LOCALIDAD:04 SAN CRISTÓBAL, UPZ:50 LA GLORIA</v>
          </cell>
          <cell r="R2547">
            <v>3563175</v>
          </cell>
          <cell r="S2547">
            <v>0</v>
          </cell>
          <cell r="T2547">
            <v>0</v>
          </cell>
          <cell r="U2547">
            <v>3563175</v>
          </cell>
          <cell r="V2547">
            <v>1018050</v>
          </cell>
        </row>
        <row r="2548">
          <cell r="J2548">
            <v>2164</v>
          </cell>
          <cell r="K2548">
            <v>43277</v>
          </cell>
          <cell r="L2548" t="str">
            <v>CLARA INES MARTINEZ</v>
          </cell>
          <cell r="M2548">
            <v>31</v>
          </cell>
          <cell r="N2548" t="str">
            <v>RESOLUCION</v>
          </cell>
          <cell r="O2548">
            <v>2530</v>
          </cell>
          <cell r="P2548">
            <v>43277</v>
          </cell>
          <cell r="Q2548" t="str">
            <v>AYUDA TEMPORAL A LAS FAMILIAS DE VARIAS LOCALIDADES, PARA RELOCALIZACIÓN DE HOGARES LOCALIZADOS EN ZONAS DE ALTO RIESGO NO MITIGABLE ID:2013000015, LOCALIDAD:19 CIUDAD BOLÍVAR, UPZ:67 LUCERO, SECTOR:QUEBRADA CAÑO BAÚL</v>
          </cell>
          <cell r="R2548">
            <v>3448000</v>
          </cell>
          <cell r="S2548">
            <v>0</v>
          </cell>
          <cell r="T2548">
            <v>0</v>
          </cell>
          <cell r="U2548">
            <v>3448000</v>
          </cell>
          <cell r="V2548">
            <v>862000</v>
          </cell>
        </row>
        <row r="2549">
          <cell r="J2549">
            <v>2165</v>
          </cell>
          <cell r="K2549">
            <v>43277</v>
          </cell>
          <cell r="L2549" t="str">
            <v>JOSE ORLANDO GANZO MORALES</v>
          </cell>
          <cell r="M2549">
            <v>31</v>
          </cell>
          <cell r="N2549" t="str">
            <v>RESOLUCION</v>
          </cell>
          <cell r="O2549">
            <v>2565</v>
          </cell>
          <cell r="P2549">
            <v>43277</v>
          </cell>
          <cell r="Q2549" t="str">
            <v>AYUDA TEMPORAL A LAS FAMILIAS DE VARIAS LOCALIDADES, PARA LA RELOCALIZACIÓN DE HOGARES LOCALIZADOS EN ZONAS DE ALTO RIESGO NO MITIGABLE ID:2011-4-12724, LOCALIDAD:04 SAN CRISTÓBAL, UPZ:32 SAN BLAS</v>
          </cell>
          <cell r="R2549">
            <v>2582006</v>
          </cell>
          <cell r="S2549">
            <v>0</v>
          </cell>
          <cell r="T2549">
            <v>0</v>
          </cell>
          <cell r="U2549">
            <v>2582006</v>
          </cell>
          <cell r="V2549">
            <v>737716</v>
          </cell>
        </row>
        <row r="2550">
          <cell r="J2550">
            <v>2166</v>
          </cell>
          <cell r="K2550">
            <v>43277</v>
          </cell>
          <cell r="L2550" t="str">
            <v>HECTOR MAURICIO VELEZ SANCHEZ</v>
          </cell>
          <cell r="M2550">
            <v>31</v>
          </cell>
          <cell r="N2550" t="str">
            <v>RESOLUCION</v>
          </cell>
          <cell r="O2550">
            <v>2564</v>
          </cell>
          <cell r="P2550">
            <v>43277</v>
          </cell>
          <cell r="Q2550" t="str">
            <v>AYUDA TEMPORAL A LAS FAMILIAS DE VARIAS LOCALIDADES, PARA LA RELOCALIZACIÓN DE HOGARES LOCALIZADOS EN ZONAS DE ALTO RIESGO NO MITIGABLE ID:2011-5-13283, LOCALIDAD:05 USME, UPZ:56 DANUBIO</v>
          </cell>
          <cell r="R2550">
            <v>2924376</v>
          </cell>
          <cell r="S2550">
            <v>0</v>
          </cell>
          <cell r="T2550">
            <v>0</v>
          </cell>
          <cell r="U2550">
            <v>2924376</v>
          </cell>
          <cell r="V2550">
            <v>835536</v>
          </cell>
        </row>
        <row r="2551">
          <cell r="J2551">
            <v>2167</v>
          </cell>
          <cell r="K2551">
            <v>43277</v>
          </cell>
          <cell r="L2551" t="str">
            <v>TOMAS AUGUSTO QUIZA ALVAREZ</v>
          </cell>
          <cell r="M2551">
            <v>31</v>
          </cell>
          <cell r="N2551" t="str">
            <v>RESOLUCION</v>
          </cell>
          <cell r="O2551">
            <v>2529</v>
          </cell>
          <cell r="P2551">
            <v>43277</v>
          </cell>
          <cell r="Q2551" t="str">
            <v>AYUDA TEMPORAL A LAS FAMILIAS DE VARIAS LOCALIDADES, PARA LA RELOCALIZACIÓN DE HOGARES LOCALIZADOS EN ZONAS DE ALTO RIESGO NO MITIGABLE ID:2006-4-8838, LOCALIDAD:04 SAN CRISTÓBAL, UPZ:50 LA GLORIA.</v>
          </cell>
          <cell r="R2551">
            <v>4367288</v>
          </cell>
          <cell r="S2551">
            <v>3821377</v>
          </cell>
          <cell r="T2551">
            <v>0</v>
          </cell>
          <cell r="U2551">
            <v>545911</v>
          </cell>
          <cell r="V2551">
            <v>545911</v>
          </cell>
        </row>
        <row r="2552">
          <cell r="J2552">
            <v>2168</v>
          </cell>
          <cell r="K2552">
            <v>43277</v>
          </cell>
          <cell r="L2552" t="str">
            <v>ROSA ELENA TORRES MOLINA</v>
          </cell>
          <cell r="M2552">
            <v>31</v>
          </cell>
          <cell r="N2552" t="str">
            <v>RESOLUCION</v>
          </cell>
          <cell r="O2552">
            <v>2563</v>
          </cell>
          <cell r="P2552">
            <v>43277</v>
          </cell>
          <cell r="Q2552" t="str">
            <v>AYUDA TEMPORAL A LAS FAMILIAS DE VARIAS LOCALIDADES, PARA LA RELOCALIZACIÓN DE HOGARES LOCALIZADOS EN ZONAS DE ALTO RIESGO NO MITIGABLE ID:2011-4-12715, LOCALIDAD:04 SAN CRISTÓBAL, UPZ:32 SAN BLAS</v>
          </cell>
          <cell r="R2552">
            <v>2788569</v>
          </cell>
          <cell r="S2552">
            <v>0</v>
          </cell>
          <cell r="T2552">
            <v>0</v>
          </cell>
          <cell r="U2552">
            <v>2788569</v>
          </cell>
          <cell r="V2552">
            <v>796734</v>
          </cell>
        </row>
        <row r="2553">
          <cell r="J2553">
            <v>2169</v>
          </cell>
          <cell r="K2553">
            <v>43277</v>
          </cell>
          <cell r="L2553" t="str">
            <v>SANDRA MILENA OVALLE VELASQUEZ</v>
          </cell>
          <cell r="M2553">
            <v>31</v>
          </cell>
          <cell r="N2553" t="str">
            <v>RESOLUCION</v>
          </cell>
          <cell r="O2553">
            <v>2562</v>
          </cell>
          <cell r="P2553">
            <v>43277</v>
          </cell>
          <cell r="Q2553" t="str">
            <v>AYUDA TEMPORAL A LAS FAMILIAS DE VARIAS LOCALIDADES, PARA LA RELOCALIZACIÓN DE HOGARES LOCALIZADOS EN ZONAS DE ALTO RIESGO NO MITIGABLE ID:2006-19-8078, LOCALIDAD:19 CIUDAD BOLÍVAR, UPZ:67 LUCERO</v>
          </cell>
          <cell r="R2553">
            <v>3111969</v>
          </cell>
          <cell r="S2553">
            <v>2667402</v>
          </cell>
          <cell r="T2553">
            <v>0</v>
          </cell>
          <cell r="U2553">
            <v>444567</v>
          </cell>
          <cell r="V2553">
            <v>444567</v>
          </cell>
        </row>
        <row r="2554">
          <cell r="J2554">
            <v>2170</v>
          </cell>
          <cell r="K2554">
            <v>43277</v>
          </cell>
          <cell r="L2554" t="str">
            <v>LILIA INES DUARTE RUBIANO</v>
          </cell>
          <cell r="M2554">
            <v>31</v>
          </cell>
          <cell r="N2554" t="str">
            <v>RESOLUCION</v>
          </cell>
          <cell r="O2554">
            <v>2528</v>
          </cell>
          <cell r="P2554">
            <v>43277</v>
          </cell>
          <cell r="Q2554" t="str">
            <v>AYUDA TEMPORAL A LAS FAMILIAS DE VARIAS LOCALIDADES, PARA LA RELOCALIZACIÓN DE HOGARES LOCALIZADOS EN ZONAS DE ALTO RIESGO NO MITIGABLE ID:2010-5-11557, LOCALIDAD:05 USME, UPZ:57 GRAN YOMASA, SECTOR:OLA INVERNAL 2010 FOPAE</v>
          </cell>
          <cell r="R2554">
            <v>3749200</v>
          </cell>
          <cell r="S2554">
            <v>0</v>
          </cell>
          <cell r="T2554">
            <v>0</v>
          </cell>
          <cell r="U2554">
            <v>3749200</v>
          </cell>
          <cell r="V2554">
            <v>1071200</v>
          </cell>
        </row>
        <row r="2555">
          <cell r="J2555">
            <v>2171</v>
          </cell>
          <cell r="K2555">
            <v>43277</v>
          </cell>
          <cell r="L2555" t="str">
            <v>MARIA MARILI ZEA GUTIERREZ</v>
          </cell>
          <cell r="M2555">
            <v>31</v>
          </cell>
          <cell r="N2555" t="str">
            <v>RESOLUCION</v>
          </cell>
          <cell r="O2555">
            <v>2492</v>
          </cell>
          <cell r="P2555">
            <v>43277</v>
          </cell>
          <cell r="Q2555" t="str">
            <v>Asignacion del instrumento financiero a las familias ocupantes del predio que hayan superado la fase de verificacion dentro  del marco del Decreto 457 de 2017. LOCALIDAD: KENNEDY; BARRIO: VEREDITAS; ID: 2018-8-384316</v>
          </cell>
          <cell r="R2555">
            <v>54686940</v>
          </cell>
          <cell r="S2555">
            <v>0</v>
          </cell>
          <cell r="T2555">
            <v>0</v>
          </cell>
          <cell r="U2555">
            <v>54686940</v>
          </cell>
          <cell r="V2555">
            <v>54686940</v>
          </cell>
        </row>
        <row r="2556">
          <cell r="J2556">
            <v>2172</v>
          </cell>
          <cell r="K2556">
            <v>43277</v>
          </cell>
          <cell r="L2556" t="str">
            <v>SIXTA ROGELIA PINILLA DE RODRIGUEZ</v>
          </cell>
          <cell r="M2556">
            <v>31</v>
          </cell>
          <cell r="N2556" t="str">
            <v>RESOLUCION</v>
          </cell>
          <cell r="O2556">
            <v>2560</v>
          </cell>
          <cell r="P2556">
            <v>43277</v>
          </cell>
          <cell r="Q2556" t="str">
            <v>AYUDA TEMPORAL A LAS FAMILIAS DE VARIAS LOCALIDADES, PARA LA RELOCALIZACIÓN DE HOGARES LOCALIZADOS EN ZONAS DE ALTO RIESGO NO MITIGABLE ID:2006-19-8097, LOCALIDAD:19 CIUDAD BOLÍVAR, UPZ:67 LUCERO, SECTOR:LIMAS</v>
          </cell>
          <cell r="R2556">
            <v>3337495</v>
          </cell>
          <cell r="S2556">
            <v>0</v>
          </cell>
          <cell r="T2556">
            <v>0</v>
          </cell>
          <cell r="U2556">
            <v>3337495</v>
          </cell>
          <cell r="V2556">
            <v>953570</v>
          </cell>
        </row>
        <row r="2557">
          <cell r="J2557">
            <v>2173</v>
          </cell>
          <cell r="K2557">
            <v>43277</v>
          </cell>
          <cell r="L2557" t="str">
            <v>LUZ DARY MEZA MEDINA</v>
          </cell>
          <cell r="M2557">
            <v>31</v>
          </cell>
          <cell r="N2557" t="str">
            <v>RESOLUCION</v>
          </cell>
          <cell r="O2557">
            <v>2527</v>
          </cell>
          <cell r="P2557">
            <v>43277</v>
          </cell>
          <cell r="Q2557" t="str">
            <v>AYUDA TEMPORAL A LAS FAMILIAS DE VARIAS LOCALIDADES, PARA LA RELOCALIZACIÓN DE HOGARES LOCALIZADOS EN ZONAS DE ALTO RIESGO NO MITIGABLE ID:2011-4-12677, LOCALIDAD:04 SAN CRISTÓBAL, UPZ:32 SAN BLAS</v>
          </cell>
          <cell r="R2557">
            <v>3098410</v>
          </cell>
          <cell r="S2557">
            <v>0</v>
          </cell>
          <cell r="T2557">
            <v>0</v>
          </cell>
          <cell r="U2557">
            <v>3098410</v>
          </cell>
          <cell r="V2557">
            <v>885260</v>
          </cell>
        </row>
        <row r="2558">
          <cell r="J2558">
            <v>2174</v>
          </cell>
          <cell r="K2558">
            <v>43277</v>
          </cell>
          <cell r="L2558" t="str">
            <v>ALEXANDER JOAQUIN RODRIGUEZ LOPEZ</v>
          </cell>
          <cell r="M2558">
            <v>31</v>
          </cell>
          <cell r="N2558" t="str">
            <v>RESOLUCION</v>
          </cell>
          <cell r="O2558">
            <v>2559</v>
          </cell>
          <cell r="P2558">
            <v>43277</v>
          </cell>
          <cell r="Q2558" t="str">
            <v>AYUDA TEMPORAL A LAS FAMILIAS DE VARIAS LOCALIDADES, PARA LA RELOCALIZACIÓN DE HOGARES LOCALIZADOS EN ZONAS DE ALTO RIESGO NO MITIGABLE ID:2014-Q03-01109, LOCALIDAD:19 CIUDAD BOLÍVAR, UPZ:66 SAN FRANCISCO, SECTOR:LIMAS</v>
          </cell>
          <cell r="R2558">
            <v>3157315</v>
          </cell>
          <cell r="S2558">
            <v>0</v>
          </cell>
          <cell r="T2558">
            <v>0</v>
          </cell>
          <cell r="U2558">
            <v>3157315</v>
          </cell>
          <cell r="V2558">
            <v>902090</v>
          </cell>
        </row>
        <row r="2559">
          <cell r="J2559">
            <v>2175</v>
          </cell>
          <cell r="K2559">
            <v>43277</v>
          </cell>
          <cell r="L2559" t="str">
            <v>MIGUEL ANGEL BELTRAN CASTRO</v>
          </cell>
          <cell r="M2559">
            <v>31</v>
          </cell>
          <cell r="N2559" t="str">
            <v>RESOLUCION</v>
          </cell>
          <cell r="O2559">
            <v>2558</v>
          </cell>
          <cell r="P2559">
            <v>43277</v>
          </cell>
          <cell r="Q2559" t="str">
            <v>AYUDA TEMPORAL A LAS FAMILIAS DE VARIAS LOCALIDADES, PARA LA RELOCALIZACIÓN DE HOGARES LOCALIZADOS EN ZONAS DE ALTO RIESGO NO MITIGABLE ID:2014-OTR-01026, LOCALIDAD:19 CIUDAD BOLÍVAR, UPZ:67 LUCERO, SECTOR:TABOR ALTALOMA</v>
          </cell>
          <cell r="R2559">
            <v>3157315</v>
          </cell>
          <cell r="S2559">
            <v>0</v>
          </cell>
          <cell r="T2559">
            <v>0</v>
          </cell>
          <cell r="U2559">
            <v>3157315</v>
          </cell>
          <cell r="V2559">
            <v>902090</v>
          </cell>
        </row>
        <row r="2560">
          <cell r="J2560">
            <v>2176</v>
          </cell>
          <cell r="K2560">
            <v>43277</v>
          </cell>
          <cell r="L2560" t="str">
            <v>GUILLERMO  DIAZ PEREA</v>
          </cell>
          <cell r="M2560">
            <v>31</v>
          </cell>
          <cell r="N2560" t="str">
            <v>RESOLUCION</v>
          </cell>
          <cell r="O2560">
            <v>2526</v>
          </cell>
          <cell r="P2560">
            <v>43277</v>
          </cell>
          <cell r="Q2560" t="str">
            <v>AYUDA TEMPORAL A LAS FAMILIAS DE VARIAS LOCALIDADES, PARA LA RELOCALIZACIÓN DE HOGARES LOCALIZADOS EN ZONAS DE ALTO RIESGO NO MITIGABLE ID:2011-4-12693, LOCALIDAD:04 SAN CRISTÓBAL, UPZ:32 SAN BLAS</v>
          </cell>
          <cell r="R2560">
            <v>2886919</v>
          </cell>
          <cell r="S2560">
            <v>0</v>
          </cell>
          <cell r="T2560">
            <v>0</v>
          </cell>
          <cell r="U2560">
            <v>2886919</v>
          </cell>
          <cell r="V2560">
            <v>824834</v>
          </cell>
        </row>
        <row r="2561">
          <cell r="J2561">
            <v>2177</v>
          </cell>
          <cell r="K2561">
            <v>43277</v>
          </cell>
          <cell r="L2561" t="str">
            <v>OFELIA  MARTINEZ DE GUTIERREZ</v>
          </cell>
          <cell r="M2561">
            <v>31</v>
          </cell>
          <cell r="N2561" t="str">
            <v>RESOLUCION</v>
          </cell>
          <cell r="O2561">
            <v>2557</v>
          </cell>
          <cell r="P2561">
            <v>43277</v>
          </cell>
          <cell r="Q2561" t="str">
            <v>AYUDA TEMPORAL A LAS FAMILIAS DE VARIAS LOCALIDADES, PARA LA RELOCALIZACIÓN DE HOGARES LOCALIZADOS EN ZONAS DE ALTO RIESGO NO MITIGABLE ID:2014-LC-00810, LOCALIDAD:19 CIUDAD BOLÍVAR, UPZ:69 ISMAEL PERDOMO</v>
          </cell>
          <cell r="R2561">
            <v>2845920</v>
          </cell>
          <cell r="S2561">
            <v>0</v>
          </cell>
          <cell r="T2561">
            <v>0</v>
          </cell>
          <cell r="U2561">
            <v>2845920</v>
          </cell>
          <cell r="V2561">
            <v>813120</v>
          </cell>
        </row>
        <row r="2562">
          <cell r="J2562">
            <v>2178</v>
          </cell>
          <cell r="K2562">
            <v>43277</v>
          </cell>
          <cell r="L2562" t="str">
            <v>MARIA ELVIA CHIVATA IBAGUE</v>
          </cell>
          <cell r="M2562">
            <v>31</v>
          </cell>
          <cell r="N2562" t="str">
            <v>RESOLUCION</v>
          </cell>
          <cell r="O2562">
            <v>2556</v>
          </cell>
          <cell r="P2562">
            <v>43277</v>
          </cell>
          <cell r="Q2562" t="str">
            <v>AYUDA TEMPORAL A LAS FAMILIAS DE VARIAS LOCALIDADES, PARA LA RELOCALIZACIÓN DE HOGARES LOCALIZADOS EN ZONAS DE ALTO RIESGO NO MITIGABLE ID:2014-OTR-01048, LOCALIDAD:19 CIUDAD BOLÍVAR, UPZ:67 LUCERO, SECTOR:TABOR ALTALOMA</v>
          </cell>
          <cell r="R2562">
            <v>3157315</v>
          </cell>
          <cell r="S2562">
            <v>0</v>
          </cell>
          <cell r="T2562">
            <v>0</v>
          </cell>
          <cell r="U2562">
            <v>3157315</v>
          </cell>
          <cell r="V2562">
            <v>902090</v>
          </cell>
        </row>
        <row r="2563">
          <cell r="J2563">
            <v>2179</v>
          </cell>
          <cell r="K2563">
            <v>43277</v>
          </cell>
          <cell r="L2563" t="str">
            <v>GRECIA SUSANA SANCHEZ DAJOME</v>
          </cell>
          <cell r="M2563">
            <v>31</v>
          </cell>
          <cell r="N2563" t="str">
            <v>RESOLUCION</v>
          </cell>
          <cell r="O2563">
            <v>2525</v>
          </cell>
          <cell r="P2563">
            <v>43277</v>
          </cell>
          <cell r="Q2563" t="str">
            <v>AYUDA TEMPORAL A LAS FAMILIAS DE VARIAS LOCALIDADES, PARA LA RELOCALIZACIÓN DE HOGARES LOCALIZADOS EN ZONAS DE ALTO RIESGO NO MITIGABLE ID:2016-08-14818, LOCALIDAD:08 KENNEDY, UPZ:82 PATIO BONITO, SECTOR:PALMITAS</v>
          </cell>
          <cell r="R2563">
            <v>2744310</v>
          </cell>
          <cell r="S2563">
            <v>0</v>
          </cell>
          <cell r="T2563">
            <v>0</v>
          </cell>
          <cell r="U2563">
            <v>2744310</v>
          </cell>
          <cell r="V2563">
            <v>914770</v>
          </cell>
        </row>
        <row r="2564">
          <cell r="J2564">
            <v>2180</v>
          </cell>
          <cell r="K2564">
            <v>43277</v>
          </cell>
          <cell r="L2564" t="str">
            <v>JUAN CARLOS RODRIGUEZ RIOS</v>
          </cell>
          <cell r="M2564">
            <v>31</v>
          </cell>
          <cell r="N2564" t="str">
            <v>RESOLUCION</v>
          </cell>
          <cell r="O2564">
            <v>2555</v>
          </cell>
          <cell r="P2564">
            <v>43277</v>
          </cell>
          <cell r="Q2564" t="str">
            <v>AYUDA TEMPORAL A LAS FAMILIAS DE VARIAS LOCALIDADES, PARA LA RELOCALIZACIÓN DE HOGARES LOCALIZADOS EN ZONAS DE ALTO RIESGO NO MITIGABLE ID:2014-OTR-00858, LOCALIDAD:04 SAN CRISTÓBAL, UPZ:32 SAN BLAS</v>
          </cell>
          <cell r="R2564">
            <v>2723490</v>
          </cell>
          <cell r="S2564">
            <v>0</v>
          </cell>
          <cell r="T2564">
            <v>0</v>
          </cell>
          <cell r="U2564">
            <v>2723490</v>
          </cell>
          <cell r="V2564">
            <v>778140</v>
          </cell>
        </row>
        <row r="2565">
          <cell r="J2565">
            <v>2181</v>
          </cell>
          <cell r="K2565">
            <v>43277</v>
          </cell>
          <cell r="L2565" t="str">
            <v>MERCEDES  CHAPARRO</v>
          </cell>
          <cell r="M2565">
            <v>31</v>
          </cell>
          <cell r="N2565" t="str">
            <v>RESOLUCION</v>
          </cell>
          <cell r="O2565">
            <v>2554</v>
          </cell>
          <cell r="P2565">
            <v>43277</v>
          </cell>
          <cell r="Q2565" t="str">
            <v>AYUDA TEMPORAL A LAS FAMILIAS DE VARIAS LOCALIDADES, PARA LA RELOCALIZACIÓN DE HOGARES LOCALIZADOS EN ZONAS DE ALTO RIESGO NO MITIGABLE ID:2013-Q10-00520, LOCALIDAD:04 SAN CRISTÓBAL, UPZ:51 LOS LIBERTADORES, SECTOR:QUEBRADA VEREJONES</v>
          </cell>
          <cell r="R2565">
            <v>2685291</v>
          </cell>
          <cell r="S2565">
            <v>2685291</v>
          </cell>
          <cell r="T2565">
            <v>0</v>
          </cell>
          <cell r="U2565">
            <v>0</v>
          </cell>
          <cell r="V2565">
            <v>0</v>
          </cell>
        </row>
        <row r="2566">
          <cell r="J2566">
            <v>2182</v>
          </cell>
          <cell r="K2566">
            <v>43277</v>
          </cell>
          <cell r="L2566" t="str">
            <v>MARIA BELLANITH MAYOR PEDRAZA</v>
          </cell>
          <cell r="M2566">
            <v>31</v>
          </cell>
          <cell r="N2566" t="str">
            <v>RESOLUCION</v>
          </cell>
          <cell r="O2566">
            <v>2523</v>
          </cell>
          <cell r="P2566">
            <v>43246</v>
          </cell>
          <cell r="Q2566" t="str">
            <v>AYUDA TEMPORAL A LAS FAMILIAS DE VARIAS LOCALIDADES, PARA LA RELOCALIZACIÓN DE HOGARES LOCALIZADOS EN ZONAS DE ALTO RIESGO NO MITIGABLE ID:2011-4-12688, LOCALIDAD:04 SAN CRISTÓBAL, UPZ:32 SAN BLAS</v>
          </cell>
          <cell r="R2566">
            <v>3459890</v>
          </cell>
          <cell r="S2566">
            <v>0</v>
          </cell>
          <cell r="T2566">
            <v>0</v>
          </cell>
          <cell r="U2566">
            <v>3459890</v>
          </cell>
          <cell r="V2566">
            <v>988540</v>
          </cell>
        </row>
        <row r="2567">
          <cell r="J2567">
            <v>2183</v>
          </cell>
          <cell r="K2567">
            <v>43277</v>
          </cell>
          <cell r="L2567" t="str">
            <v>ANDRES  TURRIAGO FORERO</v>
          </cell>
          <cell r="M2567">
            <v>31</v>
          </cell>
          <cell r="N2567" t="str">
            <v>RESOLUCION</v>
          </cell>
          <cell r="O2567">
            <v>2524</v>
          </cell>
          <cell r="P2567">
            <v>43277</v>
          </cell>
          <cell r="Q2567" t="str">
            <v>AYUDA TEMPORAL A LAS FAMILIAS DE VARIAS LOCALIDADES, PARA LA RELOCALIZACIÓN DE HOGARES LOCALIZADOS EN ZONAS DE ALTO RIESGO NO MITIGABLE ID:2012-T314-07, LOCALIDAD:04 SAN CRISTÓBAL, UPZ:50 LA GLORIA</v>
          </cell>
          <cell r="R2567">
            <v>2841279</v>
          </cell>
          <cell r="S2567">
            <v>0</v>
          </cell>
          <cell r="T2567">
            <v>0</v>
          </cell>
          <cell r="U2567">
            <v>2841279</v>
          </cell>
          <cell r="V2567">
            <v>811794</v>
          </cell>
        </row>
        <row r="2568">
          <cell r="J2568">
            <v>2184</v>
          </cell>
          <cell r="K2568">
            <v>43277</v>
          </cell>
          <cell r="L2568" t="str">
            <v>YOLANDA  VELASQUEZ SIERRA</v>
          </cell>
          <cell r="M2568">
            <v>31</v>
          </cell>
          <cell r="N2568" t="str">
            <v>RESOLUCION</v>
          </cell>
          <cell r="O2568">
            <v>2553</v>
          </cell>
          <cell r="P2568">
            <v>43277</v>
          </cell>
          <cell r="Q2568" t="str">
            <v>AYUDA TEMPORAL A LAS FAMILIAS DE VARIAS LOCALIDADES, PARA LA RELOCALIZACIÓN DE HOGARES LOCALIZADOS EN ZONAS DE ALTO RIESGO NO MITIGABLE ID:2013-Q21-00478, LOCALIDAD:19 CIUDAD BOLÍVAR, UPZ:67 LUCERO, SECTOR:BRAZO DERECHO DE LIMAS</v>
          </cell>
          <cell r="R2568">
            <v>2582006</v>
          </cell>
          <cell r="S2568">
            <v>0</v>
          </cell>
          <cell r="T2568">
            <v>0</v>
          </cell>
          <cell r="U2568">
            <v>2582006</v>
          </cell>
          <cell r="V2568">
            <v>737716</v>
          </cell>
        </row>
        <row r="2569">
          <cell r="J2569">
            <v>2185</v>
          </cell>
          <cell r="K2569">
            <v>43277</v>
          </cell>
          <cell r="L2569" t="str">
            <v>ORLANDO  AGUIRRE GARCIA</v>
          </cell>
          <cell r="M2569">
            <v>31</v>
          </cell>
          <cell r="N2569" t="str">
            <v>RESOLUCION</v>
          </cell>
          <cell r="O2569">
            <v>2522</v>
          </cell>
          <cell r="P2569">
            <v>43277</v>
          </cell>
          <cell r="Q2569" t="str">
            <v>AYUDA TEMPORAL A LAS FAMILIAS DE VARIAS LOCALIDADES, PARA LA RELOCALIZACIÓN DE HOGARES LOCALIZADOS EN ZONAS DE ALTO RIESGO NO MITIGABLE ID:2012-T314-20, LOCALIDAD:04 SAN CRISTÓBAL, UPZ:50 LA GLORIA</v>
          </cell>
          <cell r="R2569">
            <v>2943493</v>
          </cell>
          <cell r="S2569">
            <v>0</v>
          </cell>
          <cell r="T2569">
            <v>0</v>
          </cell>
          <cell r="U2569">
            <v>2943493</v>
          </cell>
          <cell r="V2569">
            <v>840998</v>
          </cell>
        </row>
        <row r="2570">
          <cell r="J2570">
            <v>2186</v>
          </cell>
          <cell r="K2570">
            <v>43277</v>
          </cell>
          <cell r="L2570" t="str">
            <v>MARLENY  GARCIA VILLEGAS</v>
          </cell>
          <cell r="M2570">
            <v>31</v>
          </cell>
          <cell r="N2570" t="str">
            <v>RESOLUCION</v>
          </cell>
          <cell r="O2570">
            <v>2552</v>
          </cell>
          <cell r="P2570">
            <v>43277</v>
          </cell>
          <cell r="Q2570" t="str">
            <v>AYUDA TEMPORAL A LAS FAMILIAS DE VARIAS LOCALIDADES, PARA LA RELOCALIZACIÓN DE HOGARES LOCALIZADOS EN ZONAS DE ALTO RIESGO NO MITIGABLE ID:2012-ALES-396, LOCALIDAD:19 CIUDAD BOLÍVAR, UPZ:69 ISMAEL PERDOMO, SECTOR:ALTOS DE LA ESTANCIA</v>
          </cell>
          <cell r="R2570">
            <v>3157000</v>
          </cell>
          <cell r="S2570">
            <v>0</v>
          </cell>
          <cell r="T2570">
            <v>0</v>
          </cell>
          <cell r="U2570">
            <v>3157000</v>
          </cell>
          <cell r="V2570">
            <v>902000</v>
          </cell>
        </row>
        <row r="2571">
          <cell r="J2571">
            <v>2187</v>
          </cell>
          <cell r="K2571">
            <v>43277</v>
          </cell>
          <cell r="L2571" t="str">
            <v>MARIA ANGELICA QUIÑONEZ MOLANO</v>
          </cell>
          <cell r="M2571">
            <v>31</v>
          </cell>
          <cell r="N2571" t="str">
            <v>RESOLUCION</v>
          </cell>
          <cell r="O2571">
            <v>2521</v>
          </cell>
          <cell r="P2571">
            <v>43277</v>
          </cell>
          <cell r="Q2571" t="str">
            <v>AYUDA TEMPORAL A LAS FAMILIAS DE VARIAS LOCALIDADES, PARA RELOCALIZACIÓN DE HOGARES LOCALIZADOS EN ZONAS DE ALTO RIESGO NO MITIGABLE ID:2013000294, LOCALIDAD:19 CIUDAD BOLÍVAR, UPZ:67 LUCERO, SECTOR:QUEBRADA TROMPETA</v>
          </cell>
          <cell r="R2571">
            <v>3157315</v>
          </cell>
          <cell r="S2571">
            <v>0</v>
          </cell>
          <cell r="T2571">
            <v>0</v>
          </cell>
          <cell r="U2571">
            <v>3157315</v>
          </cell>
          <cell r="V2571">
            <v>902090</v>
          </cell>
        </row>
        <row r="2572">
          <cell r="J2572">
            <v>2188</v>
          </cell>
          <cell r="K2572">
            <v>43277</v>
          </cell>
          <cell r="L2572" t="str">
            <v>AGRIPINA IMELDA ROBLES VIUDA DE TINJACA</v>
          </cell>
          <cell r="M2572">
            <v>31</v>
          </cell>
          <cell r="N2572" t="str">
            <v>RESOLUCION</v>
          </cell>
          <cell r="O2572">
            <v>2551</v>
          </cell>
          <cell r="P2572">
            <v>43277</v>
          </cell>
          <cell r="Q2572" t="str">
            <v>AYUDA TEMPORAL A LAS FAMILIAS DE VARIAS LOCALIDADES, PARA LA RELOCALIZACIÓN DE HOGARES LOCALIZADOS EN ZONAS DE ALTO RIESGO NO MITIGABLE ID:2013-Q04-00283, LOCALIDAD:19 CIUDAD BOLÍVAR, UPZ:67 LUCERO, SECTOR:PEÑA COLORADA</v>
          </cell>
          <cell r="R2572">
            <v>3017000</v>
          </cell>
          <cell r="S2572">
            <v>0</v>
          </cell>
          <cell r="T2572">
            <v>0</v>
          </cell>
          <cell r="U2572">
            <v>3017000</v>
          </cell>
          <cell r="V2572">
            <v>862000</v>
          </cell>
        </row>
        <row r="2573">
          <cell r="J2573">
            <v>2189</v>
          </cell>
          <cell r="K2573">
            <v>43277</v>
          </cell>
          <cell r="L2573" t="str">
            <v>MARIA ELENA NIEVES MARTINEZ TOVAR</v>
          </cell>
          <cell r="M2573">
            <v>31</v>
          </cell>
          <cell r="N2573" t="str">
            <v>RESOLUCION</v>
          </cell>
          <cell r="O2573">
            <v>2550</v>
          </cell>
          <cell r="P2573">
            <v>43277</v>
          </cell>
          <cell r="Q2573" t="str">
            <v>AYUDA TEMPORAL A LAS FAMILIAS DE VARIAS LOCALIDADES, PARA LA RELOCALIZACIÓN DE HOGARES LOCALIZADOS EN ZONAS DE ALTO RIESGO NO MITIGABLE ID:2010-19-11687, LOCALIDAD:19 CIUDAD BOLÍVAR, UPZ:69 ISMAEL PERDOMO, SECTOR:OLA INVERNAL 2010 FOPAE</v>
          </cell>
          <cell r="R2573">
            <v>2751665</v>
          </cell>
          <cell r="S2573">
            <v>0</v>
          </cell>
          <cell r="T2573">
            <v>0</v>
          </cell>
          <cell r="U2573">
            <v>2751665</v>
          </cell>
          <cell r="V2573">
            <v>786190</v>
          </cell>
        </row>
        <row r="2574">
          <cell r="J2574">
            <v>2190</v>
          </cell>
          <cell r="K2574">
            <v>43277</v>
          </cell>
          <cell r="L2574" t="str">
            <v>ARQUIMEDES  VEGA ANZOLA</v>
          </cell>
          <cell r="M2574">
            <v>31</v>
          </cell>
          <cell r="N2574" t="str">
            <v>RESOLUCION</v>
          </cell>
          <cell r="O2574">
            <v>2520</v>
          </cell>
          <cell r="P2574">
            <v>43277</v>
          </cell>
          <cell r="Q2574" t="str">
            <v>AYUDA TEMPORAL A LAS FAMILIAS DE VARIAS LOCALIDADES, PARA LA RELOCALIZACIÓN DE HOGARES LOCALIZADOS EN ZONAS DE ALTO RIESGO NO MITIGABLE ID:2015-D227-00001, LOCALIDAD:04 SAN CRISTÓBAL, UPZ:51 LOS LIBERTADORES, SECTOR:SANTA TERESITA</v>
          </cell>
          <cell r="R2574">
            <v>2886653</v>
          </cell>
          <cell r="S2574">
            <v>0</v>
          </cell>
          <cell r="T2574">
            <v>0</v>
          </cell>
          <cell r="U2574">
            <v>2886653</v>
          </cell>
          <cell r="V2574">
            <v>824758</v>
          </cell>
        </row>
        <row r="2575">
          <cell r="J2575">
            <v>2191</v>
          </cell>
          <cell r="K2575">
            <v>43277</v>
          </cell>
          <cell r="L2575" t="str">
            <v>LINA MARIA RIAZA CANO</v>
          </cell>
          <cell r="M2575">
            <v>31</v>
          </cell>
          <cell r="N2575" t="str">
            <v>RESOLUCION</v>
          </cell>
          <cell r="O2575">
            <v>2549</v>
          </cell>
          <cell r="P2575">
            <v>43277</v>
          </cell>
          <cell r="Q2575" t="str">
            <v>AYUDA TEMPORAL A LAS FAMILIAS DE VARIAS LOCALIDADES, PARA LA RELOCALIZACIÓN DE HOGARES LOCALIZADOS EN ZONAS DE ALTO RIESGO NO MITIGABLE ID:2011-18-12426, LOCALIDAD:18 RAFAEL URIBE URIBE, UPZ:55 DIANA TURBAY, SECTOR:OLA INVERNAL 2010 FOPAE</v>
          </cell>
          <cell r="R2575">
            <v>3374280</v>
          </cell>
          <cell r="S2575">
            <v>0</v>
          </cell>
          <cell r="T2575">
            <v>0</v>
          </cell>
          <cell r="U2575">
            <v>3374280</v>
          </cell>
          <cell r="V2575">
            <v>964080</v>
          </cell>
        </row>
        <row r="2576">
          <cell r="J2576">
            <v>2192</v>
          </cell>
          <cell r="K2576">
            <v>43277</v>
          </cell>
          <cell r="L2576" t="str">
            <v>LADY ALEJANDRA BULLA MARTINEZ</v>
          </cell>
          <cell r="M2576">
            <v>31</v>
          </cell>
          <cell r="N2576" t="str">
            <v>RESOLUCION</v>
          </cell>
          <cell r="O2576">
            <v>2519</v>
          </cell>
          <cell r="P2576">
            <v>43277</v>
          </cell>
          <cell r="Q2576" t="str">
            <v>AYUDA TEMPORAL A LAS FAMILIAS DE VARIAS LOCALIDADES, PARA LA RELOCALIZACIÓN DE HOGARES LOCALIZADOS EN ZONAS DE ALTO RIESGO NO MITIGABLE ID:2014-OTR-00985, LOCALIDAD:03 SANTA FE, UPZ:96 LOURDES, SECTOR:CASA 1</v>
          </cell>
          <cell r="R2576">
            <v>3098410</v>
          </cell>
          <cell r="S2576">
            <v>0</v>
          </cell>
          <cell r="T2576">
            <v>0</v>
          </cell>
          <cell r="U2576">
            <v>3098410</v>
          </cell>
          <cell r="V2576">
            <v>885260</v>
          </cell>
        </row>
        <row r="2577">
          <cell r="J2577">
            <v>2193</v>
          </cell>
          <cell r="K2577">
            <v>43277</v>
          </cell>
          <cell r="L2577" t="str">
            <v>ROSA AIDE OSORIO SOTO</v>
          </cell>
          <cell r="M2577">
            <v>31</v>
          </cell>
          <cell r="N2577" t="str">
            <v>RESOLUCION</v>
          </cell>
          <cell r="O2577">
            <v>2548</v>
          </cell>
          <cell r="P2577">
            <v>43277</v>
          </cell>
          <cell r="Q2577" t="str">
            <v>AYUDA TEMPORAL A LAS FAMILIAS DE VARIAS LOCALIDADES, PARA LA RELOCALIZACIÓN DE HOGARES LOCALIZADOS EN ZONAS DE ALTO RIESGO NO MITIGABLE ID:2011-4-12638, LOCALIDAD:04 SAN CRISTÓBAL, UPZ:32 SAN BLAS</v>
          </cell>
          <cell r="R2577">
            <v>2582006</v>
          </cell>
          <cell r="S2577">
            <v>0</v>
          </cell>
          <cell r="T2577">
            <v>0</v>
          </cell>
          <cell r="U2577">
            <v>2582006</v>
          </cell>
          <cell r="V2577">
            <v>737716</v>
          </cell>
        </row>
        <row r="2578">
          <cell r="J2578">
            <v>2194</v>
          </cell>
          <cell r="K2578">
            <v>43277</v>
          </cell>
          <cell r="L2578" t="str">
            <v>ELISABETH  MENESES RODRIGUEZ</v>
          </cell>
          <cell r="M2578">
            <v>31</v>
          </cell>
          <cell r="N2578" t="str">
            <v>RESOLUCION</v>
          </cell>
          <cell r="O2578">
            <v>2505</v>
          </cell>
          <cell r="P2578">
            <v>43277</v>
          </cell>
          <cell r="Q2578" t="str">
            <v>AYUDA TEMPORAL A LAS FAMILIAS DE VARIAS LOCALIDADES, PARA LA RELOCALIZACIÓN DE HOGARES LOCALIZADOS EN ZONAS DE ALTO RIESGO NO MITIGABLE ID:2011-4-12690, LOCALIDAD:04 SAN CRISTÓBAL, UPZ:32 SAN BLAS</v>
          </cell>
          <cell r="R2578">
            <v>3022327</v>
          </cell>
          <cell r="S2578">
            <v>0</v>
          </cell>
          <cell r="T2578">
            <v>0</v>
          </cell>
          <cell r="U2578">
            <v>3022327</v>
          </cell>
          <cell r="V2578">
            <v>863522</v>
          </cell>
        </row>
        <row r="2579">
          <cell r="J2579">
            <v>2195</v>
          </cell>
          <cell r="K2579">
            <v>43277</v>
          </cell>
          <cell r="L2579" t="str">
            <v>CLAUDIA MARCELA RUBIO MANCIPE</v>
          </cell>
          <cell r="M2579">
            <v>31</v>
          </cell>
          <cell r="N2579" t="str">
            <v>RESOLUCION</v>
          </cell>
          <cell r="O2579">
            <v>2518</v>
          </cell>
          <cell r="P2579">
            <v>43277</v>
          </cell>
          <cell r="Q2579" t="str">
            <v>AYUDA TEMPORAL A LAS FAMILIAS DE VARIAS LOCALIDADES, PARA LA RELOCALIZACIÓN DE HOGARES LOCALIZADOS EN ZONAS DE ALTO RIESGO NO MITIGABLE ID:2015-19-14753, LOCALIDAD:19 CIUDAD BOLÍVAR, UPZ:67 LUCERO</v>
          </cell>
          <cell r="R2579">
            <v>3318945</v>
          </cell>
          <cell r="S2579">
            <v>0</v>
          </cell>
          <cell r="T2579">
            <v>0</v>
          </cell>
          <cell r="U2579">
            <v>3318945</v>
          </cell>
          <cell r="V2579">
            <v>948270</v>
          </cell>
        </row>
        <row r="2580">
          <cell r="J2580">
            <v>2196</v>
          </cell>
          <cell r="K2580">
            <v>43277</v>
          </cell>
          <cell r="L2580" t="str">
            <v>MARLENY  MARTINEZ MARTINEZ</v>
          </cell>
          <cell r="M2580">
            <v>31</v>
          </cell>
          <cell r="N2580" t="str">
            <v>RESOLUCION</v>
          </cell>
          <cell r="O2580">
            <v>2547</v>
          </cell>
          <cell r="P2580">
            <v>43277</v>
          </cell>
          <cell r="Q2580" t="str">
            <v>AYUDA TEMPORAL A LAS FAMILIAS DE VARIAS LOCALIDADES, PARA LA RELOCALIZACIÓN DE HOGARES LOCALIZADOS EN ZONAS DE ALTO RIESGO NO MITIGABLE ID:2011-19-12731, LOCALIDAD:19 CIUDAD BOLÍVAR, UPZ:67 LUCERO, SECTOR:OLA INVERNAL 2010 FOPAE</v>
          </cell>
          <cell r="R2580">
            <v>2685291</v>
          </cell>
          <cell r="S2580">
            <v>0</v>
          </cell>
          <cell r="T2580">
            <v>0</v>
          </cell>
          <cell r="U2580">
            <v>2685291</v>
          </cell>
          <cell r="V2580">
            <v>767226</v>
          </cell>
        </row>
        <row r="2581">
          <cell r="J2581">
            <v>2197</v>
          </cell>
          <cell r="K2581">
            <v>43277</v>
          </cell>
          <cell r="L2581" t="str">
            <v>RUBIELA  SANCHEZ</v>
          </cell>
          <cell r="M2581">
            <v>31</v>
          </cell>
          <cell r="N2581" t="str">
            <v>RESOLUCION</v>
          </cell>
          <cell r="O2581">
            <v>2504</v>
          </cell>
          <cell r="P2581">
            <v>43277</v>
          </cell>
          <cell r="Q2581" t="str">
            <v>AYUDA TEMPORAL A LAS FAMILIAS DE VARIAS LOCALIDADES, PARA LA RELOCALIZACIÓN DE HOGARES LOCALIZADOS EN ZONAS DE ALTO RIESGO NO MITIGABLE ID:2011-4-12706, LOCALIDAD:04 SAN CRISTÓBAL, UPZ:32 SAN BLAS</v>
          </cell>
          <cell r="R2581">
            <v>3022327</v>
          </cell>
          <cell r="S2581">
            <v>0</v>
          </cell>
          <cell r="T2581">
            <v>0</v>
          </cell>
          <cell r="U2581">
            <v>3022327</v>
          </cell>
          <cell r="V2581">
            <v>863522</v>
          </cell>
        </row>
        <row r="2582">
          <cell r="J2582">
            <v>2198</v>
          </cell>
          <cell r="K2582">
            <v>43277</v>
          </cell>
          <cell r="L2582" t="str">
            <v>LUZ MARINA ADAN</v>
          </cell>
          <cell r="M2582">
            <v>31</v>
          </cell>
          <cell r="N2582" t="str">
            <v>RESOLUCION</v>
          </cell>
          <cell r="O2582">
            <v>2517</v>
          </cell>
          <cell r="P2582">
            <v>43277</v>
          </cell>
          <cell r="Q2582" t="str">
            <v>AYUDA TEMPORAL A LAS FAMILIAS DE VARIAS LOCALIDADES, PARA LA RELOCALIZACIÓN DE HOGARES LOCALIZADOS EN ZONAS DE ALTO RIESGO NO MITIGABLE ID:2014-OTR-00869, LOCALIDAD:03 SANTA FE, UPZ:96 LOURDES, SECTOR:CASA 1</v>
          </cell>
          <cell r="R2582">
            <v>2975525</v>
          </cell>
          <cell r="S2582">
            <v>0</v>
          </cell>
          <cell r="T2582">
            <v>0</v>
          </cell>
          <cell r="U2582">
            <v>2975525</v>
          </cell>
          <cell r="V2582">
            <v>850150</v>
          </cell>
        </row>
        <row r="2583">
          <cell r="J2583">
            <v>2199</v>
          </cell>
          <cell r="K2583">
            <v>43277</v>
          </cell>
          <cell r="L2583" t="str">
            <v>ESTHER JULIA SALAZAR RAMOS</v>
          </cell>
          <cell r="M2583">
            <v>31</v>
          </cell>
          <cell r="N2583" t="str">
            <v>RESOLUCION</v>
          </cell>
          <cell r="O2583">
            <v>2546</v>
          </cell>
          <cell r="P2583">
            <v>43277</v>
          </cell>
          <cell r="Q2583" t="str">
            <v>AYUDA TEMPORAL A LAS FAMILIAS DE VARIAS LOCALIDADES, PARA LA RELOCALIZACIÓN DE HOGARES LOCALIZADOS EN ZONAS DE ALTO RIESGO NO MITIGABLE ID:2011-19-12418, LOCALIDAD:19 CIUDAD BOLÍVAR, UPZ:68 EL TESORO</v>
          </cell>
          <cell r="R2583">
            <v>2919000</v>
          </cell>
          <cell r="S2583">
            <v>0</v>
          </cell>
          <cell r="T2583">
            <v>0</v>
          </cell>
          <cell r="U2583">
            <v>2919000</v>
          </cell>
          <cell r="V2583">
            <v>834000</v>
          </cell>
        </row>
        <row r="2584">
          <cell r="J2584">
            <v>2200</v>
          </cell>
          <cell r="K2584">
            <v>43277</v>
          </cell>
          <cell r="L2584" t="str">
            <v>MIGUEL  PARRA BERNAL</v>
          </cell>
          <cell r="M2584">
            <v>31</v>
          </cell>
          <cell r="N2584" t="str">
            <v>RESOLUCION</v>
          </cell>
          <cell r="O2584">
            <v>2503</v>
          </cell>
          <cell r="P2584">
            <v>43277</v>
          </cell>
          <cell r="Q2584" t="str">
            <v>AYUDA TEMPORAL A LAS FAMILIAS DE VARIAS LOCALIDADES, PARA LA RELOCALIZACIÓN DE HOGARES LOCALIZADOS EN ZONAS DE ALTO RIESGO NO MITIGABLE ID:2014-Q03-01229, LOCALIDAD:19 CIUDAD BOLÍVAR, UPZ:66 SAN FRANCISCO, SECTOR:LIMAS</v>
          </cell>
          <cell r="R2584">
            <v>3563175</v>
          </cell>
          <cell r="S2584">
            <v>0</v>
          </cell>
          <cell r="T2584">
            <v>0</v>
          </cell>
          <cell r="U2584">
            <v>3563175</v>
          </cell>
          <cell r="V2584">
            <v>1018050</v>
          </cell>
        </row>
        <row r="2585">
          <cell r="J2585">
            <v>2201</v>
          </cell>
          <cell r="K2585">
            <v>43277</v>
          </cell>
          <cell r="L2585" t="str">
            <v>BLANCA LUCILA BELTRAN</v>
          </cell>
          <cell r="M2585">
            <v>31</v>
          </cell>
          <cell r="N2585" t="str">
            <v>RESOLUCION</v>
          </cell>
          <cell r="O2585">
            <v>2502</v>
          </cell>
          <cell r="P2585">
            <v>43277</v>
          </cell>
          <cell r="Q2585" t="str">
            <v>AYUDA TEMPORAL A LAS FAMILIAS DE VARIAS LOCALIDADES, PARA LA RELOCALIZACIÓN DE HOGARES LOCALIZADOS EN ZONAS DE ALTO RIESGO NO MITIGABLE ID:2011-4-12656, LOCALIDAD:04 SAN CRISTÓBAL, UPZ:32 SAN BLAS</v>
          </cell>
          <cell r="R2585">
            <v>3098410</v>
          </cell>
          <cell r="S2585">
            <v>0</v>
          </cell>
          <cell r="T2585">
            <v>0</v>
          </cell>
          <cell r="U2585">
            <v>3098410</v>
          </cell>
          <cell r="V2585">
            <v>885260</v>
          </cell>
        </row>
        <row r="2586">
          <cell r="J2586">
            <v>2202</v>
          </cell>
          <cell r="K2586">
            <v>43277</v>
          </cell>
          <cell r="L2586" t="str">
            <v>ALBERTO  CARDONA</v>
          </cell>
          <cell r="M2586">
            <v>31</v>
          </cell>
          <cell r="N2586" t="str">
            <v>RESOLUCION</v>
          </cell>
          <cell r="O2586">
            <v>2545</v>
          </cell>
          <cell r="P2586">
            <v>43277</v>
          </cell>
          <cell r="Q2586" t="str">
            <v>AYUDA TEMPORAL A LAS FAMILIAS DE VARIAS LOCALIDADES, PARA LA RELOCALIZACIÓN DE HOGARES LOCALIZADOS EN ZONAS DE ALTO RIESGO NO MITIGABLE ID:2007-4-9373, LOCALIDAD:04 SAN CRISTÓBAL, UPZ:32 SAN BLAS</v>
          </cell>
          <cell r="R2586">
            <v>2582006</v>
          </cell>
          <cell r="S2586">
            <v>0</v>
          </cell>
          <cell r="T2586">
            <v>0</v>
          </cell>
          <cell r="U2586">
            <v>2582006</v>
          </cell>
          <cell r="V2586">
            <v>737716</v>
          </cell>
        </row>
        <row r="2587">
          <cell r="J2587">
            <v>2203</v>
          </cell>
          <cell r="K2587">
            <v>43277</v>
          </cell>
          <cell r="L2587" t="str">
            <v>JESUS MARCIAL MAYAG IPUJAN</v>
          </cell>
          <cell r="M2587">
            <v>31</v>
          </cell>
          <cell r="N2587" t="str">
            <v>RESOLUCION</v>
          </cell>
          <cell r="O2587">
            <v>2501</v>
          </cell>
          <cell r="P2587">
            <v>43277</v>
          </cell>
          <cell r="Q2587" t="str">
            <v>AYUDA TEMPORAL A LAS FAMILIAS DE VARIAS LOCALIDADES, PARA LA RELOCALIZACIÓN DE HOGARES LOCALIZADOS EN ZONAS DE ALTO RIESGO NO MITIGABLE ID:2011-4-12637, LOCALIDAD:04 SAN CRISTÓBAL, UPZ:32 SAN BLAS</v>
          </cell>
          <cell r="R2587">
            <v>3111969</v>
          </cell>
          <cell r="S2587">
            <v>0</v>
          </cell>
          <cell r="T2587">
            <v>0</v>
          </cell>
          <cell r="U2587">
            <v>3111969</v>
          </cell>
          <cell r="V2587">
            <v>889134</v>
          </cell>
        </row>
        <row r="2588">
          <cell r="J2588">
            <v>2204</v>
          </cell>
          <cell r="K2588">
            <v>43277</v>
          </cell>
          <cell r="L2588" t="str">
            <v>LUIS HERNANDO VENTURA VIRGUEZ</v>
          </cell>
          <cell r="M2588">
            <v>31</v>
          </cell>
          <cell r="N2588" t="str">
            <v>RESOLUCION</v>
          </cell>
          <cell r="O2588">
            <v>2516</v>
          </cell>
          <cell r="P2588">
            <v>43277</v>
          </cell>
          <cell r="Q2588" t="str">
            <v>AYUDA TEMPORAL A LAS FAMILIAS DE VARIAS LOCALIDADES, PARA LA RELOCALIZACIÓN DE HOGARES LOCALIZADOS EN ZONAS DE ALTO RIESGO NO MITIGABLE ID:2015-ALES-533, LOCALIDAD:19 CIUDAD BOLÍVAR, UPZ:69 ISMAEL PERDOMO, SECTOR:ALTOS DE LA ESTANCIA</v>
          </cell>
          <cell r="R2588">
            <v>3157315</v>
          </cell>
          <cell r="S2588">
            <v>0</v>
          </cell>
          <cell r="T2588">
            <v>0</v>
          </cell>
          <cell r="U2588">
            <v>3157315</v>
          </cell>
          <cell r="V2588">
            <v>902090</v>
          </cell>
        </row>
        <row r="2589">
          <cell r="J2589">
            <v>2205</v>
          </cell>
          <cell r="K2589">
            <v>43277</v>
          </cell>
          <cell r="L2589" t="str">
            <v>MAURICIO  CAMARGO RODRIGUEZ</v>
          </cell>
          <cell r="M2589">
            <v>31</v>
          </cell>
          <cell r="N2589" t="str">
            <v>RESOLUCION</v>
          </cell>
          <cell r="O2589">
            <v>2500</v>
          </cell>
          <cell r="P2589">
            <v>43277</v>
          </cell>
          <cell r="Q2589" t="str">
            <v>AYUDA TEMPORAL A LAS FAMILIAS DE VARIAS LOCALIDADES, PARA LA RELOCALIZACIÓN DE HOGARES LOCALIZADOS EN ZONAS DE ALTO RIESGO NO MITIGABLE ID:2014-OTR-01166, LOCALIDAD:11 SUBA, UPZ:71 TIBABUYES, SECTOR:GAVILANES</v>
          </cell>
          <cell r="R2589">
            <v>3017000</v>
          </cell>
          <cell r="S2589">
            <v>0</v>
          </cell>
          <cell r="T2589">
            <v>0</v>
          </cell>
          <cell r="U2589">
            <v>3017000</v>
          </cell>
          <cell r="V2589">
            <v>862000</v>
          </cell>
        </row>
        <row r="2590">
          <cell r="J2590">
            <v>2206</v>
          </cell>
          <cell r="K2590">
            <v>43277</v>
          </cell>
          <cell r="L2590" t="str">
            <v>MARIA NIBIA HERNANDEZ MUNEVAR</v>
          </cell>
          <cell r="M2590">
            <v>31</v>
          </cell>
          <cell r="N2590" t="str">
            <v>RESOLUCION</v>
          </cell>
          <cell r="O2590">
            <v>2544</v>
          </cell>
          <cell r="P2590">
            <v>43277</v>
          </cell>
          <cell r="Q2590" t="str">
            <v>AYUDA TEMPORAL A LAS FAMILIAS DE VARIAS LOCALIDADES, PARA LA RELOCALIZACIÓN DE HOGARES LOCALIZADOS EN ZONAS DE ALTO RIESGO NO MITIGABLE ID:2011-4-12642, LOCALIDAD:04 SAN CRISTÓBAL, UPZ:32 SAN BLAS</v>
          </cell>
          <cell r="R2590">
            <v>2582006</v>
          </cell>
          <cell r="S2590">
            <v>0</v>
          </cell>
          <cell r="T2590">
            <v>0</v>
          </cell>
          <cell r="U2590">
            <v>2582006</v>
          </cell>
          <cell r="V2590">
            <v>737716</v>
          </cell>
        </row>
        <row r="2591">
          <cell r="J2591">
            <v>2207</v>
          </cell>
          <cell r="K2591">
            <v>43277</v>
          </cell>
          <cell r="L2591" t="str">
            <v>NELSON RODRIGUEZ MONTOYA</v>
          </cell>
          <cell r="M2591">
            <v>31</v>
          </cell>
          <cell r="N2591" t="str">
            <v>RESOLUCION</v>
          </cell>
          <cell r="O2591">
            <v>2515</v>
          </cell>
          <cell r="P2591">
            <v>43277</v>
          </cell>
          <cell r="Q2591" t="str">
            <v>AYUDA TEMPORAL A LAS FAMILIAS DE VARIAS LOCALIDADES, PARA LA RELOCALIZACIÓN DE HOGARES LOCALIZADOS EN ZONAS DE ALTO RIESGO NO MITIGABLE ID:2014-Q09-01189, LOCALIDAD:19 CIUDAD BOLÍVAR, UPZ:67 LUCERO, SECTOR:QUEBRADA TROMPETA</v>
          </cell>
          <cell r="R2591">
            <v>3788778</v>
          </cell>
          <cell r="S2591">
            <v>0</v>
          </cell>
          <cell r="T2591">
            <v>0</v>
          </cell>
          <cell r="U2591">
            <v>3788778</v>
          </cell>
          <cell r="V2591">
            <v>1082508</v>
          </cell>
        </row>
        <row r="2592">
          <cell r="J2592">
            <v>2208</v>
          </cell>
          <cell r="K2592">
            <v>43277</v>
          </cell>
          <cell r="L2592" t="str">
            <v>GREGORIA  VARGAS</v>
          </cell>
          <cell r="M2592">
            <v>31</v>
          </cell>
          <cell r="N2592" t="str">
            <v>RESOLUCION</v>
          </cell>
          <cell r="O2592">
            <v>2499</v>
          </cell>
          <cell r="P2592">
            <v>43277</v>
          </cell>
          <cell r="Q2592" t="str">
            <v>AYUDA TEMPORAL A LAS FAMILIAS DE VARIAS LOCALIDADES, PARA LA RELOCALIZACIÓN DE HOGARES LOCALIZADOS EN ZONAS DE ALTO RIESGO NO MITIGABLE ID:2014-OTR-00872, LOCALIDAD:03 SANTA FE, UPZ:96 LOURDES, SECTOR:CASA 1</v>
          </cell>
          <cell r="R2592">
            <v>2661239</v>
          </cell>
          <cell r="S2592">
            <v>0</v>
          </cell>
          <cell r="T2592">
            <v>0</v>
          </cell>
          <cell r="U2592">
            <v>2661239</v>
          </cell>
          <cell r="V2592">
            <v>760354</v>
          </cell>
        </row>
        <row r="2593">
          <cell r="J2593">
            <v>2209</v>
          </cell>
          <cell r="K2593">
            <v>43277</v>
          </cell>
          <cell r="L2593" t="str">
            <v>ELVIRA  CORZO DE GALEANO</v>
          </cell>
          <cell r="M2593">
            <v>31</v>
          </cell>
          <cell r="N2593" t="str">
            <v>RESOLUCION</v>
          </cell>
          <cell r="O2593">
            <v>2498</v>
          </cell>
          <cell r="P2593">
            <v>43277</v>
          </cell>
          <cell r="Q2593" t="str">
            <v>AYUDA TEMPORAL A LAS FAMILIAS DE VARIAS LOCALIDADES, PARA LA RELOCALIZACIÓN DE HOGARES LOCALIZADOS EN ZONAS DE ALTO RIESGO NO MITIGABLE ID:2014-Q07-00919, LOCALIDAD:19 CIUDAD BOLÍVAR, UPZ:68 EL TESORO, SECTOR:QUEBRADA GALINDO</v>
          </cell>
          <cell r="R2593">
            <v>1150839</v>
          </cell>
          <cell r="S2593">
            <v>0</v>
          </cell>
          <cell r="T2593">
            <v>0</v>
          </cell>
          <cell r="U2593">
            <v>1150839</v>
          </cell>
          <cell r="V2593">
            <v>767226</v>
          </cell>
        </row>
        <row r="2594">
          <cell r="J2594">
            <v>2210</v>
          </cell>
          <cell r="K2594">
            <v>43277</v>
          </cell>
          <cell r="L2594" t="str">
            <v>JOSE GUILLERMO ARIZA</v>
          </cell>
          <cell r="M2594">
            <v>31</v>
          </cell>
          <cell r="N2594" t="str">
            <v>RESOLUCION</v>
          </cell>
          <cell r="O2594">
            <v>2543</v>
          </cell>
          <cell r="P2594">
            <v>43277</v>
          </cell>
          <cell r="Q2594" t="str">
            <v>AYUDA TEMPORAL A LAS FAMILIAS DE VARIAS LOCALIDADES, PARA LA RELOCALIZACIÓN DE HOGARES LOCALIZADOS EN ZONAS DE ALTO RIESGO NO MITIGABLE ID:2011-4-12643, LOCALIDAD:04 SAN CRISTÓBAL, UPZ:32 SAN BLAS</v>
          </cell>
          <cell r="R2594">
            <v>3330061</v>
          </cell>
          <cell r="S2594">
            <v>0</v>
          </cell>
          <cell r="T2594">
            <v>0</v>
          </cell>
          <cell r="U2594">
            <v>3330061</v>
          </cell>
          <cell r="V2594">
            <v>951446</v>
          </cell>
        </row>
        <row r="2595">
          <cell r="J2595">
            <v>2211</v>
          </cell>
          <cell r="K2595">
            <v>43277</v>
          </cell>
          <cell r="L2595" t="str">
            <v>EUDORO  HERNANDEZ TORRES</v>
          </cell>
          <cell r="M2595">
            <v>31</v>
          </cell>
          <cell r="N2595" t="str">
            <v>RESOLUCION</v>
          </cell>
          <cell r="O2595">
            <v>2514</v>
          </cell>
          <cell r="P2595">
            <v>43277</v>
          </cell>
          <cell r="Q2595" t="str">
            <v>AYUDA TEMPORAL A LAS FAMILIAS DE VARIAS LOCALIDADES, PARA LA RELOCALIZACIÓN DE HOGARES LOCALIZADOS EN ZONAS DE ALTO RIESGO NO MITIGABLE ID:2015-ALES-537, LOCALIDAD:19 CIUDAD BOLÍVAR, UPZ:69 ISMAEL PERDOMO, SECTOR:ALTOS DE LA ESTANCIA</v>
          </cell>
          <cell r="R2595">
            <v>3718092</v>
          </cell>
          <cell r="S2595">
            <v>0</v>
          </cell>
          <cell r="T2595">
            <v>0</v>
          </cell>
          <cell r="U2595">
            <v>3718092</v>
          </cell>
          <cell r="V2595">
            <v>1062312</v>
          </cell>
        </row>
        <row r="2596">
          <cell r="J2596">
            <v>2212</v>
          </cell>
          <cell r="K2596">
            <v>43277</v>
          </cell>
          <cell r="L2596" t="str">
            <v>FABIO NELSON BARRAGAN PERILLA</v>
          </cell>
          <cell r="M2596">
            <v>31</v>
          </cell>
          <cell r="N2596" t="str">
            <v>RESOLUCION</v>
          </cell>
          <cell r="O2596">
            <v>2542</v>
          </cell>
          <cell r="P2596">
            <v>43277</v>
          </cell>
          <cell r="Q2596" t="str">
            <v>AYUDA TEMPORAL A LAS FAMILIAS DE VARIAS LOCALIDADES, PARA LA RELOCALIZACIÓN DE HOGARES LOCALIZADOS EN ZONAS DE ALTO RIESGO NO MITIGABLE ID:2011-4-12644, LOCALIDAD:04 SAN CRISTÓBAL, UPZ:32 SAN BLAS</v>
          </cell>
          <cell r="R2596">
            <v>3383254</v>
          </cell>
          <cell r="S2596">
            <v>0</v>
          </cell>
          <cell r="T2596">
            <v>0</v>
          </cell>
          <cell r="U2596">
            <v>3383254</v>
          </cell>
          <cell r="V2596">
            <v>966644</v>
          </cell>
        </row>
        <row r="2597">
          <cell r="J2597">
            <v>2213</v>
          </cell>
          <cell r="K2597">
            <v>43277</v>
          </cell>
          <cell r="L2597" t="str">
            <v>JOSE PABLO LUNA CUELLAR</v>
          </cell>
          <cell r="M2597">
            <v>31</v>
          </cell>
          <cell r="N2597" t="str">
            <v>RESOLUCION</v>
          </cell>
          <cell r="O2597">
            <v>2497</v>
          </cell>
          <cell r="P2597">
            <v>43277</v>
          </cell>
          <cell r="Q2597" t="str">
            <v>AYUDA TEMPORAL A LAS FAMILIAS DE VARIAS LOCALIDADES, PARA LA RELOCALIZACIÓN DE HOGARES LOCALIZADOS EN ZONAS DE ALTO RIESGO NO MITIGABLE ID:2014-OTR-01258, LOCALIDAD:11 SUBA, UPZ:71 TIBABUYES, SECTOR:GAVILANES</v>
          </cell>
          <cell r="R2597">
            <v>3400600</v>
          </cell>
          <cell r="S2597">
            <v>0</v>
          </cell>
          <cell r="T2597">
            <v>0</v>
          </cell>
          <cell r="U2597">
            <v>3400600</v>
          </cell>
          <cell r="V2597">
            <v>850150</v>
          </cell>
        </row>
        <row r="2598">
          <cell r="J2598">
            <v>2214</v>
          </cell>
          <cell r="K2598">
            <v>43277</v>
          </cell>
          <cell r="L2598" t="str">
            <v>JUAN CRISOSTOMO MACETO RAYO</v>
          </cell>
          <cell r="M2598">
            <v>31</v>
          </cell>
          <cell r="N2598" t="str">
            <v>RESOLUCION</v>
          </cell>
          <cell r="O2598">
            <v>2513</v>
          </cell>
          <cell r="P2598">
            <v>43277</v>
          </cell>
          <cell r="Q2598" t="str">
            <v>AYUDA TEMPORAL A LAS FAMILIAS DE VARIAS LOCALIDADES, PARA LA RELOCALIZACIÓN DE HOGARES LOCALIZADOS EN ZONAS DE ALTO RIESGO NO MITIGABLE ID:2015-D227-00022, LOCALIDAD:04 SAN CRISTÓBAL, UPZ:51 LOS LIBERTADORES, SECTOR:SANTA TERESITA</v>
          </cell>
          <cell r="R2598">
            <v>2661239</v>
          </cell>
          <cell r="S2598">
            <v>0</v>
          </cell>
          <cell r="T2598">
            <v>0</v>
          </cell>
          <cell r="U2598">
            <v>2661239</v>
          </cell>
          <cell r="V2598">
            <v>760354</v>
          </cell>
        </row>
        <row r="2599">
          <cell r="J2599">
            <v>2215</v>
          </cell>
          <cell r="K2599">
            <v>43277</v>
          </cell>
          <cell r="L2599" t="str">
            <v>JOSE FLORINDO BARAJAS</v>
          </cell>
          <cell r="M2599">
            <v>31</v>
          </cell>
          <cell r="N2599" t="str">
            <v>RESOLUCION</v>
          </cell>
          <cell r="O2599">
            <v>2496</v>
          </cell>
          <cell r="P2599">
            <v>43277</v>
          </cell>
          <cell r="Q2599" t="str">
            <v>AYUDA TEMPORAL A LAS FAMILIAS DE VARIAS LOCALIDADES, PARA LA RELOCALIZACIÓN DE HOGARES LOCALIZADOS EN ZONAS DE ALTO RIESGO NO MITIGABLE ID:2015-D227-00045, LOCALIDAD:04 SAN CRISTÓBAL, UPZ:51 LOS LIBERTADORES, SECTOR:SANTA TERESITA</v>
          </cell>
          <cell r="R2599">
            <v>3473162</v>
          </cell>
          <cell r="S2599">
            <v>0</v>
          </cell>
          <cell r="T2599">
            <v>0</v>
          </cell>
          <cell r="U2599">
            <v>3473162</v>
          </cell>
          <cell r="V2599">
            <v>992332</v>
          </cell>
        </row>
        <row r="2600">
          <cell r="J2600">
            <v>2216</v>
          </cell>
          <cell r="K2600">
            <v>43277</v>
          </cell>
          <cell r="L2600" t="str">
            <v>JOSE VICENTE DUARTE GONZALEZ</v>
          </cell>
          <cell r="M2600">
            <v>31</v>
          </cell>
          <cell r="N2600" t="str">
            <v>RESOLUCION</v>
          </cell>
          <cell r="O2600">
            <v>2541</v>
          </cell>
          <cell r="P2600">
            <v>43277</v>
          </cell>
          <cell r="Q2600" t="str">
            <v>AYUDA TEMPORAL A LAS FAMILIAS DE VARIAS LOCALIDADES, PARA LA RELOCALIZACIÓN DE HOGARES LOCALIZADOS EN ZONAS DE ALTO RIESGO NO MITIGABLE ID:2010-19-12227, LOCALIDAD:19 CIUDAD BOLÍVAR, UPZ:67 LUCERO, SECTOR:LIMAS</v>
          </cell>
          <cell r="R2600">
            <v>2582006</v>
          </cell>
          <cell r="S2600">
            <v>0</v>
          </cell>
          <cell r="T2600">
            <v>0</v>
          </cell>
          <cell r="U2600">
            <v>2582006</v>
          </cell>
          <cell r="V2600">
            <v>737716</v>
          </cell>
        </row>
        <row r="2601">
          <cell r="J2601">
            <v>2217</v>
          </cell>
          <cell r="K2601">
            <v>43277</v>
          </cell>
          <cell r="L2601" t="str">
            <v>AMERICO  CABEZON PIRAZA</v>
          </cell>
          <cell r="M2601">
            <v>31</v>
          </cell>
          <cell r="N2601" t="str">
            <v>RESOLUCION</v>
          </cell>
          <cell r="O2601">
            <v>2512</v>
          </cell>
          <cell r="P2601">
            <v>43277</v>
          </cell>
          <cell r="Q2601" t="str">
            <v>AYUDA TEMPORAL A LAS FAMILIAS DE VARIAS LOCALIDADES, PARA LA RELOCALIZACIÓN DE HOGARES LOCALIZADOS EN ZONAS DE ALTO RIESGO NO MITIGABLE ID:2014-W166-040, LOCALIDAD:19 CIUDAD BOLÍVAR, UPZ:68 EL TESORO, SECTOR:WOUNAAN</v>
          </cell>
          <cell r="R2601">
            <v>3357900</v>
          </cell>
          <cell r="S2601">
            <v>0</v>
          </cell>
          <cell r="T2601">
            <v>0</v>
          </cell>
          <cell r="U2601">
            <v>3357900</v>
          </cell>
          <cell r="V2601">
            <v>959400</v>
          </cell>
        </row>
        <row r="2602">
          <cell r="J2602">
            <v>2218</v>
          </cell>
          <cell r="K2602">
            <v>43277</v>
          </cell>
          <cell r="L2602" t="str">
            <v>DAIRO NILSON CAÑAS RINCON</v>
          </cell>
          <cell r="M2602">
            <v>31</v>
          </cell>
          <cell r="N2602" t="str">
            <v>RESOLUCION</v>
          </cell>
          <cell r="O2602">
            <v>2540</v>
          </cell>
          <cell r="P2602">
            <v>43277</v>
          </cell>
          <cell r="Q2602" t="str">
            <v>AYUDA TEMPORAL A LAS FAMILIAS DE VARIAS LOCALIDADES, PARA RELOCALIZACIÓN DE HOGARES LOCALIZADOS EN ZONAS DE ALTO RIESGO NO MITIGABLE ID:2003-19-4535, LOCALIDAD:19 CIUDAD BOLÍVAR, UPZ:69 ISMAEL PERDOMO, SECTOR:ALTOS DE LA ESTANCIA</v>
          </cell>
          <cell r="R2602">
            <v>3157315</v>
          </cell>
          <cell r="S2602">
            <v>0</v>
          </cell>
          <cell r="T2602">
            <v>0</v>
          </cell>
          <cell r="U2602">
            <v>3157315</v>
          </cell>
          <cell r="V2602">
            <v>902090</v>
          </cell>
        </row>
        <row r="2603">
          <cell r="J2603">
            <v>2219</v>
          </cell>
          <cell r="K2603">
            <v>43277</v>
          </cell>
          <cell r="L2603" t="str">
            <v>SANDRA  GORDILLO CARREÑO</v>
          </cell>
          <cell r="M2603">
            <v>31</v>
          </cell>
          <cell r="N2603" t="str">
            <v>RESOLUCION</v>
          </cell>
          <cell r="O2603">
            <v>2539</v>
          </cell>
          <cell r="P2603">
            <v>43277</v>
          </cell>
          <cell r="Q2603" t="str">
            <v>AYUDA TEMPORAL A LAS FAMILIAS DE VARIAS LOCALIDADES, PARA LA RELOCALIZACIÓN DE HOGARES LOCALIZADOS EN ZONAS DE ALTO RIESGO NO MITIGABLE ID:2011-4-12655, LOCALIDAD:04 SAN CRISTÓBAL, UPZ:32 SAN BLAS</v>
          </cell>
          <cell r="R2603">
            <v>3698583</v>
          </cell>
          <cell r="S2603">
            <v>0</v>
          </cell>
          <cell r="T2603">
            <v>0</v>
          </cell>
          <cell r="U2603">
            <v>3698583</v>
          </cell>
          <cell r="V2603">
            <v>1056738</v>
          </cell>
        </row>
        <row r="2604">
          <cell r="J2604">
            <v>2220</v>
          </cell>
          <cell r="K2604">
            <v>43277</v>
          </cell>
          <cell r="L2604" t="str">
            <v>LUZ MARY GUZMAN DIAZ</v>
          </cell>
          <cell r="M2604">
            <v>31</v>
          </cell>
          <cell r="N2604" t="str">
            <v>RESOLUCION</v>
          </cell>
          <cell r="O2604">
            <v>2511</v>
          </cell>
          <cell r="P2604">
            <v>43277</v>
          </cell>
          <cell r="Q2604" t="str">
            <v>AYUDA TEMPORAL A LAS FAMILIAS DE VARIAS LOCALIDADES, PARA LA RELOCALIZACIÓN DE HOGARES LOCALIZADOS EN ZONAS DE ALTO RIESGO NO MITIGABLE ID:2015-OTR-01536, LOCALIDAD:18 RAFAEL URIBE URIBE, UPZ:55 DIANA TURBAY, SECTOR:CERROS DE ORIENTE</v>
          </cell>
          <cell r="R2604">
            <v>3608360</v>
          </cell>
          <cell r="S2604">
            <v>0</v>
          </cell>
          <cell r="T2604">
            <v>0</v>
          </cell>
          <cell r="U2604">
            <v>3608360</v>
          </cell>
          <cell r="V2604">
            <v>902090</v>
          </cell>
        </row>
        <row r="2605">
          <cell r="J2605">
            <v>2221</v>
          </cell>
          <cell r="K2605">
            <v>43277</v>
          </cell>
          <cell r="L2605" t="str">
            <v>FLOR ELISA ULLOA PUENTES</v>
          </cell>
          <cell r="M2605">
            <v>31</v>
          </cell>
          <cell r="N2605" t="str">
            <v>RESOLUCION</v>
          </cell>
          <cell r="O2605">
            <v>2425</v>
          </cell>
          <cell r="P2605">
            <v>43277</v>
          </cell>
          <cell r="Q2605" t="str">
            <v>VUR de la actual vigencia. La asignación se realiza para dar cumplimiento al fallo de acción popular 2002-00152- Suba Gavilanes. Decreto 255 de 2013. LOCALIDAD: SUBA (GAVILANES); BARRIO: SANTA CECILIA; ID:2018-11-15198</v>
          </cell>
          <cell r="R2605">
            <v>39062100</v>
          </cell>
          <cell r="S2605">
            <v>0</v>
          </cell>
          <cell r="T2605">
            <v>0</v>
          </cell>
          <cell r="U2605">
            <v>39062100</v>
          </cell>
          <cell r="V2605">
            <v>0</v>
          </cell>
        </row>
        <row r="2606">
          <cell r="J2606">
            <v>2222</v>
          </cell>
          <cell r="K2606">
            <v>43277</v>
          </cell>
          <cell r="L2606" t="str">
            <v>CARLOS EVELIO TANGARIFE VILLA</v>
          </cell>
          <cell r="M2606">
            <v>31</v>
          </cell>
          <cell r="N2606" t="str">
            <v>RESOLUCION</v>
          </cell>
          <cell r="O2606">
            <v>2510</v>
          </cell>
          <cell r="P2606">
            <v>43277</v>
          </cell>
          <cell r="Q2606" t="str">
            <v>AYUDA TEMPORAL A LAS FAMILIAS DE VARIAS LOCALIDADES, PARA LA RELOCALIZACIÓN DE HOGARES LOCALIZADOS EN ZONAS DE ALTO RIESGO NO MITIGABLE ID:2011-4-12682, LOCALIDAD:04 SAN CRISTÓBAL, UPZ:32 SAN BLAS</v>
          </cell>
          <cell r="R2606">
            <v>2838689</v>
          </cell>
          <cell r="S2606">
            <v>0</v>
          </cell>
          <cell r="T2606">
            <v>0</v>
          </cell>
          <cell r="U2606">
            <v>2838689</v>
          </cell>
          <cell r="V2606">
            <v>811054</v>
          </cell>
        </row>
        <row r="2607">
          <cell r="J2607">
            <v>2223</v>
          </cell>
          <cell r="K2607">
            <v>43277</v>
          </cell>
          <cell r="L2607" t="str">
            <v>CARMEN  MARTINEZ</v>
          </cell>
          <cell r="M2607">
            <v>31</v>
          </cell>
          <cell r="N2607" t="str">
            <v>RESOLUCION</v>
          </cell>
          <cell r="O2607">
            <v>2509</v>
          </cell>
          <cell r="P2607">
            <v>43277</v>
          </cell>
          <cell r="Q2607" t="str">
            <v>AYUDA TEMPORAL A LAS FAMILIAS DE VARIAS LOCALIDADES, PARA LA RELOCALIZACIÓN DE HOGARES LOCALIZADOS EN ZONAS DE ALTO RIESGO NO MITIGABLE ID:2012-19-14046, LOCALIDAD:19 CIUDAD BOLÍVAR, UPZ:68 EL TESORO, SECTOR:QUEBRADA TROMPETA</v>
          </cell>
          <cell r="R2607">
            <v>3374280</v>
          </cell>
          <cell r="S2607">
            <v>0</v>
          </cell>
          <cell r="T2607">
            <v>0</v>
          </cell>
          <cell r="U2607">
            <v>3374280</v>
          </cell>
          <cell r="V2607">
            <v>964080</v>
          </cell>
        </row>
        <row r="2608">
          <cell r="J2608">
            <v>2224</v>
          </cell>
          <cell r="K2608">
            <v>43277</v>
          </cell>
          <cell r="L2608" t="str">
            <v>FLOR MARIA GARCIA CUAN</v>
          </cell>
          <cell r="M2608">
            <v>31</v>
          </cell>
          <cell r="N2608" t="str">
            <v>RESOLUCION</v>
          </cell>
          <cell r="O2608">
            <v>2508</v>
          </cell>
          <cell r="P2608">
            <v>43277</v>
          </cell>
          <cell r="Q2608" t="str">
            <v>AYUDA TEMPORAL A LAS FAMILIAS DE VARIAS LOCALIDADES, PARA LA RELOCALIZACIÓN DE HOGARES LOCALIZADOS EN ZONAS DE ALTO RIESGO NO MITIGABLE ID:2012-18-14270, LOCALIDAD:18 RAFAEL URIBE URIBE, UPZ:55 DIANA TURBAY</v>
          </cell>
          <cell r="R2608">
            <v>3570210</v>
          </cell>
          <cell r="S2608">
            <v>0</v>
          </cell>
          <cell r="T2608">
            <v>0</v>
          </cell>
          <cell r="U2608">
            <v>3570210</v>
          </cell>
          <cell r="V2608">
            <v>1020060</v>
          </cell>
        </row>
        <row r="2609">
          <cell r="J2609">
            <v>2225</v>
          </cell>
          <cell r="K2609">
            <v>43277</v>
          </cell>
          <cell r="L2609" t="str">
            <v>GLORIA  LASSO CARDOSO</v>
          </cell>
          <cell r="M2609">
            <v>31</v>
          </cell>
          <cell r="N2609" t="str">
            <v>RESOLUCION</v>
          </cell>
          <cell r="O2609">
            <v>2561</v>
          </cell>
          <cell r="P2609">
            <v>43277</v>
          </cell>
          <cell r="Q2609" t="str">
            <v>AYUDA TEMPORAL A LAS FAMILIAS DE VARIAS LOCALIDADES, PARA LA RELOCALIZACIÓN DE HOGARES LOCALIZADOS EN ZONAS DE ALTO RIESGO NO MITIGABLE ID:2009-5-11196, LOCALIDAD:05 USME, UPZ:60 PARQUE ENTRENUBES</v>
          </cell>
          <cell r="R2609">
            <v>2872350</v>
          </cell>
          <cell r="S2609">
            <v>0</v>
          </cell>
          <cell r="T2609">
            <v>0</v>
          </cell>
          <cell r="U2609">
            <v>2872350</v>
          </cell>
          <cell r="V2609">
            <v>1148940</v>
          </cell>
        </row>
        <row r="2610">
          <cell r="J2610">
            <v>2226</v>
          </cell>
          <cell r="K2610">
            <v>43277</v>
          </cell>
          <cell r="L2610" t="str">
            <v>LUZ ANGELA CASTRO REYES</v>
          </cell>
          <cell r="M2610">
            <v>31</v>
          </cell>
          <cell r="N2610" t="str">
            <v>RESOLUCION</v>
          </cell>
          <cell r="O2610">
            <v>2507</v>
          </cell>
          <cell r="P2610">
            <v>43277</v>
          </cell>
          <cell r="Q2610" t="str">
            <v>AYUDA TEMPORAL A LAS FAMILIAS DE VARIAS LOCALIDADES, PARA LA RELOCALIZACIÓN DE HOGARES LOCALIZADOS EN ZONAS DE ALTO RIESGO NO MITIGABLE ID:2012-19-13954, LOCALIDAD:19 CIUDAD BOLÍVAR, UPZ:68 EL TESORO</v>
          </cell>
          <cell r="R2610">
            <v>4491802</v>
          </cell>
          <cell r="S2610">
            <v>0</v>
          </cell>
          <cell r="T2610">
            <v>0</v>
          </cell>
          <cell r="U2610">
            <v>4491802</v>
          </cell>
          <cell r="V2610">
            <v>1283372</v>
          </cell>
        </row>
        <row r="2611">
          <cell r="J2611">
            <v>2227</v>
          </cell>
          <cell r="K2611">
            <v>43277</v>
          </cell>
          <cell r="L2611" t="str">
            <v>SANDRA PATRICIA RODRIGUEZ ORTIZ</v>
          </cell>
          <cell r="M2611">
            <v>31</v>
          </cell>
          <cell r="N2611" t="str">
            <v>RESOLUCION</v>
          </cell>
          <cell r="O2611">
            <v>2506</v>
          </cell>
          <cell r="P2611">
            <v>43277</v>
          </cell>
          <cell r="Q2611" t="str">
            <v>AYUDA TEMPORAL A LAS FAMILIAS DE VARIAS LOCALIDADES, PARA LA RELOCALIZACIÓN DE HOGARES LOCALIZADOS EN ZONAS DE ALTO RIESGO NO MITIGABLE ID:2014-OTR-01170, LOCALIDAD:11 SUBA, UPZ:71 TIBABUYES, SECTOR:GAVILANES</v>
          </cell>
          <cell r="R2611">
            <v>3516527</v>
          </cell>
          <cell r="S2611">
            <v>0</v>
          </cell>
          <cell r="T2611">
            <v>0</v>
          </cell>
          <cell r="U2611">
            <v>3516527</v>
          </cell>
          <cell r="V2611">
            <v>1004722</v>
          </cell>
        </row>
        <row r="2612">
          <cell r="J2612">
            <v>2228</v>
          </cell>
          <cell r="K2612">
            <v>43278</v>
          </cell>
          <cell r="L2612" t="str">
            <v>MARTHA LILIANA SANCHEZ SANCHEZ</v>
          </cell>
          <cell r="M2612">
            <v>31</v>
          </cell>
          <cell r="N2612" t="str">
            <v>RESOLUCION</v>
          </cell>
          <cell r="O2612">
            <v>2495</v>
          </cell>
          <cell r="P2612">
            <v>43278</v>
          </cell>
          <cell r="Q2612" t="str">
            <v>AYUDA TEMPORAL A LAS FAMILIAS DE VARIAS LOCALIDADES, PARA LA RELOCALIZACIÓN DE HOGARES LOCALIZADOS EN ZONAS DE ALTO RIESGO NO MITIGABLE ID:2011-4-12673, LOCALIDAD:04 SAN CRISTÓBAL, UPZ:32 SAN BLAS</v>
          </cell>
          <cell r="R2612">
            <v>2796906</v>
          </cell>
          <cell r="S2612">
            <v>0</v>
          </cell>
          <cell r="T2612">
            <v>0</v>
          </cell>
          <cell r="U2612">
            <v>2796906</v>
          </cell>
          <cell r="V2612">
            <v>799116</v>
          </cell>
        </row>
        <row r="2613">
          <cell r="J2613">
            <v>2229</v>
          </cell>
          <cell r="K2613">
            <v>43278</v>
          </cell>
          <cell r="L2613" t="str">
            <v>DIANA PAOLA ARIAS CASTILLO</v>
          </cell>
          <cell r="M2613">
            <v>31</v>
          </cell>
          <cell r="N2613" t="str">
            <v>RESOLUCION</v>
          </cell>
          <cell r="O2613">
            <v>2494</v>
          </cell>
          <cell r="P2613">
            <v>43278</v>
          </cell>
          <cell r="Q2613" t="str">
            <v>AYUDA TEMPORAL A LAS FAMILIAS DE VARIAS LOCALIDADES, PARA LA RELOCALIZACIÓN DE HOGARES LOCALIZADOS EN ZONAS DE ALTO RIESGO NO MITIGABLE ID:2012-ALES-231, LOCALIDAD:19 CIUDAD BOLÍVAR, UPZ:69 ISMAEL PERDOMO</v>
          </cell>
          <cell r="R2613">
            <v>3157315</v>
          </cell>
          <cell r="S2613">
            <v>0</v>
          </cell>
          <cell r="T2613">
            <v>0</v>
          </cell>
          <cell r="U2613">
            <v>3157315</v>
          </cell>
          <cell r="V2613">
            <v>902090</v>
          </cell>
        </row>
        <row r="2614">
          <cell r="J2614">
            <v>2230</v>
          </cell>
          <cell r="K2614">
            <v>43278</v>
          </cell>
          <cell r="L2614" t="str">
            <v>GLADYS  JOAQUI DIAZ</v>
          </cell>
          <cell r="M2614">
            <v>31</v>
          </cell>
          <cell r="N2614" t="str">
            <v>RESOLUCION</v>
          </cell>
          <cell r="O2614">
            <v>2493</v>
          </cell>
          <cell r="P2614">
            <v>43278</v>
          </cell>
          <cell r="Q2614" t="str">
            <v>AYUDA TEMPORAL A LAS FAMILIAS DE VARIAS LOCALIDADES, PARA RELOCALIZACIÓN DE HOGARES LOCALIZADOS EN ZONAS DE ALTO RIESGO NO MITIGABLE ID:2002-4-2711, LOCALIDAD:04 SAN CRISTÓBAL, UPZ:32 SAN BLAS</v>
          </cell>
          <cell r="R2614">
            <v>3383254</v>
          </cell>
          <cell r="S2614">
            <v>0</v>
          </cell>
          <cell r="T2614">
            <v>0</v>
          </cell>
          <cell r="U2614">
            <v>3383254</v>
          </cell>
          <cell r="V2614">
            <v>966644</v>
          </cell>
        </row>
        <row r="2615">
          <cell r="J2615">
            <v>2231</v>
          </cell>
          <cell r="K2615">
            <v>43278</v>
          </cell>
          <cell r="L2615" t="str">
            <v>JENNY PAOLA CABALLERO TORRES</v>
          </cell>
          <cell r="M2615">
            <v>31</v>
          </cell>
          <cell r="N2615" t="str">
            <v>RESOLUCION</v>
          </cell>
          <cell r="O2615">
            <v>2446</v>
          </cell>
          <cell r="P2615">
            <v>43278</v>
          </cell>
          <cell r="Q2615" t="str">
            <v>AYUDA TEMPORAL A LAS FAMILIAS DE VARIAS LOCALIDADES, PARA LA RELOCALIZACIÓN DE HOGARES LOCALIZADOS EN ZONAS DE ALTO RIESGO NO MITIGABLE ID:2015-Q03-01432, LOCALIDAD:19 CIUDAD BOLÍVAR, UPZ:66 SAN FRANCISCO, SECTOR:LIMAS</v>
          </cell>
          <cell r="R2615">
            <v>3157315</v>
          </cell>
          <cell r="S2615">
            <v>0</v>
          </cell>
          <cell r="T2615">
            <v>0</v>
          </cell>
          <cell r="U2615">
            <v>3157315</v>
          </cell>
          <cell r="V2615">
            <v>902090</v>
          </cell>
        </row>
        <row r="2616">
          <cell r="J2616">
            <v>2232</v>
          </cell>
          <cell r="K2616">
            <v>43278</v>
          </cell>
          <cell r="L2616" t="str">
            <v>ALDEMAR  MALAVER CRUZ</v>
          </cell>
          <cell r="M2616">
            <v>31</v>
          </cell>
          <cell r="N2616" t="str">
            <v>RESOLUCION</v>
          </cell>
          <cell r="O2616">
            <v>2445</v>
          </cell>
          <cell r="P2616">
            <v>43278</v>
          </cell>
          <cell r="Q2616" t="str">
            <v>AYUDA TEMPORAL A LAS FAMILIAS DE VARIAS LOCALIDADES, PARA LA RELOCALIZACIÓN DE HOGARES LOCALIZADOS EN ZONAS DE ALTO RIESGO NO MITIGABLE ID:2015-Q03-01488, LOCALIDAD:19 CIUDAD BOLÍVAR, UPZ:66 SAN FRANCISCO, SECTOR:LIMAS</v>
          </cell>
          <cell r="R2616">
            <v>2582006</v>
          </cell>
          <cell r="S2616">
            <v>0</v>
          </cell>
          <cell r="T2616">
            <v>0</v>
          </cell>
          <cell r="U2616">
            <v>2582006</v>
          </cell>
          <cell r="V2616">
            <v>737716</v>
          </cell>
        </row>
        <row r="2617">
          <cell r="J2617">
            <v>2233</v>
          </cell>
          <cell r="K2617">
            <v>43278</v>
          </cell>
          <cell r="L2617" t="str">
            <v>LUIS AUDICEL MELO MARTIN</v>
          </cell>
          <cell r="M2617">
            <v>31</v>
          </cell>
          <cell r="N2617" t="str">
            <v>RESOLUCION</v>
          </cell>
          <cell r="O2617">
            <v>2444</v>
          </cell>
          <cell r="P2617">
            <v>43278</v>
          </cell>
          <cell r="Q2617" t="str">
            <v>AYUDA TEMPORAL A LAS FAMILIAS DE VARIAS LOCALIDADES, PARA LA RELOCALIZACIÓN DE HOGARES LOCALIZADOS EN ZONAS DE ALTO RIESGO NO MITIGABLE ID:2017-19-14969, LOCALIDAD:19 CIUDAD BOLÍVAR, UPZ:67 LUCERO, SECTOR:LAS MANITAS II</v>
          </cell>
          <cell r="R2617">
            <v>4131218</v>
          </cell>
          <cell r="S2617">
            <v>0</v>
          </cell>
          <cell r="T2617">
            <v>0</v>
          </cell>
          <cell r="U2617">
            <v>4131218</v>
          </cell>
          <cell r="V2617">
            <v>1180348</v>
          </cell>
        </row>
        <row r="2618">
          <cell r="J2618">
            <v>2234</v>
          </cell>
          <cell r="K2618">
            <v>43278</v>
          </cell>
          <cell r="L2618" t="str">
            <v>ANGIE CENID TAPIA LOZANO</v>
          </cell>
          <cell r="M2618">
            <v>31</v>
          </cell>
          <cell r="N2618" t="str">
            <v>RESOLUCION</v>
          </cell>
          <cell r="O2618">
            <v>2443</v>
          </cell>
          <cell r="P2618">
            <v>43278</v>
          </cell>
          <cell r="Q2618" t="str">
            <v>AYUDA TEMPORAL A LAS FAMILIAS DE VARIAS LOCALIDADES, PARA LA RELOCALIZACIÓN DE HOGARES LOCALIZADOS EN ZONAS DE ALTO RIESGO NO MITIGABLE ID:2015-Q03-01486, LOCALIDAD:19 CIUDAD BOLÍVAR, UPZ:66 SAN FRANCISCO, SECTOR:LIMAS</v>
          </cell>
          <cell r="R2618">
            <v>2582006</v>
          </cell>
          <cell r="S2618">
            <v>0</v>
          </cell>
          <cell r="T2618">
            <v>0</v>
          </cell>
          <cell r="U2618">
            <v>2582006</v>
          </cell>
          <cell r="V2618">
            <v>737716</v>
          </cell>
        </row>
        <row r="2619">
          <cell r="J2619">
            <v>2235</v>
          </cell>
          <cell r="K2619">
            <v>43278</v>
          </cell>
          <cell r="L2619" t="str">
            <v>ANGIE JULIETTE ROJAS CARRILLO</v>
          </cell>
          <cell r="M2619">
            <v>31</v>
          </cell>
          <cell r="N2619" t="str">
            <v>RESOLUCION</v>
          </cell>
          <cell r="O2619">
            <v>2442</v>
          </cell>
          <cell r="P2619">
            <v>43278</v>
          </cell>
          <cell r="Q2619" t="str">
            <v>AYUDA TEMPORAL A LAS FAMILIAS DE VARIAS LOCALIDADES, PARA LA RELOCALIZACIÓN DE HOGARES LOCALIZADOS EN ZONAS DE ALTO RIESGO NO MITIGABLE ID:2015-Q03-01433, LOCALIDAD:19 CIUDAD BOLÍVAR, UPZ:66 SAN FRANCISCO, SECTOR:LIMAS</v>
          </cell>
          <cell r="R2619">
            <v>3157315</v>
          </cell>
          <cell r="S2619">
            <v>0</v>
          </cell>
          <cell r="T2619">
            <v>0</v>
          </cell>
          <cell r="U2619">
            <v>3157315</v>
          </cell>
          <cell r="V2619">
            <v>902090</v>
          </cell>
        </row>
        <row r="2620">
          <cell r="J2620">
            <v>2236</v>
          </cell>
          <cell r="K2620">
            <v>43278</v>
          </cell>
          <cell r="L2620" t="str">
            <v>CONSUELO DEL CARMEN HERNANDEZ ARCIA</v>
          </cell>
          <cell r="M2620">
            <v>31</v>
          </cell>
          <cell r="N2620" t="str">
            <v>RESOLUCION</v>
          </cell>
          <cell r="O2620">
            <v>2441</v>
          </cell>
          <cell r="P2620">
            <v>43278</v>
          </cell>
          <cell r="Q2620" t="str">
            <v>AYUDA TEMPORAL A LAS FAMILIAS DE VARIAS LOCALIDADES, PARA LA RELOCALIZACIÓN DE HOGARES LOCALIZADOS EN ZONAS DE ALTO RIESGO NO MITIGABLE ID:2015-Q04-01434, LOCALIDAD:19 CIUDAD BOLÍVAR, UPZ:67 LUCERO, SECTOR:PEÑA COLORADA</v>
          </cell>
          <cell r="R2620">
            <v>3157315</v>
          </cell>
          <cell r="S2620">
            <v>0</v>
          </cell>
          <cell r="T2620">
            <v>0</v>
          </cell>
          <cell r="U2620">
            <v>3157315</v>
          </cell>
          <cell r="V2620">
            <v>902090</v>
          </cell>
        </row>
        <row r="2621">
          <cell r="J2621">
            <v>2237</v>
          </cell>
          <cell r="K2621">
            <v>43278</v>
          </cell>
          <cell r="L2621" t="str">
            <v>EDITH  MALAGON RINCON</v>
          </cell>
          <cell r="M2621">
            <v>31</v>
          </cell>
          <cell r="N2621" t="str">
            <v>RESOLUCION</v>
          </cell>
          <cell r="O2621">
            <v>2440</v>
          </cell>
          <cell r="P2621">
            <v>43278</v>
          </cell>
          <cell r="Q2621" t="str">
            <v>AYUDA TEMPORAL A LAS FAMILIAS DE VARIAS LOCALIDADES, PARA LA RELOCALIZACIÓN DE HOGARES LOCALIZADOS EN ZONAS DE ALTO RIESGO NO MITIGABLE ID:2016-08-14829, LOCALIDAD:08 KENNEDY, UPZ:82 PATIO BONITO, SECTOR:PALMITAS</v>
          </cell>
          <cell r="R2621">
            <v>3098410</v>
          </cell>
          <cell r="S2621">
            <v>0</v>
          </cell>
          <cell r="T2621">
            <v>0</v>
          </cell>
          <cell r="U2621">
            <v>3098410</v>
          </cell>
          <cell r="V2621">
            <v>885260</v>
          </cell>
        </row>
        <row r="2622">
          <cell r="J2622">
            <v>2238</v>
          </cell>
          <cell r="K2622">
            <v>43278</v>
          </cell>
          <cell r="L2622" t="str">
            <v>BENEDICTO  VALBUENA LEON</v>
          </cell>
          <cell r="M2622">
            <v>31</v>
          </cell>
          <cell r="N2622" t="str">
            <v>RESOLUCION</v>
          </cell>
          <cell r="O2622">
            <v>2439</v>
          </cell>
          <cell r="P2622">
            <v>43278</v>
          </cell>
          <cell r="Q2622" t="str">
            <v>AYUDA TEMPORAL A LAS FAMILIAS DE VARIAS LOCALIDADES, PARA LA RELOCALIZACIÓN DE HOGARES LOCALIZADOS EN ZONAS DE ALTO RIESGO NO MITIGABLE ID:2014-OTR-00978, LOCALIDAD:19 CIUDAD BOLÍVAR, UPZ:67 LUCERO, SECTOR:TABOR ALTALOMA</v>
          </cell>
          <cell r="R2622">
            <v>3017000</v>
          </cell>
          <cell r="S2622">
            <v>0</v>
          </cell>
          <cell r="T2622">
            <v>0</v>
          </cell>
          <cell r="U2622">
            <v>3017000</v>
          </cell>
          <cell r="V2622">
            <v>862000</v>
          </cell>
        </row>
        <row r="2623">
          <cell r="J2623">
            <v>2239</v>
          </cell>
          <cell r="K2623">
            <v>43278</v>
          </cell>
          <cell r="L2623" t="str">
            <v>FLOR ALBA ARIZA MOSQUERA</v>
          </cell>
          <cell r="M2623">
            <v>31</v>
          </cell>
          <cell r="N2623" t="str">
            <v>RESOLUCION</v>
          </cell>
          <cell r="O2623">
            <v>2438</v>
          </cell>
          <cell r="P2623">
            <v>43278</v>
          </cell>
          <cell r="Q2623" t="str">
            <v>AYUDA TEMPORAL A LAS FAMILIAS DE VARIAS LOCALIDADES, PARA LA RELOCALIZACIÓN DE HOGARES LOCALIZADOS EN ZONAS DE ALTO RIESGO NO MITIGABLE ID:2013-Q18-00093, LOCALIDAD:19 CIUDAD BOLÍVAR, UPZ:69 ISMAEL PERDOMO, SECTOR:ZANJÓN MURALLA</v>
          </cell>
          <cell r="R2623">
            <v>2843722</v>
          </cell>
          <cell r="S2623">
            <v>0</v>
          </cell>
          <cell r="T2623">
            <v>0</v>
          </cell>
          <cell r="U2623">
            <v>2843722</v>
          </cell>
          <cell r="V2623">
            <v>812492</v>
          </cell>
        </row>
        <row r="2624">
          <cell r="J2624">
            <v>2240</v>
          </cell>
          <cell r="K2624">
            <v>43278</v>
          </cell>
          <cell r="L2624" t="str">
            <v>NELSON  DELGADO LOPEZ</v>
          </cell>
          <cell r="M2624">
            <v>31</v>
          </cell>
          <cell r="N2624" t="str">
            <v>RESOLUCION</v>
          </cell>
          <cell r="O2624">
            <v>2437</v>
          </cell>
          <cell r="P2624">
            <v>43278</v>
          </cell>
          <cell r="Q2624" t="str">
            <v>AYUDA TEMPORAL A LAS FAMILIAS DE VARIAS LOCALIDADES, PARA LA RELOCALIZACIÓN DE HOGARES LOCALIZADOS EN ZONAS DE ALTO RIESGO NO MITIGABLE ID:2014-OTR-00884, LOCALIDAD:03 SANTA FE, UPZ:96 LOURDES, SECTOR:CASA 2</v>
          </cell>
          <cell r="R2624">
            <v>3516527</v>
          </cell>
          <cell r="S2624">
            <v>0</v>
          </cell>
          <cell r="T2624">
            <v>0</v>
          </cell>
          <cell r="U2624">
            <v>3516527</v>
          </cell>
          <cell r="V2624">
            <v>1004722</v>
          </cell>
        </row>
        <row r="2625">
          <cell r="J2625">
            <v>2241</v>
          </cell>
          <cell r="K2625">
            <v>43278</v>
          </cell>
          <cell r="L2625" t="str">
            <v>HECTOR GUILLERMO GOMEZ SALINAS</v>
          </cell>
          <cell r="M2625">
            <v>31</v>
          </cell>
          <cell r="N2625" t="str">
            <v>RESOLUCION</v>
          </cell>
          <cell r="O2625">
            <v>2436</v>
          </cell>
          <cell r="P2625">
            <v>43278</v>
          </cell>
          <cell r="Q2625" t="str">
            <v>AYUDA TEMPORAL A LAS FAMILIAS DE VARIAS LOCALIDADES, PARA LA RELOCALIZACIÓN DE HOGARES LOCALIZADOS EN ZONAS DE ALTO RIESGO NO MITIGABLE ID:2013-Q05-00009, LOCALIDAD:19 CIUDAD BOLÍVAR, UPZ:67 LUCERO, SECTOR:QUEBRADA CAÑO BAÚL</v>
          </cell>
          <cell r="R2625">
            <v>3363507</v>
          </cell>
          <cell r="S2625">
            <v>0</v>
          </cell>
          <cell r="T2625">
            <v>0</v>
          </cell>
          <cell r="U2625">
            <v>3363507</v>
          </cell>
          <cell r="V2625">
            <v>961002</v>
          </cell>
        </row>
        <row r="2626">
          <cell r="J2626">
            <v>2242</v>
          </cell>
          <cell r="K2626">
            <v>43278</v>
          </cell>
          <cell r="L2626" t="str">
            <v>MANUEL GUILLERMO PEÑA GONZALEZ</v>
          </cell>
          <cell r="M2626">
            <v>31</v>
          </cell>
          <cell r="N2626" t="str">
            <v>RESOLUCION</v>
          </cell>
          <cell r="O2626">
            <v>2435</v>
          </cell>
          <cell r="P2626">
            <v>43278</v>
          </cell>
          <cell r="Q2626" t="str">
            <v>AYUDA TEMPORAL A LAS FAMILIAS DE VARIAS LOCALIDADES, PARA LA RELOCALIZACIÓN DE HOGARES LOCALIZADOS EN ZONAS DE ALTO RIESGO NO MITIGABLE ID:2014-Q07-00924, LOCALIDAD:19 CIUDAD BOLÍVAR, UPZ:67 LUCERO, SECTOR:QUEBRADA TROMPETA</v>
          </cell>
          <cell r="R2626">
            <v>2582006</v>
          </cell>
          <cell r="S2626">
            <v>0</v>
          </cell>
          <cell r="T2626">
            <v>0</v>
          </cell>
          <cell r="U2626">
            <v>2582006</v>
          </cell>
          <cell r="V2626">
            <v>737716</v>
          </cell>
        </row>
        <row r="2627">
          <cell r="J2627">
            <v>2243</v>
          </cell>
          <cell r="K2627">
            <v>43278</v>
          </cell>
          <cell r="L2627" t="str">
            <v>JOSE NELSON BOCANEGRA SILVA</v>
          </cell>
          <cell r="M2627">
            <v>31</v>
          </cell>
          <cell r="N2627" t="str">
            <v>RESOLUCION</v>
          </cell>
          <cell r="O2627">
            <v>2434</v>
          </cell>
          <cell r="P2627">
            <v>43278</v>
          </cell>
          <cell r="Q2627" t="str">
            <v>AYUDA TEMPORAL A LAS FAMILIAS DE VARIAS LOCALIDADES, PARA LA RELOCALIZACIÓN DE HOGARES LOCALIZADOS EN ZONAS DE ALTO RIESGO NO MITIGABLE ID:2011-4-12633, LOCALIDAD:04 SAN CRISTÓBAL, UPZ:32 SAN BLAS</v>
          </cell>
          <cell r="R2627">
            <v>3557432</v>
          </cell>
          <cell r="S2627">
            <v>0</v>
          </cell>
          <cell r="T2627">
            <v>0</v>
          </cell>
          <cell r="U2627">
            <v>3557432</v>
          </cell>
          <cell r="V2627">
            <v>889358</v>
          </cell>
        </row>
        <row r="2628">
          <cell r="J2628">
            <v>2244</v>
          </cell>
          <cell r="K2628">
            <v>43278</v>
          </cell>
          <cell r="L2628" t="str">
            <v>LIZETH  FRANCO OLAYA</v>
          </cell>
          <cell r="M2628">
            <v>31</v>
          </cell>
          <cell r="N2628" t="str">
            <v>RESOLUCION</v>
          </cell>
          <cell r="O2628">
            <v>2433</v>
          </cell>
          <cell r="P2628">
            <v>43278</v>
          </cell>
          <cell r="Q2628" t="str">
            <v>AYUDA TEMPORAL A LAS FAMILIAS DE VARIAS LOCALIDADES, PARA LA RELOCALIZACIÓN DE HOGARES LOCALIZADOS EN ZONAS DE ALTO RIESGO NO MITIGABLE ID:2011-19-12905, LOCALIDAD:19 CIUDAD BOLÍVAR, UPZ:68 EL TESORO</v>
          </cell>
          <cell r="R2628">
            <v>2582006</v>
          </cell>
          <cell r="S2628">
            <v>0</v>
          </cell>
          <cell r="T2628">
            <v>0</v>
          </cell>
          <cell r="U2628">
            <v>2582006</v>
          </cell>
          <cell r="V2628">
            <v>737716</v>
          </cell>
        </row>
        <row r="2629">
          <cell r="J2629">
            <v>2245</v>
          </cell>
          <cell r="K2629">
            <v>43278</v>
          </cell>
          <cell r="L2629" t="str">
            <v>YESMY MILENA CRUZ GIL</v>
          </cell>
          <cell r="M2629">
            <v>31</v>
          </cell>
          <cell r="N2629" t="str">
            <v>RESOLUCION</v>
          </cell>
          <cell r="O2629">
            <v>2432</v>
          </cell>
          <cell r="P2629">
            <v>43278</v>
          </cell>
          <cell r="Q2629" t="str">
            <v>AYUDA TEMPORAL A LAS FAMILIAS DE VARIAS LOCALIDADES, PARA LA RELOCALIZACIÓN DE HOGARES LOCALIZADOS EN ZONAS DE ALTO RIESGO NO MITIGABLE ID:2011-4-12975, LOCALIDAD:04 SAN CRISTÓBAL, UPZ:32 SAN BLAS</v>
          </cell>
          <cell r="R2629">
            <v>3112599</v>
          </cell>
          <cell r="S2629">
            <v>0</v>
          </cell>
          <cell r="T2629">
            <v>0</v>
          </cell>
          <cell r="U2629">
            <v>3112599</v>
          </cell>
          <cell r="V2629">
            <v>889314</v>
          </cell>
        </row>
        <row r="2630">
          <cell r="J2630">
            <v>2246</v>
          </cell>
          <cell r="K2630">
            <v>43278</v>
          </cell>
          <cell r="L2630" t="str">
            <v>JHON FAVIO MORALES GUARNIZO</v>
          </cell>
          <cell r="M2630">
            <v>31</v>
          </cell>
          <cell r="N2630" t="str">
            <v>RESOLUCION</v>
          </cell>
          <cell r="O2630">
            <v>2431</v>
          </cell>
          <cell r="P2630">
            <v>43278</v>
          </cell>
          <cell r="Q2630" t="str">
            <v>AYUDA TEMPORAL A LAS FAMILIAS DE VARIAS LOCALIDADES, PARA LA RELOCALIZACIÓN DE HOGARES LOCALIZADOS EN ZONAS DE ALTO RIESGO NO MITIGABLE ID:2017-19-15043, LOCALIDAD:19 CIUDAD BOLÍVAR, UPZ:67 EL LUCERO, SECTOR:BELLA FLOR</v>
          </cell>
          <cell r="R2630">
            <v>3614814</v>
          </cell>
          <cell r="S2630">
            <v>0</v>
          </cell>
          <cell r="T2630">
            <v>0</v>
          </cell>
          <cell r="U2630">
            <v>3614814</v>
          </cell>
          <cell r="V2630">
            <v>1032804</v>
          </cell>
        </row>
        <row r="2631">
          <cell r="J2631">
            <v>2247</v>
          </cell>
          <cell r="K2631">
            <v>43278</v>
          </cell>
          <cell r="L2631" t="str">
            <v>LEONILDE  GARZON CORTES</v>
          </cell>
          <cell r="M2631">
            <v>31</v>
          </cell>
          <cell r="N2631" t="str">
            <v>RESOLUCION</v>
          </cell>
          <cell r="O2631">
            <v>2430</v>
          </cell>
          <cell r="P2631">
            <v>43278</v>
          </cell>
          <cell r="Q2631" t="str">
            <v>AYUDA TEMPORAL A LAS FAMILIAS DE VARIAS LOCALIDADES, PARA LA RELOCALIZACIÓN DE HOGARES LOCALIZADOS EN ZONAS DE ALTO RIESGO NO MITIGABLE ID:2012-19-14130, LOCALIDAD:19 CIUDAD BOLÍVAR, UPZ:68 EL TESORO, SECTOR:QUEBRADA TROMPETA</v>
          </cell>
          <cell r="R2631">
            <v>2734347</v>
          </cell>
          <cell r="S2631">
            <v>0</v>
          </cell>
          <cell r="T2631">
            <v>0</v>
          </cell>
          <cell r="U2631">
            <v>2734347</v>
          </cell>
          <cell r="V2631">
            <v>781242</v>
          </cell>
        </row>
        <row r="2632">
          <cell r="J2632">
            <v>2248</v>
          </cell>
          <cell r="K2632">
            <v>43278</v>
          </cell>
          <cell r="L2632" t="str">
            <v>JOSE JOAQUIN MONROY RODRIGUEZ</v>
          </cell>
          <cell r="M2632">
            <v>31</v>
          </cell>
          <cell r="N2632" t="str">
            <v>RESOLUCION</v>
          </cell>
          <cell r="O2632">
            <v>2429</v>
          </cell>
          <cell r="P2632">
            <v>43278</v>
          </cell>
          <cell r="Q2632" t="str">
            <v>AYUDA TEMPORAL A LAS FAMILIAS DE VARIAS LOCALIDADES, PARA LA RELOCALIZACIÓN DE HOGARES LOCALIZADOS EN ZONAS DE ALTO RIESGO NO MITIGABLE ID:2013-4-14662, LOCALIDAD:04 SAN CRISTÓBAL, UPZ:32 SAN BLAS</v>
          </cell>
          <cell r="R2632">
            <v>4324509</v>
          </cell>
          <cell r="S2632">
            <v>0</v>
          </cell>
          <cell r="T2632">
            <v>0</v>
          </cell>
          <cell r="U2632">
            <v>4324509</v>
          </cell>
          <cell r="V2632">
            <v>961002</v>
          </cell>
        </row>
        <row r="2633">
          <cell r="J2633">
            <v>2249</v>
          </cell>
          <cell r="K2633">
            <v>43278</v>
          </cell>
          <cell r="L2633" t="str">
            <v>SANDRA PILAR GUAVITA GAITAN</v>
          </cell>
          <cell r="M2633">
            <v>31</v>
          </cell>
          <cell r="N2633" t="str">
            <v>RESOLUCION</v>
          </cell>
          <cell r="O2633">
            <v>2428</v>
          </cell>
          <cell r="P2633">
            <v>43278</v>
          </cell>
          <cell r="Q2633" t="str">
            <v>AYUDA TEMPORAL A LAS FAMILIAS DE VARIAS LOCALIDADES, PARA LA RELOCALIZACIÓN DE HOGARES LOCALIZADOS EN ZONAS DE ALTO RIESGO NO MITIGABLE ID:2010-5-11643, LOCALIDAD:05 USME, UPZ:57 GRAN YOMASA, SECTOR:OLA INVERNAL 2010 FOPAE</v>
          </cell>
          <cell r="R2633">
            <v>2582006</v>
          </cell>
          <cell r="S2633">
            <v>0</v>
          </cell>
          <cell r="T2633">
            <v>0</v>
          </cell>
          <cell r="U2633">
            <v>2582006</v>
          </cell>
          <cell r="V2633">
            <v>737716</v>
          </cell>
        </row>
        <row r="2634">
          <cell r="J2634">
            <v>2250</v>
          </cell>
          <cell r="K2634">
            <v>43278</v>
          </cell>
          <cell r="L2634" t="str">
            <v>ISABEL  GOMEZ JIMENEZ</v>
          </cell>
          <cell r="M2634">
            <v>31</v>
          </cell>
          <cell r="N2634" t="str">
            <v>RESOLUCION</v>
          </cell>
          <cell r="O2634">
            <v>2427</v>
          </cell>
          <cell r="P2634">
            <v>43278</v>
          </cell>
          <cell r="Q2634" t="str">
            <v>AYUDA TEMPORAL A LAS FAMILIAS DE VARIAS LOCALIDADES, PARA LA RELOCALIZACIÓN DE HOGARES LOCALIZADOS EN ZONAS DE ALTO RIESGO NO MITIGABLE ID:2012-ALES-227, LOCALIDAD:19 CIUDAD BOLÍVAR, UPZ:69 ISMAEL PERDOMO, SECTOR:ALTOS DE LA ESTANCIA</v>
          </cell>
          <cell r="R2634">
            <v>3382995</v>
          </cell>
          <cell r="S2634">
            <v>0</v>
          </cell>
          <cell r="T2634">
            <v>0</v>
          </cell>
          <cell r="U2634">
            <v>3382995</v>
          </cell>
          <cell r="V2634">
            <v>966570</v>
          </cell>
        </row>
        <row r="2635">
          <cell r="J2635">
            <v>2251</v>
          </cell>
          <cell r="K2635">
            <v>43279</v>
          </cell>
          <cell r="L2635" t="str">
            <v>HERMENCIA EMILIA CASTAÑEDA BERNAL</v>
          </cell>
          <cell r="M2635">
            <v>31</v>
          </cell>
          <cell r="N2635" t="str">
            <v>RESOLUCION</v>
          </cell>
          <cell r="O2635">
            <v>2643</v>
          </cell>
          <cell r="P2635">
            <v>43279</v>
          </cell>
          <cell r="Q2635" t="str">
            <v>AYUDA TEMPORAL A LAS FAMILIAS DE VARIAS LOCALIDADES, PARA LA RELOCALIZACIÓN DE HOGARES LOCALIZADOS EN ZONAS DE ALTO RIESGO NO MITIGABLE ID:2012-19-14070, LOCALIDAD:19 CIUDAD BOLÍVAR, UPZ:68 EL TESORO, SECTOR:QUEBRADA TROMPETA</v>
          </cell>
          <cell r="R2635">
            <v>3374280</v>
          </cell>
          <cell r="S2635">
            <v>0</v>
          </cell>
          <cell r="T2635">
            <v>0</v>
          </cell>
          <cell r="U2635">
            <v>3374280</v>
          </cell>
          <cell r="V2635">
            <v>964080</v>
          </cell>
        </row>
        <row r="2636">
          <cell r="J2636">
            <v>2252</v>
          </cell>
          <cell r="K2636">
            <v>43279</v>
          </cell>
          <cell r="L2636" t="str">
            <v>GLORIA CECILIA QUIMBAYO SUAREZ</v>
          </cell>
          <cell r="M2636">
            <v>31</v>
          </cell>
          <cell r="N2636" t="str">
            <v>RESOLUCION</v>
          </cell>
          <cell r="O2636">
            <v>2725</v>
          </cell>
          <cell r="P2636">
            <v>43279</v>
          </cell>
          <cell r="Q2636" t="str">
            <v>AYUDA TEMPORAL A LAS FAMILIAS DE VARIAS LOCALIDADES, PARA LA RELOCALIZACIÓN DE HOGARES LOCALIZADOS EN ZONAS DE ALTO RIESGO NO MITIGABLE ID:2003-19-4618, LOCALIDAD:19 CIUDAD BOLÍVAR, UPZ:69 ISMAEL PERDOMO, SECTOR:ALTOS DE LA ESTANCIA</v>
          </cell>
          <cell r="R2636">
            <v>2845920</v>
          </cell>
          <cell r="S2636">
            <v>0</v>
          </cell>
          <cell r="T2636">
            <v>0</v>
          </cell>
          <cell r="U2636">
            <v>2845920</v>
          </cell>
          <cell r="V2636">
            <v>813120</v>
          </cell>
        </row>
        <row r="2637">
          <cell r="J2637">
            <v>2253</v>
          </cell>
          <cell r="K2637">
            <v>43279</v>
          </cell>
          <cell r="L2637" t="str">
            <v>NELIDA MARTHA CASTILLO HERNANDEZ</v>
          </cell>
          <cell r="M2637">
            <v>31</v>
          </cell>
          <cell r="N2637" t="str">
            <v>RESOLUCION</v>
          </cell>
          <cell r="O2637">
            <v>2724</v>
          </cell>
          <cell r="P2637">
            <v>43279</v>
          </cell>
          <cell r="Q2637" t="str">
            <v>AYUDA TEMPORAL A LAS FAMILIAS DE VARIAS LOCALIDADES, PARA LA RELOCALIZACIÓN DE HOGARES LOCALIZADOS EN ZONAS DE ALTO RIESGO NO MITIGABLE ID:2011-18-12496, LOCALIDAD:18 RAFAEL URIBE URIBE, UPZ:53 MARCO FIDEL SUÁREZ, SECTOR:OLA INVERNAL 2010 FOPAE</v>
          </cell>
          <cell r="R2637">
            <v>3100419</v>
          </cell>
          <cell r="S2637">
            <v>0</v>
          </cell>
          <cell r="T2637">
            <v>0</v>
          </cell>
          <cell r="U2637">
            <v>3100419</v>
          </cell>
          <cell r="V2637">
            <v>885834</v>
          </cell>
        </row>
        <row r="2638">
          <cell r="J2638">
            <v>2254</v>
          </cell>
          <cell r="K2638">
            <v>43279</v>
          </cell>
          <cell r="L2638" t="str">
            <v>ANADELIA  MELO JOYA</v>
          </cell>
          <cell r="M2638">
            <v>31</v>
          </cell>
          <cell r="N2638" t="str">
            <v>RESOLUCION</v>
          </cell>
          <cell r="O2638">
            <v>2723</v>
          </cell>
          <cell r="P2638">
            <v>43279</v>
          </cell>
          <cell r="Q2638" t="str">
            <v>AYUDA TEMPORAL A LAS FAMILIAS DE VARIAS LOCALIDADES, PARA LA RELOCALIZACIÓN DE HOGARES LOCALIZADOS EN ZONAS DE ALTO RIESGO NO MITIGABLE ID:2003-19-5220, LOCALIDAD:19 CIUDAD BOLÍVAR, UPZ:69 ISMAEL PERDOMO, SECTOR:ALTOS DE LA ESTANCIA</v>
          </cell>
          <cell r="R2638">
            <v>2883006</v>
          </cell>
          <cell r="S2638">
            <v>2883006</v>
          </cell>
          <cell r="T2638">
            <v>0</v>
          </cell>
          <cell r="U2638">
            <v>0</v>
          </cell>
          <cell r="V2638">
            <v>0</v>
          </cell>
        </row>
        <row r="2639">
          <cell r="J2639">
            <v>2255</v>
          </cell>
          <cell r="K2639">
            <v>43279</v>
          </cell>
          <cell r="L2639" t="str">
            <v>LUZ DARY VIRVIESCAS SANCHEZ</v>
          </cell>
          <cell r="M2639">
            <v>31</v>
          </cell>
          <cell r="N2639" t="str">
            <v>RESOLUCION</v>
          </cell>
          <cell r="O2639">
            <v>2722</v>
          </cell>
          <cell r="P2639">
            <v>43279</v>
          </cell>
          <cell r="Q2639" t="str">
            <v>AYUDA TEMPORAL A LAS FAMILIAS DE VARIAS LOCALIDADES, PARA LA RELOCALIZACIÓN DE HOGARES LOCALIZADOS EN ZONAS DE ALTO RIESGO NO MITIGABLE ID:2011-19-12751, LOCALIDAD:19 CIUDAD BOLÍVAR, UPZ:68 EL TESORO, SECTOR:QUEBRADA EL INFIERNO</v>
          </cell>
          <cell r="R2639">
            <v>2845920</v>
          </cell>
          <cell r="S2639">
            <v>0</v>
          </cell>
          <cell r="T2639">
            <v>0</v>
          </cell>
          <cell r="U2639">
            <v>2845920</v>
          </cell>
          <cell r="V2639">
            <v>813120</v>
          </cell>
        </row>
        <row r="2640">
          <cell r="J2640">
            <v>2256</v>
          </cell>
          <cell r="K2640">
            <v>43279</v>
          </cell>
          <cell r="L2640" t="str">
            <v>MARCELINA  VARGAS GONZALEZ</v>
          </cell>
          <cell r="M2640">
            <v>31</v>
          </cell>
          <cell r="N2640" t="str">
            <v>RESOLUCION</v>
          </cell>
          <cell r="O2640">
            <v>2721</v>
          </cell>
          <cell r="P2640">
            <v>43279</v>
          </cell>
          <cell r="Q2640" t="str">
            <v>AYUDA TEMPORAL A LAS FAMILIAS DE VARIAS LOCALIDADES, PARA LA RELOCALIZACIÓN DE HOGARES LOCALIZADOS EN ZONAS DE ALTO RIESGO NO MITIGABLE ID:2005-19-5791, LOCALIDAD:19 CIUDAD BOLÍVAR, UPZ:67 LUCERO, SECTOR:LIMAS</v>
          </cell>
          <cell r="R2640">
            <v>3563175</v>
          </cell>
          <cell r="S2640">
            <v>0</v>
          </cell>
          <cell r="T2640">
            <v>0</v>
          </cell>
          <cell r="U2640">
            <v>3563175</v>
          </cell>
          <cell r="V2640">
            <v>1018050</v>
          </cell>
        </row>
        <row r="2641">
          <cell r="J2641">
            <v>2257</v>
          </cell>
          <cell r="K2641">
            <v>43279</v>
          </cell>
          <cell r="L2641" t="str">
            <v>CAMPO ELIAS VELASCO DUARTE</v>
          </cell>
          <cell r="M2641">
            <v>31</v>
          </cell>
          <cell r="N2641" t="str">
            <v>RESOLUCION</v>
          </cell>
          <cell r="O2641">
            <v>2671</v>
          </cell>
          <cell r="P2641">
            <v>43279</v>
          </cell>
          <cell r="Q2641" t="str">
            <v>AYUDA TEMPORAL A LAS FAMILIAS DE VARIAS LOCALIDADES, PARA LA RELOCALIZACIÓN DE HOGARES LOCALIZADOS EN ZONAS DE ALTO RIESGO NO MITIGABLE ID:2014-OTR-01213, LOCALIDAD:11 SUBA, UPZ:71 TIBABUYES, SECTOR:GAVILANES</v>
          </cell>
          <cell r="R2641">
            <v>3017000</v>
          </cell>
          <cell r="S2641">
            <v>0</v>
          </cell>
          <cell r="T2641">
            <v>0</v>
          </cell>
          <cell r="U2641">
            <v>3017000</v>
          </cell>
          <cell r="V2641">
            <v>862000</v>
          </cell>
        </row>
        <row r="2642">
          <cell r="J2642">
            <v>2258</v>
          </cell>
          <cell r="K2642">
            <v>43279</v>
          </cell>
          <cell r="L2642" t="str">
            <v>EDGAR GERMAN LEON HERNANDEZ</v>
          </cell>
          <cell r="M2642">
            <v>31</v>
          </cell>
          <cell r="N2642" t="str">
            <v>RESOLUCION</v>
          </cell>
          <cell r="O2642">
            <v>2720</v>
          </cell>
          <cell r="P2642">
            <v>43279</v>
          </cell>
          <cell r="Q2642" t="str">
            <v>AYUDA TEMPORAL A LAS FAMILIAS DE VARIAS LOCALIDADES, PARA LA RELOCALIZACIÓN DE HOGARES LOCALIZADOS EN ZONAS DE ALTO RIESGO NO MITIGABLE ID:2011-19-13539, LOCALIDAD:19 CIUDAD BOLÍVAR, UPZ:68 EL TESORO</v>
          </cell>
          <cell r="R2642">
            <v>2582006</v>
          </cell>
          <cell r="S2642">
            <v>0</v>
          </cell>
          <cell r="T2642">
            <v>0</v>
          </cell>
          <cell r="U2642">
            <v>2582006</v>
          </cell>
          <cell r="V2642">
            <v>368858</v>
          </cell>
        </row>
        <row r="2643">
          <cell r="J2643">
            <v>2259</v>
          </cell>
          <cell r="K2643">
            <v>43279</v>
          </cell>
          <cell r="L2643" t="str">
            <v>MYRIAM JACQUELINE ABRIL CRUZ</v>
          </cell>
          <cell r="M2643">
            <v>31</v>
          </cell>
          <cell r="N2643" t="str">
            <v>RESOLUCION</v>
          </cell>
          <cell r="O2643">
            <v>2719</v>
          </cell>
          <cell r="P2643">
            <v>43279</v>
          </cell>
          <cell r="Q2643" t="str">
            <v>AYUDA TEMPORAL A LAS FAMILIAS DE VARIAS LOCALIDADES, PARA LA RELOCALIZACIÓN DE HOGARES LOCALIZADOS EN ZONAS DE ALTO RIESGO NO MITIGABLE ID:2012-18-14319, LOCALIDAD:18 RAFAEL URIBE URIBE, UPZ:55 DIANA TURBAY</v>
          </cell>
          <cell r="R2643">
            <v>3094182</v>
          </cell>
          <cell r="S2643">
            <v>0</v>
          </cell>
          <cell r="T2643">
            <v>0</v>
          </cell>
          <cell r="U2643">
            <v>3094182</v>
          </cell>
          <cell r="V2643">
            <v>442026</v>
          </cell>
        </row>
        <row r="2644">
          <cell r="J2644">
            <v>2260</v>
          </cell>
          <cell r="K2644">
            <v>43279</v>
          </cell>
          <cell r="L2644" t="str">
            <v>MARIA EMILIA CELY SANCHEZ</v>
          </cell>
          <cell r="M2644">
            <v>31</v>
          </cell>
          <cell r="N2644" t="str">
            <v>RESOLUCION</v>
          </cell>
          <cell r="O2644">
            <v>2718</v>
          </cell>
          <cell r="P2644">
            <v>43279</v>
          </cell>
          <cell r="Q2644" t="str">
            <v>AYUDA TEMPORAL A LAS FAMILIAS DE VARIAS LOCALIDADES, PARA LA RELOCALIZACIÓN DE HOGARES LOCALIZADOS EN ZONAS DE ALTO RIESGO NO MITIGABLE ID:2011-4-12634, LOCALIDAD:04 SAN CRISTÓBAL, UPZ:32 SAN BLAS</v>
          </cell>
          <cell r="R2644">
            <v>2796906</v>
          </cell>
          <cell r="S2644">
            <v>0</v>
          </cell>
          <cell r="T2644">
            <v>0</v>
          </cell>
          <cell r="U2644">
            <v>2796906</v>
          </cell>
          <cell r="V2644">
            <v>799116</v>
          </cell>
        </row>
        <row r="2645">
          <cell r="J2645">
            <v>2261</v>
          </cell>
          <cell r="K2645">
            <v>43279</v>
          </cell>
          <cell r="L2645" t="str">
            <v>JOSE DE LOS SANTOS RIOS SALGADO</v>
          </cell>
          <cell r="M2645">
            <v>31</v>
          </cell>
          <cell r="N2645" t="str">
            <v>RESOLUCION</v>
          </cell>
          <cell r="O2645">
            <v>2642</v>
          </cell>
          <cell r="P2645">
            <v>43279</v>
          </cell>
          <cell r="Q2645" t="str">
            <v>AYUDA TEMPORAL A LAS FAMILIAS DE VARIAS LOCALIDADES, PARA LA RELOCALIZACIÓN DE HOGARES LOCALIZADOS EN ZONAS DE ALTO RIESGO NO MITIGABLE ID:2012-ALES-261, LOCALIDAD:19 CIUDAD BOLÍVAR, UPZ:69 ISMAEL PERDOMO, SECTOR:ALTOS DE LA ESTANCIA</v>
          </cell>
          <cell r="R2645">
            <v>3788778</v>
          </cell>
          <cell r="S2645">
            <v>0</v>
          </cell>
          <cell r="T2645">
            <v>0</v>
          </cell>
          <cell r="U2645">
            <v>3788778</v>
          </cell>
          <cell r="V2645">
            <v>1082508</v>
          </cell>
        </row>
        <row r="2646">
          <cell r="J2646">
            <v>2262</v>
          </cell>
          <cell r="K2646">
            <v>43279</v>
          </cell>
          <cell r="L2646" t="str">
            <v>ROSA MARIA MUÑOZ QUISABONI</v>
          </cell>
          <cell r="M2646">
            <v>31</v>
          </cell>
          <cell r="N2646" t="str">
            <v>RESOLUCION</v>
          </cell>
          <cell r="O2646">
            <v>2641</v>
          </cell>
          <cell r="P2646">
            <v>43279</v>
          </cell>
          <cell r="Q2646" t="str">
            <v>AYUDA TEMPORAL A LAS FAMILIAS DE VARIAS LOCALIDADES, PARA LA RELOCALIZACIÓN DE HOGARES LOCALIZADOS EN ZONAS DE ALTO RIESGO NO MITIGABLE ID:2012-18-14308, LOCALIDAD:18 RAFAEL URIBE URIBE, UPZ:55 DIANA TURBAY</v>
          </cell>
          <cell r="R2646">
            <v>3094175</v>
          </cell>
          <cell r="S2646">
            <v>0</v>
          </cell>
          <cell r="T2646">
            <v>0</v>
          </cell>
          <cell r="U2646">
            <v>3094175</v>
          </cell>
          <cell r="V2646">
            <v>884050</v>
          </cell>
        </row>
        <row r="2647">
          <cell r="J2647">
            <v>2263</v>
          </cell>
          <cell r="K2647">
            <v>43279</v>
          </cell>
          <cell r="L2647" t="str">
            <v>YANID ASTRID DIAZ MONTAÑEZ</v>
          </cell>
          <cell r="M2647">
            <v>31</v>
          </cell>
          <cell r="N2647" t="str">
            <v>RESOLUCION</v>
          </cell>
          <cell r="O2647">
            <v>2640</v>
          </cell>
          <cell r="P2647">
            <v>43279</v>
          </cell>
          <cell r="Q2647" t="str">
            <v>AYUDA TEMPORAL A LAS FAMILIAS DE VARIAS LOCALIDADES, PARA LA RELOCALIZACIÓN DE HOGARES LOCALIZADOS EN ZONAS DE ALTO RIESGO NO MITIGABLE ID:2011-4-12709, LOCALIDAD:04 SAN CRISTÓBAL, UPZ:32 SAN BLAS</v>
          </cell>
          <cell r="R2647">
            <v>2582006</v>
          </cell>
          <cell r="S2647">
            <v>0</v>
          </cell>
          <cell r="T2647">
            <v>0</v>
          </cell>
          <cell r="U2647">
            <v>2582006</v>
          </cell>
          <cell r="V2647">
            <v>737716</v>
          </cell>
        </row>
        <row r="2648">
          <cell r="J2648">
            <v>2264</v>
          </cell>
          <cell r="K2648">
            <v>43279</v>
          </cell>
          <cell r="L2648" t="str">
            <v>LUZ MARINA GARCIA</v>
          </cell>
          <cell r="M2648">
            <v>31</v>
          </cell>
          <cell r="N2648" t="str">
            <v>RESOLUCION</v>
          </cell>
          <cell r="O2648">
            <v>2639</v>
          </cell>
          <cell r="P2648">
            <v>43279</v>
          </cell>
          <cell r="Q2648" t="str">
            <v>AYUDA TEMPORAL A LAS FAMILIAS DE VARIAS LOCALIDADES, PARA LA RELOCALIZACIÓN DE HOGARES LOCALIZADOS EN ZONAS DE ALTO RIESGO NO MITIGABLE ID:2011-5-13414, LOCALIDAD:05 USME, UPZ:58 COMUNEROS</v>
          </cell>
          <cell r="R2648">
            <v>3363360</v>
          </cell>
          <cell r="S2648">
            <v>0</v>
          </cell>
          <cell r="T2648">
            <v>0</v>
          </cell>
          <cell r="U2648">
            <v>3363360</v>
          </cell>
          <cell r="V2648">
            <v>960960</v>
          </cell>
        </row>
        <row r="2649">
          <cell r="J2649">
            <v>2265</v>
          </cell>
          <cell r="K2649">
            <v>43279</v>
          </cell>
          <cell r="L2649" t="str">
            <v>DORIS  DIAZ CASTILLO</v>
          </cell>
          <cell r="M2649">
            <v>31</v>
          </cell>
          <cell r="N2649" t="str">
            <v>RESOLUCION</v>
          </cell>
          <cell r="O2649">
            <v>2638</v>
          </cell>
          <cell r="P2649">
            <v>43279</v>
          </cell>
          <cell r="Q2649" t="str">
            <v>AYUDA TEMPORAL A LAS FAMILIAS DE VARIAS LOCALIDADES, PARA LA RELOCALIZACIÓN DE HOGARES LOCALIZADOS EN ZONAS DE ALTO RIESGO NO MITIGABLE ID:2011-4-12721, LOCALIDAD:04 SAN CRISTÓBAL, UPZ:32 SAN BLAS</v>
          </cell>
          <cell r="R2649">
            <v>2530367</v>
          </cell>
          <cell r="S2649">
            <v>0</v>
          </cell>
          <cell r="T2649">
            <v>0</v>
          </cell>
          <cell r="U2649">
            <v>2530367</v>
          </cell>
          <cell r="V2649">
            <v>722962</v>
          </cell>
        </row>
        <row r="2650">
          <cell r="J2650">
            <v>2266</v>
          </cell>
          <cell r="K2650">
            <v>43279</v>
          </cell>
          <cell r="L2650" t="str">
            <v>JUAN CARLOS DUEÑAS HERNANDEZ</v>
          </cell>
          <cell r="M2650">
            <v>31</v>
          </cell>
          <cell r="N2650" t="str">
            <v>RESOLUCION</v>
          </cell>
          <cell r="O2650">
            <v>2637</v>
          </cell>
          <cell r="P2650">
            <v>43279</v>
          </cell>
          <cell r="Q2650" t="str">
            <v>AYUDA TEMPORAL A LAS FAMILIAS DE VARIAS LOCALIDADES, PARA LA RELOCALIZACIÓN DE HOGARES LOCALIZADOS EN ZONAS DE ALTO RIESGO NO MITIGABLE ID:2012-19-13977, LOCALIDAD:19 CIUDAD BOLÍVAR, UPZ:68 EL TESORO</v>
          </cell>
          <cell r="R2650">
            <v>3098410</v>
          </cell>
          <cell r="S2650">
            <v>0</v>
          </cell>
          <cell r="T2650">
            <v>0</v>
          </cell>
          <cell r="U2650">
            <v>3098410</v>
          </cell>
          <cell r="V2650">
            <v>885260</v>
          </cell>
        </row>
        <row r="2651">
          <cell r="J2651">
            <v>2267</v>
          </cell>
          <cell r="K2651">
            <v>43279</v>
          </cell>
          <cell r="L2651" t="str">
            <v>JONATHAN JULIAN GUZMAN RODRIGUEZ</v>
          </cell>
          <cell r="M2651">
            <v>31</v>
          </cell>
          <cell r="N2651" t="str">
            <v>RESOLUCION</v>
          </cell>
          <cell r="O2651">
            <v>2636</v>
          </cell>
          <cell r="P2651">
            <v>43279</v>
          </cell>
          <cell r="Q2651" t="str">
            <v>AYUDA TEMPORAL A LAS FAMILIAS DE VARIAS LOCALIDADES, PARA LA RELOCALIZACIÓN DE HOGARES LOCALIZADOS EN ZONAS DE ALTO RIESGO NO MITIGABLE ID:2013-Q04-00277, LOCALIDAD:19 CIUDAD BOLÍVAR, UPZ:67 LUCERO, SECTOR:PEÑA COLORADA</v>
          </cell>
          <cell r="R2651">
            <v>3046771</v>
          </cell>
          <cell r="S2651">
            <v>0</v>
          </cell>
          <cell r="T2651">
            <v>0</v>
          </cell>
          <cell r="U2651">
            <v>3046771</v>
          </cell>
          <cell r="V2651">
            <v>870506</v>
          </cell>
        </row>
        <row r="2652">
          <cell r="J2652">
            <v>2268</v>
          </cell>
          <cell r="K2652">
            <v>43279</v>
          </cell>
          <cell r="L2652" t="str">
            <v>NELSON  GALEANO CORZO</v>
          </cell>
          <cell r="M2652">
            <v>31</v>
          </cell>
          <cell r="N2652" t="str">
            <v>RESOLUCION</v>
          </cell>
          <cell r="O2652">
            <v>2635</v>
          </cell>
          <cell r="P2652">
            <v>43279</v>
          </cell>
          <cell r="Q2652" t="str">
            <v>AYUDA TEMPORAL A LAS FAMILIAS DE VARIAS LOCALIDADES, PARA LA RELOCALIZACIÓN DE HOGARES LOCALIZADOS EN ZONAS DE ALTO RIESGO NO MITIGABLE ID:2013-Q05-00054, LOCALIDAD:19 CIUDAD BOLÍVAR, UPZ:68 EL TESORO, SECTOR:QUEBRADA GALINDO</v>
          </cell>
          <cell r="R2652">
            <v>1947573</v>
          </cell>
          <cell r="S2652">
            <v>0</v>
          </cell>
          <cell r="T2652">
            <v>0</v>
          </cell>
          <cell r="U2652">
            <v>1947573</v>
          </cell>
          <cell r="V2652">
            <v>1298382</v>
          </cell>
        </row>
        <row r="2653">
          <cell r="J2653">
            <v>2269</v>
          </cell>
          <cell r="K2653">
            <v>43279</v>
          </cell>
          <cell r="L2653" t="str">
            <v>ADOLFO  DAZA CAMARGO</v>
          </cell>
          <cell r="M2653">
            <v>31</v>
          </cell>
          <cell r="N2653" t="str">
            <v>RESOLUCION</v>
          </cell>
          <cell r="O2653">
            <v>2717</v>
          </cell>
          <cell r="P2653">
            <v>43279</v>
          </cell>
          <cell r="Q2653" t="str">
            <v>AYUDA TEMPORAL A LAS FAMILIAS DE VARIAS LOCALIDADES, PARA LA RELOCALIZACIÓN DE HOGARES LOCALIZADOS EN ZONAS DE ALTO RIESGO NO MITIGABLE ID:2013-Q21-00671, LOCALIDAD:19 CIUDAD BOLÍVAR, UPZ:67 LUCERO, SECTOR:BRAZO DERECHO DE LIMAS</v>
          </cell>
          <cell r="R2653">
            <v>2734347</v>
          </cell>
          <cell r="S2653">
            <v>0</v>
          </cell>
          <cell r="T2653">
            <v>0</v>
          </cell>
          <cell r="U2653">
            <v>2734347</v>
          </cell>
          <cell r="V2653">
            <v>781242</v>
          </cell>
        </row>
        <row r="2654">
          <cell r="J2654">
            <v>2270</v>
          </cell>
          <cell r="K2654">
            <v>43279</v>
          </cell>
          <cell r="L2654" t="str">
            <v>INGRID YULIET BARRAGAN CARVAJAL</v>
          </cell>
          <cell r="M2654">
            <v>31</v>
          </cell>
          <cell r="N2654" t="str">
            <v>RESOLUCION</v>
          </cell>
          <cell r="O2654">
            <v>2634</v>
          </cell>
          <cell r="P2654">
            <v>43279</v>
          </cell>
          <cell r="Q2654" t="str">
            <v>AYUDA TEMPORAL A LAS FAMILIAS DE VARIAS LOCALIDADES, PARA LA RELOCALIZACIÓN DE HOGARES LOCALIZADOS EN ZONAS DE ALTO RIESGO NO MITIGABLE ID:2014-LC-00792, LOCALIDAD:19 CIUDAD BOLÍVAR, UPZ:69 ISMAEL PERDOMO</v>
          </cell>
          <cell r="R2654">
            <v>2846620</v>
          </cell>
          <cell r="S2654">
            <v>0</v>
          </cell>
          <cell r="T2654">
            <v>0</v>
          </cell>
          <cell r="U2654">
            <v>2846620</v>
          </cell>
          <cell r="V2654">
            <v>813320</v>
          </cell>
        </row>
        <row r="2655">
          <cell r="J2655">
            <v>2271</v>
          </cell>
          <cell r="K2655">
            <v>43279</v>
          </cell>
          <cell r="L2655" t="str">
            <v>MARIA DANIELA MORTIGO BOCANEGRA</v>
          </cell>
          <cell r="M2655">
            <v>31</v>
          </cell>
          <cell r="N2655" t="str">
            <v>RESOLUCION</v>
          </cell>
          <cell r="O2655">
            <v>2716</v>
          </cell>
          <cell r="P2655">
            <v>43279</v>
          </cell>
          <cell r="Q2655" t="str">
            <v>AYUDA TEMPORAL A LAS FAMILIAS DE VARIAS LOCALIDADES, PARA LA RELOCALIZACIÓN DE HOGARES LOCALIZADOS EN ZONAS DE ALTO RIESGO NO MITIGABLE ID:2011-18-13337, LOCALIDAD:18 RAFAEL URIBE URIBE, UPZ:54 MARRUECOS</v>
          </cell>
          <cell r="R2655">
            <v>914770</v>
          </cell>
          <cell r="S2655">
            <v>0</v>
          </cell>
          <cell r="T2655">
            <v>0</v>
          </cell>
          <cell r="U2655">
            <v>914770</v>
          </cell>
          <cell r="V2655">
            <v>457385</v>
          </cell>
        </row>
        <row r="2656">
          <cell r="J2656">
            <v>2272</v>
          </cell>
          <cell r="K2656">
            <v>43279</v>
          </cell>
          <cell r="L2656" t="str">
            <v>ANA MARIA JIMENEZ MARTINEZ</v>
          </cell>
          <cell r="M2656">
            <v>31</v>
          </cell>
          <cell r="N2656" t="str">
            <v>RESOLUCION</v>
          </cell>
          <cell r="O2656">
            <v>2633</v>
          </cell>
          <cell r="P2656">
            <v>43279</v>
          </cell>
          <cell r="Q2656" t="str">
            <v>AYUDA TEMPORAL A LAS FAMILIAS DE VARIAS LOCALIDADES, PARA LA RELOCALIZACIÓN DE HOGARES LOCALIZADOS EN ZONAS DE ALTO RIESGO NO MITIGABLE ID:2013-4-14643, LOCALIDAD:04 SAN CRISTÓBAL, UPZ:32 SAN BLAS</v>
          </cell>
          <cell r="R2656">
            <v>3619000</v>
          </cell>
          <cell r="S2656">
            <v>0</v>
          </cell>
          <cell r="T2656">
            <v>0</v>
          </cell>
          <cell r="U2656">
            <v>3619000</v>
          </cell>
          <cell r="V2656">
            <v>1034000</v>
          </cell>
        </row>
        <row r="2657">
          <cell r="J2657">
            <v>2273</v>
          </cell>
          <cell r="K2657">
            <v>43279</v>
          </cell>
          <cell r="L2657" t="str">
            <v>JOEL ANTONIO VARELA LUGO</v>
          </cell>
          <cell r="M2657">
            <v>31</v>
          </cell>
          <cell r="N2657" t="str">
            <v>RESOLUCION</v>
          </cell>
          <cell r="O2657">
            <v>2632</v>
          </cell>
          <cell r="P2657">
            <v>43279</v>
          </cell>
          <cell r="Q2657" t="str">
            <v>AYUDA TEMPORAL A LAS FAMILIAS DE VARIAS LOCALIDADES, PARA LA RELOCALIZACIÓN DE HOGARES LOCALIZADOS EN ZONAS DE ALTO RIESGO NO MITIGABLE ID:2012-T314-16, LOCALIDAD:04 SAN CRISTÓBAL, UPZ:50 LA GLORIA</v>
          </cell>
          <cell r="R2657">
            <v>2723490</v>
          </cell>
          <cell r="S2657">
            <v>0</v>
          </cell>
          <cell r="T2657">
            <v>0</v>
          </cell>
          <cell r="U2657">
            <v>2723490</v>
          </cell>
          <cell r="V2657">
            <v>778140</v>
          </cell>
        </row>
        <row r="2658">
          <cell r="J2658">
            <v>2274</v>
          </cell>
          <cell r="K2658">
            <v>43279</v>
          </cell>
          <cell r="L2658" t="str">
            <v>NELSON  BERMUDEZ RAMIREZ</v>
          </cell>
          <cell r="M2658">
            <v>31</v>
          </cell>
          <cell r="N2658" t="str">
            <v>RESOLUCION</v>
          </cell>
          <cell r="O2658">
            <v>2715</v>
          </cell>
          <cell r="P2658">
            <v>43279</v>
          </cell>
          <cell r="Q2658" t="str">
            <v>AYUDA TEMPORAL A LAS FAMILIAS DE VARIAS LOCALIDADES, PARA LA RELOCALIZACIÓN DE HOGARES LOCALIZADOS EN ZONAS DE ALTO RIESGO NO MITIGABLE ID:2011-4-12636, LOCALIDAD:04 SAN CRISTÓBAL, UPZ:32 SAN BLAS</v>
          </cell>
          <cell r="R2658">
            <v>3022327</v>
          </cell>
          <cell r="S2658">
            <v>0</v>
          </cell>
          <cell r="T2658">
            <v>0</v>
          </cell>
          <cell r="U2658">
            <v>3022327</v>
          </cell>
          <cell r="V2658">
            <v>863522</v>
          </cell>
        </row>
        <row r="2659">
          <cell r="J2659">
            <v>2275</v>
          </cell>
          <cell r="K2659">
            <v>43279</v>
          </cell>
          <cell r="L2659" t="str">
            <v>BLANCA CONSUELO BEJARANO</v>
          </cell>
          <cell r="M2659">
            <v>31</v>
          </cell>
          <cell r="N2659" t="str">
            <v>RESOLUCION</v>
          </cell>
          <cell r="O2659">
            <v>2714</v>
          </cell>
          <cell r="P2659">
            <v>43279</v>
          </cell>
          <cell r="Q2659" t="str">
            <v>AYUDA TEMPORAL A LAS FAMILIAS DE VARIAS LOCALIDADES, PARA LA RELOCALIZACIÓN DE HOGARES LOCALIZADOS EN ZONAS DE ALTO RIESGO NO MITIGABLE ID:2005-4-6465, LOCALIDAD:04 SAN CRISTÓBAL, UPZ:51 LOS LIBERTADORES</v>
          </cell>
          <cell r="R2659">
            <v>2582006</v>
          </cell>
          <cell r="S2659">
            <v>0</v>
          </cell>
          <cell r="T2659">
            <v>0</v>
          </cell>
          <cell r="U2659">
            <v>2582006</v>
          </cell>
          <cell r="V2659">
            <v>737716</v>
          </cell>
        </row>
        <row r="2660">
          <cell r="J2660">
            <v>2276</v>
          </cell>
          <cell r="K2660">
            <v>43279</v>
          </cell>
          <cell r="L2660" t="str">
            <v>JAIME ORLANDO CHECA MORA</v>
          </cell>
          <cell r="M2660">
            <v>31</v>
          </cell>
          <cell r="N2660" t="str">
            <v>RESOLUCION</v>
          </cell>
          <cell r="O2660">
            <v>2631</v>
          </cell>
          <cell r="P2660">
            <v>43279</v>
          </cell>
          <cell r="Q2660" t="str">
            <v>AYUDA TEMPORAL A LAS FAMILIAS DE VARIAS LOCALIDADES, PARA LA RELOCALIZACIÓN DE HOGARES LOCALIZADOS EN ZONAS DE ALTO RIESGO NO MITIGABLE ID:2011-4-13653, LOCALIDAD:04 SAN CRISTÓBAL, UPZ:34 20 DE JULIO</v>
          </cell>
          <cell r="R2660">
            <v>2943493</v>
          </cell>
          <cell r="S2660">
            <v>0</v>
          </cell>
          <cell r="T2660">
            <v>0</v>
          </cell>
          <cell r="U2660">
            <v>2943493</v>
          </cell>
          <cell r="V2660">
            <v>840998</v>
          </cell>
        </row>
        <row r="2661">
          <cell r="J2661">
            <v>2277</v>
          </cell>
          <cell r="K2661">
            <v>43279</v>
          </cell>
          <cell r="L2661" t="str">
            <v>LUZ MARINA MESA MOLINA</v>
          </cell>
          <cell r="M2661">
            <v>31</v>
          </cell>
          <cell r="N2661" t="str">
            <v>RESOLUCION</v>
          </cell>
          <cell r="O2661">
            <v>2713</v>
          </cell>
          <cell r="P2661">
            <v>43279</v>
          </cell>
          <cell r="Q2661" t="str">
            <v>AYUDA TEMPORAL A LAS FAMILIAS DE VARIAS LOCALIDADES, PARA LA RELOCALIZACIÓN DE HOGARES LOCALIZADOS EN ZONAS DE ALTO RIESGO NO MITIGABLE ID:2007-4-10615, LOCALIDAD:04 SAN CRISTÓBAL, UPZ:34 20 DE JULIO</v>
          </cell>
          <cell r="R2661">
            <v>3201695</v>
          </cell>
          <cell r="S2661">
            <v>0</v>
          </cell>
          <cell r="T2661">
            <v>0</v>
          </cell>
          <cell r="U2661">
            <v>3201695</v>
          </cell>
          <cell r="V2661">
            <v>914770</v>
          </cell>
        </row>
        <row r="2662">
          <cell r="J2662">
            <v>2278</v>
          </cell>
          <cell r="K2662">
            <v>43279</v>
          </cell>
          <cell r="L2662" t="str">
            <v>ORFA MARIA MURCIA GUZMAN</v>
          </cell>
          <cell r="M2662">
            <v>31</v>
          </cell>
          <cell r="N2662" t="str">
            <v>RESOLUCION</v>
          </cell>
          <cell r="O2662">
            <v>2630</v>
          </cell>
          <cell r="P2662">
            <v>43279</v>
          </cell>
          <cell r="Q2662" t="str">
            <v>AYUDA TEMPORAL A LAS FAMILIAS DE VARIAS LOCALIDADES, PARA LA RELOCALIZACIÓN DE HOGARES LOCALIZADOS EN ZONAS DE ALTO RIESGO NO MITIGABLE ID:2013-Q21-00634, LOCALIDAD:19 CIUDAD BOLÍVAR, UPZ:67 LUCERO, SECTOR:BRAZO DERECHO DE LIMAS</v>
          </cell>
          <cell r="R2662">
            <v>2788569</v>
          </cell>
          <cell r="S2662">
            <v>0</v>
          </cell>
          <cell r="T2662">
            <v>0</v>
          </cell>
          <cell r="U2662">
            <v>2788569</v>
          </cell>
          <cell r="V2662">
            <v>796734</v>
          </cell>
        </row>
        <row r="2663">
          <cell r="J2663">
            <v>2279</v>
          </cell>
          <cell r="K2663">
            <v>43279</v>
          </cell>
          <cell r="L2663" t="str">
            <v>MARTHA CECILIA LASSO MACHADO</v>
          </cell>
          <cell r="M2663">
            <v>31</v>
          </cell>
          <cell r="N2663" t="str">
            <v>RESOLUCION</v>
          </cell>
          <cell r="O2663">
            <v>2712</v>
          </cell>
          <cell r="P2663">
            <v>43279</v>
          </cell>
          <cell r="Q2663" t="str">
            <v>AYUDA TEMPORAL A LAS FAMILIAS DE VARIAS LOCALIDADES, PARA LA RELOCALIZACIÓN DE HOGARES LOCALIZADOS EN ZONAS DE ALTO RIESGO NO MITIGABLE ID:2011-19-12867, LOCALIDAD:19 CIUDAD BOLÍVAR, UPZ:67 LUCERO</v>
          </cell>
          <cell r="R2663">
            <v>2924376</v>
          </cell>
          <cell r="S2663">
            <v>0</v>
          </cell>
          <cell r="T2663">
            <v>0</v>
          </cell>
          <cell r="U2663">
            <v>2924376</v>
          </cell>
          <cell r="V2663">
            <v>417768</v>
          </cell>
        </row>
        <row r="2664">
          <cell r="J2664">
            <v>2280</v>
          </cell>
          <cell r="K2664">
            <v>43279</v>
          </cell>
          <cell r="L2664" t="str">
            <v>LUIS CARLOS COY GUIO</v>
          </cell>
          <cell r="M2664">
            <v>31</v>
          </cell>
          <cell r="N2664" t="str">
            <v>RESOLUCION</v>
          </cell>
          <cell r="O2664">
            <v>2711</v>
          </cell>
          <cell r="P2664">
            <v>43279</v>
          </cell>
          <cell r="Q2664" t="str">
            <v>AYUDA TEMPORAL A LAS FAMILIAS DE VARIAS LOCALIDADES, PARA LA RELOCALIZACIÓN DE HOGARES LOCALIZADOS EN ZONAS DE ALTO RIESGO NO MITIGABLE ID:2011-4-12631, LOCALIDAD:04 SAN CRISTÓBAL, UPZ:32 SAN BLAS</v>
          </cell>
          <cell r="R2664">
            <v>2661239</v>
          </cell>
          <cell r="S2664">
            <v>0</v>
          </cell>
          <cell r="T2664">
            <v>0</v>
          </cell>
          <cell r="U2664">
            <v>2661239</v>
          </cell>
          <cell r="V2664">
            <v>760354</v>
          </cell>
        </row>
        <row r="2665">
          <cell r="J2665">
            <v>2281</v>
          </cell>
          <cell r="K2665">
            <v>43279</v>
          </cell>
          <cell r="L2665" t="str">
            <v>RUBELIA  JARAMILLO ATEHORTUA</v>
          </cell>
          <cell r="M2665">
            <v>31</v>
          </cell>
          <cell r="N2665" t="str">
            <v>RESOLUCION</v>
          </cell>
          <cell r="O2665">
            <v>2710</v>
          </cell>
          <cell r="P2665">
            <v>43279</v>
          </cell>
          <cell r="Q2665" t="str">
            <v>AYUDA TEMPORAL A LAS FAMILIAS DE VARIAS LOCALIDADES, PARA LA RELOCALIZACIÓN DE HOGARES LOCALIZADOS EN ZONAS DE ALTO RIESGO NO MITIGABLE ID:2014-C01-00687, LOCALIDAD:19 CIUDAD BOLÍVAR, UPZ:68 EL TESORO</v>
          </cell>
          <cell r="R2665">
            <v>2846046</v>
          </cell>
          <cell r="S2665">
            <v>0</v>
          </cell>
          <cell r="T2665">
            <v>0</v>
          </cell>
          <cell r="U2665">
            <v>2846046</v>
          </cell>
          <cell r="V2665">
            <v>813156</v>
          </cell>
        </row>
        <row r="2666">
          <cell r="J2666">
            <v>2282</v>
          </cell>
          <cell r="K2666">
            <v>43279</v>
          </cell>
          <cell r="L2666" t="str">
            <v>SANDRA PATRICIA ADAN</v>
          </cell>
          <cell r="M2666">
            <v>31</v>
          </cell>
          <cell r="N2666" t="str">
            <v>RESOLUCION</v>
          </cell>
          <cell r="O2666">
            <v>2709</v>
          </cell>
          <cell r="P2666">
            <v>43279</v>
          </cell>
          <cell r="Q2666" t="str">
            <v>AYUDA TEMPORAL A LAS FAMILIAS DE VARIAS LOCALIDADES, PARA LA RELOCALIZACIÓN DE HOGARES LOCALIZADOS EN ZONAS DE ALTO RIESGO NO MITIGABLE ID:2014-OTR-00870, LOCALIDAD:03 SANTA FE, UPZ:96 LOURDES, SECTOR:CASA 1</v>
          </cell>
          <cell r="R2666">
            <v>3606526</v>
          </cell>
          <cell r="S2666">
            <v>0</v>
          </cell>
          <cell r="T2666">
            <v>0</v>
          </cell>
          <cell r="U2666">
            <v>3606526</v>
          </cell>
          <cell r="V2666">
            <v>1030436</v>
          </cell>
        </row>
        <row r="2667">
          <cell r="J2667">
            <v>2283</v>
          </cell>
          <cell r="K2667">
            <v>43279</v>
          </cell>
          <cell r="L2667" t="str">
            <v>MANUEL LIBARDO ARIAS MARQUEZ</v>
          </cell>
          <cell r="M2667">
            <v>31</v>
          </cell>
          <cell r="N2667" t="str">
            <v>RESOLUCION</v>
          </cell>
          <cell r="O2667">
            <v>2698</v>
          </cell>
          <cell r="P2667">
            <v>43279</v>
          </cell>
          <cell r="Q2667" t="str">
            <v>AYUDA TEMPORAL A LAS FAMILIAS DE VARIAS LOCALIDADES, PARA LA RELOCALIZACIÓN DE HOGARES LOCALIZADOS EN ZONAS DE ALTO RIESGO NO MITIGABLE ID:2007-19-9702, LOCALIDAD:19 CIUDAD BOLÍVAR, UPZ:69 ISMAEL PERDOMO</v>
          </cell>
          <cell r="R2667">
            <v>2582006</v>
          </cell>
          <cell r="S2667">
            <v>0</v>
          </cell>
          <cell r="T2667">
            <v>0</v>
          </cell>
          <cell r="U2667">
            <v>2582006</v>
          </cell>
          <cell r="V2667">
            <v>737716</v>
          </cell>
        </row>
        <row r="2668">
          <cell r="J2668">
            <v>2284</v>
          </cell>
          <cell r="K2668">
            <v>43279</v>
          </cell>
          <cell r="L2668" t="str">
            <v>ELVIRA  FAJARDO</v>
          </cell>
          <cell r="M2668">
            <v>31</v>
          </cell>
          <cell r="N2668" t="str">
            <v>RESOLUCION</v>
          </cell>
          <cell r="O2668">
            <v>2697</v>
          </cell>
          <cell r="P2668">
            <v>43279</v>
          </cell>
          <cell r="Q2668" t="str">
            <v>AYUDA TEMPORAL A LAS FAMILIAS DE VARIAS LOCALIDADES, PARA LA RELOCALIZACIÓN DE HOGARES LOCALIZADOS EN ZONAS DE ALTO RIESGO NO MITIGABLE ID:2013000529, LOCALIDAD:19 CIUDAD BOLÍVAR, UPZ:67 LUCERO, SECTOR:BRAZO DERECHO DE LIMAS</v>
          </cell>
          <cell r="R2668">
            <v>3773399</v>
          </cell>
          <cell r="S2668">
            <v>0</v>
          </cell>
          <cell r="T2668">
            <v>0</v>
          </cell>
          <cell r="U2668">
            <v>3773399</v>
          </cell>
          <cell r="V2668">
            <v>1078114</v>
          </cell>
        </row>
        <row r="2669">
          <cell r="J2669">
            <v>2285</v>
          </cell>
          <cell r="K2669">
            <v>43279</v>
          </cell>
          <cell r="L2669" t="str">
            <v>ANA MILENA JIMENEZ VARGAS</v>
          </cell>
          <cell r="M2669">
            <v>31</v>
          </cell>
          <cell r="N2669" t="str">
            <v>RESOLUCION</v>
          </cell>
          <cell r="O2669">
            <v>2708</v>
          </cell>
          <cell r="P2669">
            <v>43279</v>
          </cell>
          <cell r="Q2669" t="str">
            <v>AYUDA TEMPORAL A LAS FAMILIAS DE VARIAS LOCALIDADES, PARA LA RELOCALIZACIÓN DE HOGARES LOCALIZADOS EN ZONAS DE ALTO RIESGO NO MITIGABLE ID:2014-OTR-00867, LOCALIDAD:03 SANTA FE, UPZ:96 LOURDES, SECTOR:CASA 1</v>
          </cell>
          <cell r="R2669">
            <v>2975525</v>
          </cell>
          <cell r="S2669">
            <v>0</v>
          </cell>
          <cell r="T2669">
            <v>0</v>
          </cell>
          <cell r="U2669">
            <v>2975525</v>
          </cell>
          <cell r="V2669">
            <v>850150</v>
          </cell>
        </row>
        <row r="2670">
          <cell r="J2670">
            <v>2286</v>
          </cell>
          <cell r="K2670">
            <v>43279</v>
          </cell>
          <cell r="L2670" t="str">
            <v>MARIA WFELMIDA ANZOLA GALINDO</v>
          </cell>
          <cell r="M2670">
            <v>31</v>
          </cell>
          <cell r="N2670" t="str">
            <v>RESOLUCION</v>
          </cell>
          <cell r="O2670">
            <v>2696</v>
          </cell>
          <cell r="P2670">
            <v>43279</v>
          </cell>
          <cell r="Q2670" t="str">
            <v>AYUDA TEMPORAL A LAS FAMILIAS DE VARIAS LOCALIDADES, PARA LA RELOCALIZACIÓN DE HOGARES LOCALIZADOS EN ZONAS DE ALTO RIESGO NO MITIGABLE ID:2012-19-14192, LOCALIDAD:19 CIUDAD BOLÍVAR, UPZ:68 EL TESORO, SECTOR:QUEBRADA TROMPETA</v>
          </cell>
          <cell r="R2670">
            <v>2582006</v>
          </cell>
          <cell r="S2670">
            <v>0</v>
          </cell>
          <cell r="T2670">
            <v>0</v>
          </cell>
          <cell r="U2670">
            <v>2582006</v>
          </cell>
          <cell r="V2670">
            <v>737716</v>
          </cell>
        </row>
        <row r="2671">
          <cell r="J2671">
            <v>2287</v>
          </cell>
          <cell r="K2671">
            <v>43279</v>
          </cell>
          <cell r="L2671" t="str">
            <v>ADRIANA PATRICIA QUIÑONES BUSTOS</v>
          </cell>
          <cell r="M2671">
            <v>31</v>
          </cell>
          <cell r="N2671" t="str">
            <v>RESOLUCION</v>
          </cell>
          <cell r="O2671">
            <v>2707</v>
          </cell>
          <cell r="P2671">
            <v>43279</v>
          </cell>
          <cell r="Q2671" t="str">
            <v>AYUDA TEMPORAL A LAS FAMILIAS DE VARIAS LOCALIDADES, PARA LA RELOCALIZACIÓN DE HOGARES LOCALIZADOS EN ZONAS DE ALTO RIESGO NO MITIGABLE ID:2013-Q04-00528, LOCALIDAD:19 CIUDAD BOLÍVAR, UPZ:67 LUCERO, SECTOR:PEÑA COLORADA</v>
          </cell>
          <cell r="R2671">
            <v>3788778</v>
          </cell>
          <cell r="S2671">
            <v>0</v>
          </cell>
          <cell r="T2671">
            <v>0</v>
          </cell>
          <cell r="U2671">
            <v>3788778</v>
          </cell>
          <cell r="V2671">
            <v>1082508</v>
          </cell>
        </row>
        <row r="2672">
          <cell r="J2672">
            <v>2288</v>
          </cell>
          <cell r="K2672">
            <v>43279</v>
          </cell>
          <cell r="L2672" t="str">
            <v>CILVINA  RODRIGUEZ ROMERO</v>
          </cell>
          <cell r="M2672">
            <v>31</v>
          </cell>
          <cell r="N2672" t="str">
            <v>RESOLUCION</v>
          </cell>
          <cell r="O2672">
            <v>2695</v>
          </cell>
          <cell r="P2672">
            <v>43279</v>
          </cell>
          <cell r="Q2672" t="str">
            <v>AYUDA TEMPORAL A LAS FAMILIAS DE VARIAS LOCALIDADES, PARA LA RELOCALIZACIÓN DE HOGARES LOCALIZADOS EN ZONAS DE ALTO RIESGO NO MITIGABLE ID:2011-4-12707, LOCALIDAD:04 SAN CRISTÓBAL, UPZ:32 SAN BLAS</v>
          </cell>
          <cell r="R2672">
            <v>2977345</v>
          </cell>
          <cell r="S2672">
            <v>0</v>
          </cell>
          <cell r="T2672">
            <v>0</v>
          </cell>
          <cell r="U2672">
            <v>2977345</v>
          </cell>
          <cell r="V2672">
            <v>850670</v>
          </cell>
        </row>
        <row r="2673">
          <cell r="J2673">
            <v>2289</v>
          </cell>
          <cell r="K2673">
            <v>43279</v>
          </cell>
          <cell r="L2673" t="str">
            <v>ROSARIO  PINO PEREZ</v>
          </cell>
          <cell r="M2673">
            <v>31</v>
          </cell>
          <cell r="N2673" t="str">
            <v>RESOLUCION</v>
          </cell>
          <cell r="O2673">
            <v>2694</v>
          </cell>
          <cell r="P2673">
            <v>43279</v>
          </cell>
          <cell r="Q2673" t="str">
            <v>AYUDA TEMPORAL A LAS FAMILIAS DE VARIAS LOCALIDADES, PARA LA RELOCALIZACIÓN DE HOGARES LOCALIZADOS EN ZONAS DE ALTO RIESGO NO MITIGABLE ID:2012-T314-03, LOCALIDAD:04 SAN CRISTÓBAL, UPZ:50 LA GLORIA</v>
          </cell>
          <cell r="R2673">
            <v>2582006</v>
          </cell>
          <cell r="S2673">
            <v>0</v>
          </cell>
          <cell r="T2673">
            <v>0</v>
          </cell>
          <cell r="U2673">
            <v>2582006</v>
          </cell>
          <cell r="V2673">
            <v>737716</v>
          </cell>
        </row>
        <row r="2674">
          <cell r="J2674">
            <v>2290</v>
          </cell>
          <cell r="K2674">
            <v>43279</v>
          </cell>
          <cell r="L2674" t="str">
            <v>YURI ALEJANDRA VISCAYA COPAJITA</v>
          </cell>
          <cell r="M2674">
            <v>31</v>
          </cell>
          <cell r="N2674" t="str">
            <v>RESOLUCION</v>
          </cell>
          <cell r="O2674">
            <v>2693</v>
          </cell>
          <cell r="P2674">
            <v>43279</v>
          </cell>
          <cell r="Q2674" t="str">
            <v>AYUDA TEMPORAL A LAS FAMILIAS DE VARIAS LOCALIDADES, PARA LA RELOCALIZACIÓN DE HOGARES LOCALIZADOS EN ZONAS DE ALTO RIESGO NO MITIGABLE ID:2014-OTR-01214, LOCALIDAD:11 SUBA, UPZ:71 TIBABUYES, SECTOR:GAVILANES</v>
          </cell>
          <cell r="R2674">
            <v>2975525</v>
          </cell>
          <cell r="S2674">
            <v>0</v>
          </cell>
          <cell r="T2674">
            <v>0</v>
          </cell>
          <cell r="U2674">
            <v>2975525</v>
          </cell>
          <cell r="V2674">
            <v>850150</v>
          </cell>
        </row>
        <row r="2675">
          <cell r="J2675">
            <v>2291</v>
          </cell>
          <cell r="K2675">
            <v>43279</v>
          </cell>
          <cell r="L2675" t="str">
            <v>GERTRUDIS  MORALES TOMBE</v>
          </cell>
          <cell r="M2675">
            <v>31</v>
          </cell>
          <cell r="N2675" t="str">
            <v>RESOLUCION</v>
          </cell>
          <cell r="O2675">
            <v>2706</v>
          </cell>
          <cell r="P2675">
            <v>43279</v>
          </cell>
          <cell r="Q2675" t="str">
            <v>AYUDA TEMPORAL A LAS FAMILIAS DE VARIAS LOCALIDADES, PARA LA RELOCALIZACIÓN DE HOGARES LOCALIZADOS EN ZONAS DE ALTO RIESGO NO MITIGABLE ID:2013-Q09-00429, LOCALIDAD:19 CIUDAD BOLÍVAR, UPZ:67 LUCERO, SECTOR:QUEBRADA TROMPETA</v>
          </cell>
          <cell r="R2675">
            <v>3459890</v>
          </cell>
          <cell r="S2675">
            <v>0</v>
          </cell>
          <cell r="T2675">
            <v>0</v>
          </cell>
          <cell r="U2675">
            <v>3459890</v>
          </cell>
          <cell r="V2675">
            <v>988540</v>
          </cell>
        </row>
        <row r="2676">
          <cell r="J2676">
            <v>2292</v>
          </cell>
          <cell r="K2676">
            <v>43279</v>
          </cell>
          <cell r="L2676" t="str">
            <v>GEIMAR ARLEY NIÑO SANCHEZ</v>
          </cell>
          <cell r="M2676">
            <v>31</v>
          </cell>
          <cell r="N2676" t="str">
            <v>RESOLUCION</v>
          </cell>
          <cell r="O2676">
            <v>2692</v>
          </cell>
          <cell r="P2676">
            <v>43279</v>
          </cell>
          <cell r="Q2676" t="str">
            <v>AYUDA TEMPORAL A LAS FAMILIAS DE VARIAS LOCALIDADES, PARA LA RELOCALIZACIÓN DE HOGARES LOCALIZADOS EN ZONAS DE ALTO RIESGO NO MITIGABLE ID:2014-Q03-01077, LOCALIDAD:19 CIUDAD BOLÍVAR, UPZ:66 SAN FRANCISCO, SECTOR:LIMAS</v>
          </cell>
          <cell r="R2676">
            <v>3712008</v>
          </cell>
          <cell r="S2676">
            <v>0</v>
          </cell>
          <cell r="T2676">
            <v>0</v>
          </cell>
          <cell r="U2676">
            <v>3712008</v>
          </cell>
          <cell r="V2676">
            <v>928002</v>
          </cell>
        </row>
        <row r="2677">
          <cell r="J2677">
            <v>2293</v>
          </cell>
          <cell r="K2677">
            <v>43279</v>
          </cell>
          <cell r="L2677" t="str">
            <v>ORLANDO  COTRINA COTRINA</v>
          </cell>
          <cell r="M2677">
            <v>31</v>
          </cell>
          <cell r="N2677" t="str">
            <v>RESOLUCION</v>
          </cell>
          <cell r="O2677">
            <v>2691</v>
          </cell>
          <cell r="P2677">
            <v>43279</v>
          </cell>
          <cell r="Q2677" t="str">
            <v>AYUDA TEMPORAL A LAS FAMILIAS DE VARIAS LOCALIDADES, PARA LA RELOCALIZACIÓN DE HOGARES LOCALIZADOS EN ZONAS DE ALTO RIESGO NO MITIGABLE ID:2015-Q03-03408, LOCALIDAD:19 CIUDAD BOLÍVAR, UPZ:66 SAN FRANCISCO, SECTOR:LIMAS</v>
          </cell>
          <cell r="R2677">
            <v>2685291</v>
          </cell>
          <cell r="S2677">
            <v>0</v>
          </cell>
          <cell r="T2677">
            <v>0</v>
          </cell>
          <cell r="U2677">
            <v>2685291</v>
          </cell>
          <cell r="V2677">
            <v>767226</v>
          </cell>
        </row>
        <row r="2678">
          <cell r="J2678">
            <v>2294</v>
          </cell>
          <cell r="K2678">
            <v>43279</v>
          </cell>
          <cell r="L2678" t="str">
            <v>NUBIA ENID MENDEZ CORREDOR</v>
          </cell>
          <cell r="M2678">
            <v>31</v>
          </cell>
          <cell r="N2678" t="str">
            <v>RESOLUCION</v>
          </cell>
          <cell r="O2678">
            <v>2629</v>
          </cell>
          <cell r="P2678">
            <v>43279</v>
          </cell>
          <cell r="Q2678" t="str">
            <v>AYUDA TEMPORAL A LAS FAMILIAS DE VARIAS LOCALIDADES, PARA LA RELOCALIZACIÓN DE HOGARES LOCALIZADOS EN ZONAS DE ALTO RIESGO NO MITIGABLE ID:2014-LC-00812, LOCALIDAD:19 CIUDAD BOLÍVAR, UPZ:69 ISMAEL PERDOMO</v>
          </cell>
          <cell r="R2678">
            <v>3363360</v>
          </cell>
          <cell r="S2678">
            <v>0</v>
          </cell>
          <cell r="T2678">
            <v>0</v>
          </cell>
          <cell r="U2678">
            <v>3363360</v>
          </cell>
          <cell r="V2678">
            <v>960960</v>
          </cell>
        </row>
        <row r="2679">
          <cell r="J2679">
            <v>2295</v>
          </cell>
          <cell r="K2679">
            <v>43279</v>
          </cell>
          <cell r="L2679" t="str">
            <v>LIDIA RUTH DAZA BUSTOS</v>
          </cell>
          <cell r="M2679">
            <v>31</v>
          </cell>
          <cell r="N2679" t="str">
            <v>RESOLUCION</v>
          </cell>
          <cell r="O2679">
            <v>2690</v>
          </cell>
          <cell r="P2679">
            <v>43279</v>
          </cell>
          <cell r="Q2679" t="str">
            <v>AYUDA TEMPORAL A LAS FAMILIAS DE VARIAS LOCALIDADES, PARA LA RELOCALIZACIÓN DE HOGARES LOCALIZADOS EN ZONAS DE ALTO RIESGO NO MITIGABLE ID:2014-Q04-00915, LOCALIDAD:19 CIUDAD BOLÍVAR, UPZ:67 LUCERO, SECTOR:PEÑA COLORADA</v>
          </cell>
          <cell r="R2679">
            <v>3098403</v>
          </cell>
          <cell r="S2679">
            <v>0</v>
          </cell>
          <cell r="T2679">
            <v>0</v>
          </cell>
          <cell r="U2679">
            <v>3098403</v>
          </cell>
          <cell r="V2679">
            <v>885258</v>
          </cell>
        </row>
        <row r="2680">
          <cell r="J2680">
            <v>2296</v>
          </cell>
          <cell r="K2680">
            <v>43279</v>
          </cell>
          <cell r="L2680" t="str">
            <v>ROSA ELENA GUTIERREZ</v>
          </cell>
          <cell r="M2680">
            <v>31</v>
          </cell>
          <cell r="N2680" t="str">
            <v>RESOLUCION</v>
          </cell>
          <cell r="O2680">
            <v>2705</v>
          </cell>
          <cell r="P2680">
            <v>43279</v>
          </cell>
          <cell r="Q2680" t="str">
            <v>AYUDA TEMPORAL A LAS FAMILIAS DE VARIAS LOCALIDADES, PARA LA RELOCALIZACIÓN DE HOGARES LOCALIZADOS EN ZONAS DE ALTO RIESGO NO MITIGABLE ID:2011-4-12651, LOCALIDAD:04 SAN CRISTÓBAL, UPZ:32 SAN BLAS</v>
          </cell>
          <cell r="R2680">
            <v>2661239</v>
          </cell>
          <cell r="S2680">
            <v>0</v>
          </cell>
          <cell r="T2680">
            <v>0</v>
          </cell>
          <cell r="U2680">
            <v>2661239</v>
          </cell>
          <cell r="V2680">
            <v>760354</v>
          </cell>
        </row>
        <row r="2681">
          <cell r="J2681">
            <v>2297</v>
          </cell>
          <cell r="K2681">
            <v>43279</v>
          </cell>
          <cell r="L2681" t="str">
            <v>ALBENIS  TORRES</v>
          </cell>
          <cell r="M2681">
            <v>31</v>
          </cell>
          <cell r="N2681" t="str">
            <v>RESOLUCION</v>
          </cell>
          <cell r="O2681">
            <v>2628</v>
          </cell>
          <cell r="P2681">
            <v>43279</v>
          </cell>
          <cell r="Q2681" t="str">
            <v>AYUDA TEMPORAL A LAS FAMILIAS DE VARIAS LOCALIDADES, PARA LA RELOCALIZACIÓN DE HOGARES LOCALIZADOS EN ZONAS DE ALTO RIESGO NO MITIGABLE ID:2013-Q10-00213, LOCALIDAD:04 SAN CRISTÓBAL, UPZ:51 LOS LIBERTADORES, SECTOR:QUEBRADA VEREJONES</v>
          </cell>
          <cell r="R2681">
            <v>2887073</v>
          </cell>
          <cell r="S2681">
            <v>0</v>
          </cell>
          <cell r="T2681">
            <v>0</v>
          </cell>
          <cell r="U2681">
            <v>2887073</v>
          </cell>
          <cell r="V2681">
            <v>824878</v>
          </cell>
        </row>
        <row r="2682">
          <cell r="J2682">
            <v>2298</v>
          </cell>
          <cell r="K2682">
            <v>43279</v>
          </cell>
          <cell r="L2682" t="str">
            <v>EDGAR  FRANCO GAONA</v>
          </cell>
          <cell r="M2682">
            <v>31</v>
          </cell>
          <cell r="N2682" t="str">
            <v>RESOLUCION</v>
          </cell>
          <cell r="O2682">
            <v>2689</v>
          </cell>
          <cell r="P2682">
            <v>43279</v>
          </cell>
          <cell r="Q2682" t="str">
            <v>AYUDA TEMPORAL A LAS FAMILIAS DE VARIAS LOCALIDADES, PARA LA RELOCALIZACIÓN DE HOGARES LOCALIZADOS EN ZONAS DE ALTO RIESGO NO MITIGABLE ID:2013-19-14624, LOCALIDAD:19 CIUDAD BOLÍVAR, UPZ:68 EL TESORO</v>
          </cell>
          <cell r="R2682">
            <v>2661659</v>
          </cell>
          <cell r="S2682">
            <v>0</v>
          </cell>
          <cell r="T2682">
            <v>0</v>
          </cell>
          <cell r="U2682">
            <v>2661659</v>
          </cell>
          <cell r="V2682">
            <v>760474</v>
          </cell>
        </row>
        <row r="2683">
          <cell r="J2683">
            <v>2299</v>
          </cell>
          <cell r="K2683">
            <v>43279</v>
          </cell>
          <cell r="L2683" t="str">
            <v>GUSTAVO  PARRA CORTES</v>
          </cell>
          <cell r="M2683">
            <v>31</v>
          </cell>
          <cell r="N2683" t="str">
            <v>RESOLUCION</v>
          </cell>
          <cell r="O2683">
            <v>2627</v>
          </cell>
          <cell r="P2683">
            <v>43279</v>
          </cell>
          <cell r="Q2683" t="str">
            <v>AYUDA TEMPORAL A LAS FAMILIAS DE VARIAS LOCALIDADES, PARA LA RELOCALIZACIÓN DE HOGARES LOCALIZADOS EN ZONAS DE ALTO RIESGO NO MITIGABLE ID:2013-Q09-00082, LOCALIDAD:19 CIUDAD BOLÍVAR, UPZ:67 LUCERO, SECTOR:QUEBRADA HONDA</v>
          </cell>
          <cell r="R2683">
            <v>3098410</v>
          </cell>
          <cell r="S2683">
            <v>0</v>
          </cell>
          <cell r="T2683">
            <v>0</v>
          </cell>
          <cell r="U2683">
            <v>3098410</v>
          </cell>
          <cell r="V2683">
            <v>885260</v>
          </cell>
        </row>
        <row r="2684">
          <cell r="J2684">
            <v>2300</v>
          </cell>
          <cell r="K2684">
            <v>43279</v>
          </cell>
          <cell r="L2684" t="str">
            <v>SILVIA ESPERANZA ALDANA PULIDO</v>
          </cell>
          <cell r="M2684">
            <v>31</v>
          </cell>
          <cell r="N2684" t="str">
            <v>RESOLUCION</v>
          </cell>
          <cell r="O2684">
            <v>2688</v>
          </cell>
          <cell r="P2684">
            <v>43279</v>
          </cell>
          <cell r="Q2684" t="str">
            <v>AYUDA TEMPORAL A LAS FAMILIAS DE VARIAS LOCALIDADES, PARA LA RELOCALIZACIÓN DE HOGARES LOCALIZADOS EN ZONAS DE ALTO RIESGO NO MITIGABLE ID:2012-T314-12, LOCALIDAD:04 SAN CRISTÓBAL, UPZ:50 LA GLORIA</v>
          </cell>
          <cell r="R2684">
            <v>2723490</v>
          </cell>
          <cell r="S2684">
            <v>0</v>
          </cell>
          <cell r="T2684">
            <v>0</v>
          </cell>
          <cell r="U2684">
            <v>2723490</v>
          </cell>
          <cell r="V2684">
            <v>778140</v>
          </cell>
        </row>
        <row r="2685">
          <cell r="J2685">
            <v>2301</v>
          </cell>
          <cell r="K2685">
            <v>43279</v>
          </cell>
          <cell r="L2685" t="str">
            <v>OSWALDO ANTONIO GARCIA GOMEZ</v>
          </cell>
          <cell r="M2685">
            <v>31</v>
          </cell>
          <cell r="N2685" t="str">
            <v>RESOLUCION</v>
          </cell>
          <cell r="O2685">
            <v>2704</v>
          </cell>
          <cell r="P2685">
            <v>43279</v>
          </cell>
          <cell r="Q2685" t="str">
            <v>AYUDA TEMPORAL A LAS FAMILIAS DE VARIAS LOCALIDADES, PARA LA RELOCALIZACIÓN DE HOGARES LOCALIZADOS EN ZONAS DE ALTO RIESGO NO MITIGABLE ID:2011-4-12691, LOCALIDAD:04 SAN CRISTÓBAL, UPZ:32 SAN BLAS</v>
          </cell>
          <cell r="R2685">
            <v>3608675</v>
          </cell>
          <cell r="S2685">
            <v>0</v>
          </cell>
          <cell r="T2685">
            <v>0</v>
          </cell>
          <cell r="U2685">
            <v>3608675</v>
          </cell>
          <cell r="V2685">
            <v>1031050</v>
          </cell>
        </row>
        <row r="2686">
          <cell r="J2686">
            <v>2302</v>
          </cell>
          <cell r="K2686">
            <v>43279</v>
          </cell>
          <cell r="L2686" t="str">
            <v>MARIA DEL CARMEN MANCILLA LADINO</v>
          </cell>
          <cell r="M2686">
            <v>31</v>
          </cell>
          <cell r="N2686" t="str">
            <v>RESOLUCION</v>
          </cell>
          <cell r="O2686">
            <v>2626</v>
          </cell>
          <cell r="P2686">
            <v>43279</v>
          </cell>
          <cell r="Q2686" t="str">
            <v>AYUDA TEMPORAL A LAS FAMILIAS DE VARIAS LOCALIDADES, PARA LA RELOCALIZACIÓN DE HOGARES LOCALIZADOS EN ZONAS DE ALTO RIESGO NO MITIGABLE ID:2013-Q04-00299, LOCALIDAD:19 CIUDAD BOLÍVAR, UPZ:67 LUCERO, SECTOR:PEÑA COLORADA</v>
          </cell>
          <cell r="R2686">
            <v>3017000</v>
          </cell>
          <cell r="S2686">
            <v>0</v>
          </cell>
          <cell r="T2686">
            <v>0</v>
          </cell>
          <cell r="U2686">
            <v>3017000</v>
          </cell>
          <cell r="V2686">
            <v>862000</v>
          </cell>
        </row>
        <row r="2687">
          <cell r="J2687">
            <v>2303</v>
          </cell>
          <cell r="K2687">
            <v>43279</v>
          </cell>
          <cell r="L2687" t="str">
            <v>ALBA RUBI TORRES FORERO</v>
          </cell>
          <cell r="M2687">
            <v>31</v>
          </cell>
          <cell r="N2687" t="str">
            <v>RESOLUCION</v>
          </cell>
          <cell r="O2687">
            <v>2687</v>
          </cell>
          <cell r="P2687">
            <v>43279</v>
          </cell>
          <cell r="Q2687" t="str">
            <v>AYUDA TEMPORAL A LAS FAMILIAS DE VARIAS LOCALIDADES, PARA LA RELOCALIZACIÓN DE HOGARES LOCALIZADOS EN ZONAS DE ALTO RIESGO NO MITIGABLE ID:2014-5-14734, LOCALIDAD:05 USME, UPZ:57 GRAN YOMASA</v>
          </cell>
          <cell r="R2687">
            <v>3038112</v>
          </cell>
          <cell r="S2687">
            <v>0</v>
          </cell>
          <cell r="T2687">
            <v>0</v>
          </cell>
          <cell r="U2687">
            <v>3038112</v>
          </cell>
          <cell r="V2687">
            <v>868032</v>
          </cell>
        </row>
        <row r="2688">
          <cell r="J2688">
            <v>2304</v>
          </cell>
          <cell r="K2688">
            <v>43279</v>
          </cell>
          <cell r="L2688" t="str">
            <v>LUZ MARINA TUNJUELO BARBOSA</v>
          </cell>
          <cell r="M2688">
            <v>31</v>
          </cell>
          <cell r="N2688" t="str">
            <v>RESOLUCION</v>
          </cell>
          <cell r="O2688">
            <v>2703</v>
          </cell>
          <cell r="P2688">
            <v>43279</v>
          </cell>
          <cell r="Q2688" t="str">
            <v>AYUDA TEMPORAL A LAS FAMILIAS DE VARIAS LOCALIDADES, PARA LA RELOCALIZACIÓN DE HOGARES LOCALIZADOS EN ZONAS DE ALTO RIESGO NO MITIGABLE ID:2011-4-12662, LOCALIDAD:04 SAN CRISTÓBAL, UPZ:32 SAN BLAS</v>
          </cell>
          <cell r="R2688">
            <v>3022327</v>
          </cell>
          <cell r="S2688">
            <v>0</v>
          </cell>
          <cell r="T2688">
            <v>0</v>
          </cell>
          <cell r="U2688">
            <v>3022327</v>
          </cell>
          <cell r="V2688">
            <v>863522</v>
          </cell>
        </row>
        <row r="2689">
          <cell r="J2689">
            <v>2305</v>
          </cell>
          <cell r="K2689">
            <v>43279</v>
          </cell>
          <cell r="L2689" t="str">
            <v>ELIANA PATRICIA MORENO ARDILA</v>
          </cell>
          <cell r="M2689">
            <v>31</v>
          </cell>
          <cell r="N2689" t="str">
            <v>RESOLUCION</v>
          </cell>
          <cell r="O2689">
            <v>2686</v>
          </cell>
          <cell r="P2689">
            <v>43279</v>
          </cell>
          <cell r="Q2689" t="str">
            <v>AYUDA TEMPORAL A LAS FAMILIAS DE VARIAS LOCALIDADES, PARA LA RELOCALIZACIÓN DE HOGARES LOCALIZADOS EN ZONAS DE ALTO RIESGO NO MITIGABLE ID:2013-Q10-00650, LOCALIDAD:04 SAN CRISTÓBAL, UPZ:51 LOS LIBERTADORES, SECTOR:QUEBRADA VEREJONES</v>
          </cell>
          <cell r="R2689">
            <v>3017000</v>
          </cell>
          <cell r="S2689">
            <v>0</v>
          </cell>
          <cell r="T2689">
            <v>0</v>
          </cell>
          <cell r="U2689">
            <v>3017000</v>
          </cell>
          <cell r="V2689">
            <v>862000</v>
          </cell>
        </row>
        <row r="2690">
          <cell r="J2690">
            <v>2306</v>
          </cell>
          <cell r="K2690">
            <v>43279</v>
          </cell>
          <cell r="L2690" t="str">
            <v>GLADYS  OCAMPO ESPINOSA</v>
          </cell>
          <cell r="M2690">
            <v>31</v>
          </cell>
          <cell r="N2690" t="str">
            <v>RESOLUCION</v>
          </cell>
          <cell r="O2690">
            <v>2702</v>
          </cell>
          <cell r="P2690">
            <v>43279</v>
          </cell>
          <cell r="Q2690" t="str">
            <v>AYUDA TEMPORAL A LAS FAMILIAS DE VARIAS LOCALIDADES, PARA LA RELOCALIZACIÓN DE HOGARES LOCALIZADOS EN ZONAS DE ALTO RIESGO NO MITIGABLE ID:2014-Q01-01064, LOCALIDAD:05 USME, UPZ:56 DANUBIO, SECTOR:HOYA DEL RAMO</v>
          </cell>
          <cell r="R2690">
            <v>4131218</v>
          </cell>
          <cell r="S2690">
            <v>0</v>
          </cell>
          <cell r="T2690">
            <v>0</v>
          </cell>
          <cell r="U2690">
            <v>4131218</v>
          </cell>
          <cell r="V2690">
            <v>1180348</v>
          </cell>
        </row>
        <row r="2691">
          <cell r="J2691">
            <v>2307</v>
          </cell>
          <cell r="K2691">
            <v>43279</v>
          </cell>
          <cell r="L2691" t="str">
            <v>ADRIANA  SIERRA</v>
          </cell>
          <cell r="M2691">
            <v>31</v>
          </cell>
          <cell r="N2691" t="str">
            <v>RESOLUCION</v>
          </cell>
          <cell r="O2691">
            <v>2685</v>
          </cell>
          <cell r="P2691">
            <v>43279</v>
          </cell>
          <cell r="Q2691" t="str">
            <v>AYUDA TEMPORAL A LAS FAMILIAS DE VARIAS LOCALIDADES, PARA LA RELOCALIZACIÓN DE HOGARES LOCALIZADOS EN ZONAS DE ALTO RIESGO NO MITIGABLE ID:2014-OTR-00952, LOCALIDAD:19 CIUDAD BOLÍVAR, UPZ:67 LUCERO, SECTOR:TABOR ALTALOMA</v>
          </cell>
          <cell r="R2691">
            <v>3017000</v>
          </cell>
          <cell r="S2691">
            <v>0</v>
          </cell>
          <cell r="T2691">
            <v>0</v>
          </cell>
          <cell r="U2691">
            <v>3017000</v>
          </cell>
          <cell r="V2691">
            <v>862000</v>
          </cell>
        </row>
        <row r="2692">
          <cell r="J2692">
            <v>2308</v>
          </cell>
          <cell r="K2692">
            <v>43279</v>
          </cell>
          <cell r="L2692" t="str">
            <v>HEIDY CAROLINA CONTRERAS GONZALEZ</v>
          </cell>
          <cell r="M2692">
            <v>31</v>
          </cell>
          <cell r="N2692" t="str">
            <v>RESOLUCION</v>
          </cell>
          <cell r="O2692">
            <v>2670</v>
          </cell>
          <cell r="P2692">
            <v>43279</v>
          </cell>
          <cell r="Q2692" t="str">
            <v>AYUDA TEMPORAL A LAS FAMILIAS DE VARIAS LOCALIDADES, PARA LA RELOCALIZACIÓN DE HOGARES LOCALIZADOS EN ZONAS DE ALTO RIESGO NO MITIGABLE ID:2014-OTR-01216, LOCALIDAD:11 SUBA, UPZ:71 TIBABUYES, SECTOR:GAVILANES</v>
          </cell>
          <cell r="R2692">
            <v>3873016</v>
          </cell>
          <cell r="S2692">
            <v>0</v>
          </cell>
          <cell r="T2692">
            <v>0</v>
          </cell>
          <cell r="U2692">
            <v>3873016</v>
          </cell>
          <cell r="V2692">
            <v>553288</v>
          </cell>
        </row>
        <row r="2693">
          <cell r="J2693">
            <v>2309</v>
          </cell>
          <cell r="K2693">
            <v>43279</v>
          </cell>
          <cell r="L2693" t="str">
            <v>MARIA ALEJANDRA SANCHEZ MENESES</v>
          </cell>
          <cell r="M2693">
            <v>31</v>
          </cell>
          <cell r="N2693" t="str">
            <v>RESOLUCION</v>
          </cell>
          <cell r="O2693">
            <v>2684</v>
          </cell>
          <cell r="P2693">
            <v>43279</v>
          </cell>
          <cell r="Q2693" t="str">
            <v>AYUDA TEMPORAL A LAS FAMILIAS DE VARIAS LOCALIDADES, PARA LA RELOCALIZACIÓN DE HOGARES LOCALIZADOS EN ZONAS DE ALTO RIESGO NO MITIGABLE ID:2014-OTR-01167, LOCALIDAD:11 SUBA, UPZ:71 TIBABUYES, SECTOR:GAVILANES</v>
          </cell>
          <cell r="R2693">
            <v>3017000</v>
          </cell>
          <cell r="S2693">
            <v>0</v>
          </cell>
          <cell r="T2693">
            <v>0</v>
          </cell>
          <cell r="U2693">
            <v>3017000</v>
          </cell>
          <cell r="V2693">
            <v>862000</v>
          </cell>
        </row>
        <row r="2694">
          <cell r="J2694">
            <v>2310</v>
          </cell>
          <cell r="K2694">
            <v>43279</v>
          </cell>
          <cell r="L2694" t="str">
            <v>DIEGO FERNANDO TOCANCIPA CORREA</v>
          </cell>
          <cell r="M2694">
            <v>31</v>
          </cell>
          <cell r="N2694" t="str">
            <v>RESOLUCION</v>
          </cell>
          <cell r="O2694">
            <v>2669</v>
          </cell>
          <cell r="P2694">
            <v>43279</v>
          </cell>
          <cell r="Q2694" t="str">
            <v>AYUDA TEMPORAL A LAS FAMILIAS DE VARIAS LOCALIDADES, PARA LA RELOCALIZACIÓN DE HOGARES LOCALIZADOS EN ZONAS DE ALTO RIESGO NO MITIGABLE ID:2016-4-00007, LOCALIDAD:04 SAN CRISTÓBAL, UPZ:32 SAN BLAS, SECTOR:TRIANGULO ALTO</v>
          </cell>
          <cell r="R2694">
            <v>3253334</v>
          </cell>
          <cell r="S2694">
            <v>0</v>
          </cell>
          <cell r="T2694">
            <v>0</v>
          </cell>
          <cell r="U2694">
            <v>3253334</v>
          </cell>
          <cell r="V2694">
            <v>929524</v>
          </cell>
        </row>
        <row r="2695">
          <cell r="J2695">
            <v>2311</v>
          </cell>
          <cell r="K2695">
            <v>43279</v>
          </cell>
          <cell r="L2695" t="str">
            <v>ROSMIRA  ASPRILLA MOSQUERA</v>
          </cell>
          <cell r="M2695">
            <v>31</v>
          </cell>
          <cell r="N2695" t="str">
            <v>RESOLUCION</v>
          </cell>
          <cell r="O2695">
            <v>2701</v>
          </cell>
          <cell r="P2695">
            <v>43279</v>
          </cell>
          <cell r="Q2695" t="str">
            <v>AYUDA TEMPORAL A LAS FAMILIAS DE VARIAS LOCALIDADES, PARA LA RELOCALIZACIÓN DE HOGARES LOCALIZADOS EN ZONAS DE ALTO RIESGO NO MITIGABLE ID:2011-4-12712, LOCALIDAD:04 SAN CRISTÓBAL, UPZ:32 SAN BLAS</v>
          </cell>
          <cell r="R2695">
            <v>2582006</v>
          </cell>
          <cell r="S2695">
            <v>0</v>
          </cell>
          <cell r="T2695">
            <v>0</v>
          </cell>
          <cell r="U2695">
            <v>2582006</v>
          </cell>
          <cell r="V2695">
            <v>737716</v>
          </cell>
        </row>
        <row r="2696">
          <cell r="J2696">
            <v>2312</v>
          </cell>
          <cell r="K2696">
            <v>43279</v>
          </cell>
          <cell r="L2696" t="str">
            <v>MERY LILIA FURQUE VEGA</v>
          </cell>
          <cell r="M2696">
            <v>31</v>
          </cell>
          <cell r="N2696" t="str">
            <v>RESOLUCION</v>
          </cell>
          <cell r="O2696">
            <v>2625</v>
          </cell>
          <cell r="P2696">
            <v>43279</v>
          </cell>
          <cell r="Q2696" t="str">
            <v>AYUDA TEMPORAL A LAS FAMILIAS DE VARIAS LOCALIDADES, PARA LA RELOCALIZACIÓN DE HOGARES LOCALIZADOS EN ZONAS DE ALTO RIESGO NO MITIGABLE ID:2007-4-9376, LOCALIDAD:04 SAN CRISTÓBAL, UPZ:32 SAN BLAS</v>
          </cell>
          <cell r="R2696">
            <v>3983670</v>
          </cell>
          <cell r="S2696">
            <v>0</v>
          </cell>
          <cell r="T2696">
            <v>0</v>
          </cell>
          <cell r="U2696">
            <v>3983670</v>
          </cell>
          <cell r="V2696">
            <v>885260</v>
          </cell>
        </row>
        <row r="2697">
          <cell r="J2697">
            <v>2313</v>
          </cell>
          <cell r="K2697">
            <v>43279</v>
          </cell>
          <cell r="L2697" t="str">
            <v>PEDRO ANTONIO RODRIGUEZ CIFUENTES</v>
          </cell>
          <cell r="M2697">
            <v>31</v>
          </cell>
          <cell r="N2697" t="str">
            <v>RESOLUCION</v>
          </cell>
          <cell r="O2697">
            <v>2700</v>
          </cell>
          <cell r="P2697">
            <v>43279</v>
          </cell>
          <cell r="Q2697" t="str">
            <v>AYUDA TEMPORAL A LAS FAMILIAS DE VARIAS LOCALIDADES, PARA LA RELOCALIZACIÓN DE HOGARES LOCALIZADOS EN ZONAS DE ALTO RIESGO NO MITIGABLE ID:2012-19-13964, LOCALIDAD:19 CIUDAD BOLÍVAR, UPZ:67 LUCERO, SECTOR:ZANJÓN DE LA ESTRELLA</v>
          </cell>
          <cell r="R2697">
            <v>3017000</v>
          </cell>
          <cell r="S2697">
            <v>0</v>
          </cell>
          <cell r="T2697">
            <v>0</v>
          </cell>
          <cell r="U2697">
            <v>3017000</v>
          </cell>
          <cell r="V2697">
            <v>862000</v>
          </cell>
        </row>
        <row r="2698">
          <cell r="J2698">
            <v>2314</v>
          </cell>
          <cell r="K2698">
            <v>43279</v>
          </cell>
          <cell r="L2698" t="str">
            <v>ANA VICTORIA MOLINA VARGAS</v>
          </cell>
          <cell r="M2698">
            <v>31</v>
          </cell>
          <cell r="N2698" t="str">
            <v>RESOLUCION</v>
          </cell>
          <cell r="O2698">
            <v>2667</v>
          </cell>
          <cell r="P2698">
            <v>43279</v>
          </cell>
          <cell r="Q2698" t="str">
            <v>AYUDA TEMPORAL A LAS FAMILIAS DE VARIAS LOCALIDADES, PARA LA RELOCALIZACIÓN DE HOGARES LOCALIZADOS EN ZONAS DE ALTO RIESGO NO MITIGABLE ID:2016-4-14767, LOCALIDAD:04 SAN CRISTÓBAL, UPZ:32 SAN BLAS</v>
          </cell>
          <cell r="R2698">
            <v>3614814</v>
          </cell>
          <cell r="S2698">
            <v>0</v>
          </cell>
          <cell r="T2698">
            <v>0</v>
          </cell>
          <cell r="U2698">
            <v>3614814</v>
          </cell>
          <cell r="V2698">
            <v>1032804</v>
          </cell>
        </row>
        <row r="2699">
          <cell r="J2699">
            <v>2315</v>
          </cell>
          <cell r="K2699">
            <v>43279</v>
          </cell>
          <cell r="L2699" t="str">
            <v>ROSA MARIA MONTENEGRO DE SAYAGO</v>
          </cell>
          <cell r="M2699">
            <v>31</v>
          </cell>
          <cell r="N2699" t="str">
            <v>RESOLUCION</v>
          </cell>
          <cell r="O2699">
            <v>2699</v>
          </cell>
          <cell r="P2699">
            <v>43279</v>
          </cell>
          <cell r="Q2699" t="str">
            <v>AYUDA TEMPORAL A LAS FAMILIAS DE VARIAS LOCALIDADES, PARA LA RELOCALIZACIÓN DE HOGARES LOCALIZADOS EN ZONAS DE ALTO RIESGO NO MITIGABLE ID:2011-5-13264, LOCALIDAD:05 USME, UPZ:56 DANUBIO</v>
          </cell>
          <cell r="R2699">
            <v>4288472</v>
          </cell>
          <cell r="S2699">
            <v>0</v>
          </cell>
          <cell r="T2699">
            <v>0</v>
          </cell>
          <cell r="U2699">
            <v>4288472</v>
          </cell>
          <cell r="V2699">
            <v>1072118</v>
          </cell>
        </row>
        <row r="2700">
          <cell r="J2700">
            <v>2316</v>
          </cell>
          <cell r="K2700">
            <v>43279</v>
          </cell>
          <cell r="L2700" t="str">
            <v>NOHORA LIGIA LONDOÑO RINCON</v>
          </cell>
          <cell r="M2700">
            <v>31</v>
          </cell>
          <cell r="N2700" t="str">
            <v>RESOLUCION</v>
          </cell>
          <cell r="O2700">
            <v>2666</v>
          </cell>
          <cell r="P2700">
            <v>43279</v>
          </cell>
          <cell r="Q2700" t="str">
            <v>AYUDA TEMPORAL A LAS FAMILIAS DE VARIAS LOCALIDADES, PARA LA RELOCALIZACIÓN DE HOGARES LOCALIZADOS EN ZONAS DE ALTO RIESGO NO MITIGABLE ID:2012-19-14388, LOCALIDAD:19 CIUDAD BOLÍVAR, UPZ:68 EL TESORO</v>
          </cell>
          <cell r="R2700">
            <v>3584160</v>
          </cell>
          <cell r="S2700">
            <v>0</v>
          </cell>
          <cell r="T2700">
            <v>0</v>
          </cell>
          <cell r="U2700">
            <v>3584160</v>
          </cell>
          <cell r="V2700">
            <v>896040</v>
          </cell>
        </row>
        <row r="2701">
          <cell r="J2701">
            <v>2317</v>
          </cell>
          <cell r="K2701">
            <v>43279</v>
          </cell>
          <cell r="L2701" t="str">
            <v>OLGA LUCIA ANDRADE SANCHEZ</v>
          </cell>
          <cell r="M2701">
            <v>31</v>
          </cell>
          <cell r="N2701" t="str">
            <v>RESOLUCION</v>
          </cell>
          <cell r="O2701">
            <v>2665</v>
          </cell>
          <cell r="P2701">
            <v>43279</v>
          </cell>
          <cell r="Q2701" t="str">
            <v>AYUDA TEMPORAL A LAS FAMILIAS DE VARIAS LOCALIDADES, PARA LA RELOCALIZACIÓN DE HOGARES LOCALIZADOS EN ZONAS DE ALTO RIESGO NO MITIGABLE ID:2013000459, LOCALIDAD:04 SAN CRISTÓBAL, UPZ:51 LOS LIBERTADORES, SECTOR:QUEBRADA VEREJONES</v>
          </cell>
          <cell r="R2701">
            <v>3828083</v>
          </cell>
          <cell r="S2701">
            <v>0</v>
          </cell>
          <cell r="T2701">
            <v>0</v>
          </cell>
          <cell r="U2701">
            <v>3828083</v>
          </cell>
          <cell r="V2701">
            <v>1093738</v>
          </cell>
        </row>
        <row r="2702">
          <cell r="J2702">
            <v>2318</v>
          </cell>
          <cell r="K2702">
            <v>43279</v>
          </cell>
          <cell r="L2702" t="str">
            <v>JACOBA  MORENO GUERRERO</v>
          </cell>
          <cell r="M2702">
            <v>31</v>
          </cell>
          <cell r="N2702" t="str">
            <v>RESOLUCION</v>
          </cell>
          <cell r="O2702">
            <v>2683</v>
          </cell>
          <cell r="P2702">
            <v>43279</v>
          </cell>
          <cell r="Q2702" t="str">
            <v>AYUDA TEMPORAL A LAS FAMILIAS DE VARIAS LOCALIDADES, PARA LA RELOCALIZACIÓN DE HOGARES LOCALIZADOS EN ZONAS DE ALTO RIESGO NO MITIGABLE ID:2014-OTR-00893, LOCALIDAD:03 SANTA FE, UPZ:96 LOURDES, SECTOR:CASA 3</v>
          </cell>
          <cell r="R2702">
            <v>2975525</v>
          </cell>
          <cell r="S2702">
            <v>0</v>
          </cell>
          <cell r="T2702">
            <v>0</v>
          </cell>
          <cell r="U2702">
            <v>2975525</v>
          </cell>
          <cell r="V2702">
            <v>850150</v>
          </cell>
        </row>
        <row r="2703">
          <cell r="J2703">
            <v>2319</v>
          </cell>
          <cell r="K2703">
            <v>43279</v>
          </cell>
          <cell r="L2703" t="str">
            <v>LEIDY JOHANA GUTIERREZ ABELLO</v>
          </cell>
          <cell r="M2703">
            <v>31</v>
          </cell>
          <cell r="N2703" t="str">
            <v>RESOLUCION</v>
          </cell>
          <cell r="O2703">
            <v>2664</v>
          </cell>
          <cell r="P2703">
            <v>43279</v>
          </cell>
          <cell r="Q2703" t="str">
            <v>AYUDA TEMPORAL A LAS FAMILIAS DE VARIAS LOCALIDADES, PARA LA RELOCALIZACIÓN DE HOGARES LOCALIZADOS EN ZONAS DE ALTO RIESGO NO MITIGABLE ID:2010-19-11937, LOCALIDAD:19 CIUDAD BOLÍVAR, UPZ:67 LUCERO, SECTOR:LIMAS</v>
          </cell>
          <cell r="R2703">
            <v>2845920</v>
          </cell>
          <cell r="S2703">
            <v>0</v>
          </cell>
          <cell r="T2703">
            <v>0</v>
          </cell>
          <cell r="U2703">
            <v>2845920</v>
          </cell>
          <cell r="V2703">
            <v>813120</v>
          </cell>
        </row>
        <row r="2704">
          <cell r="J2704">
            <v>2320</v>
          </cell>
          <cell r="K2704">
            <v>43279</v>
          </cell>
          <cell r="L2704" t="str">
            <v>LUZ AMANDA CASTRO</v>
          </cell>
          <cell r="M2704">
            <v>31</v>
          </cell>
          <cell r="N2704" t="str">
            <v>RESOLUCION</v>
          </cell>
          <cell r="O2704">
            <v>2682</v>
          </cell>
          <cell r="P2704">
            <v>43279</v>
          </cell>
          <cell r="Q2704" t="str">
            <v>AYUDA TEMPORAL A LAS FAMILIAS DE VARIAS LOCALIDADES, PARA LA RELOCALIZACIÓN DE HOGARES LOCALIZADOS EN ZONAS DE ALTO RIESGO NO MITIGABLE ID:2014-LC-00811, LOCALIDAD:19 CIUDAD BOLÍVAR, UPZ:69 ISMAEL PERDOMO</v>
          </cell>
          <cell r="R2704">
            <v>2842000</v>
          </cell>
          <cell r="S2704">
            <v>0</v>
          </cell>
          <cell r="T2704">
            <v>0</v>
          </cell>
          <cell r="U2704">
            <v>2842000</v>
          </cell>
          <cell r="V2704">
            <v>812000</v>
          </cell>
        </row>
        <row r="2705">
          <cell r="J2705">
            <v>2321</v>
          </cell>
          <cell r="K2705">
            <v>43279</v>
          </cell>
          <cell r="L2705" t="str">
            <v>SOLEDAD  PINO PEREZ</v>
          </cell>
          <cell r="M2705">
            <v>31</v>
          </cell>
          <cell r="N2705" t="str">
            <v>RESOLUCION</v>
          </cell>
          <cell r="O2705">
            <v>2681</v>
          </cell>
          <cell r="P2705">
            <v>43279</v>
          </cell>
          <cell r="Q2705" t="str">
            <v>AYUDA TEMPORAL A LAS FAMILIAS DE VARIAS LOCALIDADES, PARA LA RELOCALIZACIÓN DE HOGARES LOCALIZADOS EN ZONAS DE ALTO RIESGO NO MITIGABLE ID:2012-T314-15, LOCALIDAD:04 SAN CRISTÓBAL, UPZ:50 LA GLORIA</v>
          </cell>
          <cell r="R2705">
            <v>3157574</v>
          </cell>
          <cell r="S2705">
            <v>0</v>
          </cell>
          <cell r="T2705">
            <v>0</v>
          </cell>
          <cell r="U2705">
            <v>3157574</v>
          </cell>
          <cell r="V2705">
            <v>902164</v>
          </cell>
        </row>
        <row r="2706">
          <cell r="J2706">
            <v>2322</v>
          </cell>
          <cell r="K2706">
            <v>43279</v>
          </cell>
          <cell r="L2706" t="str">
            <v>ANA CLAUDINA ESCOBAR ROJAS</v>
          </cell>
          <cell r="M2706">
            <v>31</v>
          </cell>
          <cell r="N2706" t="str">
            <v>RESOLUCION</v>
          </cell>
          <cell r="O2706">
            <v>2663</v>
          </cell>
          <cell r="P2706">
            <v>43279</v>
          </cell>
          <cell r="Q2706" t="str">
            <v>AYUDA TEMPORAL A LAS FAMILIAS DE VARIAS LOCALIDADES, PARA LA RELOCALIZACIÓN DE HOGARES LOCALIZADOS EN ZONAS DE ALTO RIESGO NO MITIGABLE ID:2013000468, LOCALIDAD:04 SAN CRISTÓBAL, UPZ:51 LOS LIBERTADORES, SECTOR:QUEBRADA VEREJONES</v>
          </cell>
          <cell r="R2706">
            <v>3335906</v>
          </cell>
          <cell r="S2706">
            <v>0</v>
          </cell>
          <cell r="T2706">
            <v>0</v>
          </cell>
          <cell r="U2706">
            <v>3335906</v>
          </cell>
          <cell r="V2706">
            <v>953116</v>
          </cell>
        </row>
        <row r="2707">
          <cell r="J2707">
            <v>2323</v>
          </cell>
          <cell r="K2707">
            <v>43279</v>
          </cell>
          <cell r="L2707" t="str">
            <v>NORALBA  OYOLA BOTACHE</v>
          </cell>
          <cell r="M2707">
            <v>31</v>
          </cell>
          <cell r="N2707" t="str">
            <v>RESOLUCION</v>
          </cell>
          <cell r="O2707">
            <v>2662</v>
          </cell>
          <cell r="P2707">
            <v>43279</v>
          </cell>
          <cell r="Q2707" t="str">
            <v>AYUDA TEMPORAL A LAS FAMILIAS DE VARIAS LOCALIDADES, PARA LA RELOCALIZACIÓN DE HOGARES LOCALIZADOS EN ZONAS DE ALTO RIESGO NO MITIGABLE ID:2013000169, LOCALIDAD:19 CIUDAD BOLÍVAR, UPZ:67 LUCERO, SECTOR:QUEBRADA TROMPETA</v>
          </cell>
          <cell r="R2707">
            <v>3022327</v>
          </cell>
          <cell r="S2707">
            <v>0</v>
          </cell>
          <cell r="T2707">
            <v>0</v>
          </cell>
          <cell r="U2707">
            <v>3022327</v>
          </cell>
          <cell r="V2707">
            <v>863522</v>
          </cell>
        </row>
        <row r="2708">
          <cell r="J2708">
            <v>2324</v>
          </cell>
          <cell r="K2708">
            <v>43279</v>
          </cell>
          <cell r="L2708" t="str">
            <v>HARRISON DAVID BARBOSA RINCON</v>
          </cell>
          <cell r="M2708">
            <v>31</v>
          </cell>
          <cell r="N2708" t="str">
            <v>RESOLUCION</v>
          </cell>
          <cell r="O2708">
            <v>2661</v>
          </cell>
          <cell r="P2708">
            <v>43279</v>
          </cell>
          <cell r="Q2708" t="str">
            <v>AYUDA TEMPORAL A LAS FAMILIAS DE VARIAS LOCALIDADES, PARA LA RELOCALIZACIÓN DE HOGARES LOCALIZADOS EN ZONAS DE ALTO RIESGO NO MITIGABLE ID:2010-18-12342, LOCALIDAD:18 RAFAEL URIBE URIBE, UPZ:55 DIANA TURBAY, SECTOR:OLA INVERNAL 2010 FOPAE</v>
          </cell>
          <cell r="R2708">
            <v>1237317</v>
          </cell>
          <cell r="S2708">
            <v>0</v>
          </cell>
          <cell r="T2708">
            <v>0</v>
          </cell>
          <cell r="U2708">
            <v>1237317</v>
          </cell>
          <cell r="V2708">
            <v>412439</v>
          </cell>
        </row>
        <row r="2709">
          <cell r="J2709">
            <v>2325</v>
          </cell>
          <cell r="K2709">
            <v>43279</v>
          </cell>
          <cell r="L2709" t="str">
            <v>YANETH  QUIÑONES PRIETO</v>
          </cell>
          <cell r="M2709">
            <v>31</v>
          </cell>
          <cell r="N2709" t="str">
            <v>RESOLUCION</v>
          </cell>
          <cell r="O2709">
            <v>2660</v>
          </cell>
          <cell r="P2709">
            <v>43279</v>
          </cell>
          <cell r="Q2709" t="str">
            <v>AYUDA TEMPORAL A LAS FAMILIAS DE VARIAS LOCALIDADES, PARA LA RELOCALIZACIÓN DE HOGARES LOCALIZADOS EN ZONAS DE ALTO RIESGO NO MITIGABLE ID:2012-ALES-223, LOCALIDAD:19 CIUDAD BOLÍVAR, UPZ:69 ISMAEL PERDOMO</v>
          </cell>
          <cell r="R2709">
            <v>3017000</v>
          </cell>
          <cell r="S2709">
            <v>0</v>
          </cell>
          <cell r="T2709">
            <v>0</v>
          </cell>
          <cell r="U2709">
            <v>3017000</v>
          </cell>
          <cell r="V2709">
            <v>862000</v>
          </cell>
        </row>
        <row r="2710">
          <cell r="J2710">
            <v>2326</v>
          </cell>
          <cell r="K2710">
            <v>43279</v>
          </cell>
          <cell r="L2710" t="str">
            <v>MARIA DEL PILAR PINO PEREZ</v>
          </cell>
          <cell r="M2710">
            <v>31</v>
          </cell>
          <cell r="N2710" t="str">
            <v>RESOLUCION</v>
          </cell>
          <cell r="O2710">
            <v>2659</v>
          </cell>
          <cell r="P2710">
            <v>43279</v>
          </cell>
          <cell r="Q2710" t="str">
            <v>AYUDA TEMPORAL A LAS FAMILIAS DE VARIAS LOCALIDADES, PARA LA RELOCALIZACIÓN DE HOGARES LOCALIZADOS EN ZONAS DE ALTO RIESGO NO MITIGABLE ID:2012-T314-06, LOCALIDAD:04 SAN CRISTÓBAL, UPZ:50 LA GLORIA</v>
          </cell>
          <cell r="R2710">
            <v>3022327</v>
          </cell>
          <cell r="S2710">
            <v>0</v>
          </cell>
          <cell r="T2710">
            <v>0</v>
          </cell>
          <cell r="U2710">
            <v>3022327</v>
          </cell>
          <cell r="V2710">
            <v>863522</v>
          </cell>
        </row>
        <row r="2711">
          <cell r="J2711">
            <v>2327</v>
          </cell>
          <cell r="K2711">
            <v>43279</v>
          </cell>
          <cell r="L2711" t="str">
            <v>JAQUELINE  LOPEZ PEREZ</v>
          </cell>
          <cell r="M2711">
            <v>31</v>
          </cell>
          <cell r="N2711" t="str">
            <v>RESOLUCION</v>
          </cell>
          <cell r="O2711">
            <v>2658</v>
          </cell>
          <cell r="P2711">
            <v>43279</v>
          </cell>
          <cell r="Q2711" t="str">
            <v>AYUDA TEMPORAL A LAS FAMILIAS DE VARIAS LOCALIDADES, PARA LA RELOCALIZACIÓN DE HOGARES LOCALIZADOS EN ZONAS DE ALTO RIESGO NO MITIGABLE ID:2012-T314-10, LOCALIDAD:04 SAN CRISTÓBAL, UPZ:50 LA GLORIA</v>
          </cell>
          <cell r="R2711">
            <v>2618154</v>
          </cell>
          <cell r="S2711">
            <v>0</v>
          </cell>
          <cell r="T2711">
            <v>0</v>
          </cell>
          <cell r="U2711">
            <v>2618154</v>
          </cell>
          <cell r="V2711">
            <v>748044</v>
          </cell>
        </row>
        <row r="2712">
          <cell r="J2712">
            <v>2328</v>
          </cell>
          <cell r="K2712">
            <v>43279</v>
          </cell>
          <cell r="L2712" t="str">
            <v>GLORIA INES MEJIA VARGAS</v>
          </cell>
          <cell r="M2712">
            <v>31</v>
          </cell>
          <cell r="N2712" t="str">
            <v>RESOLUCION</v>
          </cell>
          <cell r="O2712">
            <v>2657</v>
          </cell>
          <cell r="P2712">
            <v>43279</v>
          </cell>
          <cell r="Q2712" t="str">
            <v>AYUDA TEMPORAL A LAS FAMILIAS DE VARIAS LOCALIDADES, PARA LA RELOCALIZACIÓN DE HOGARES LOCALIZADOS EN ZONAS DE ALTO RIESGO NO MITIGABLE ID:2012-T314-11, LOCALIDAD:04 SAN CRISTÓBAL, UPZ:50 LA GLORIA</v>
          </cell>
          <cell r="R2712">
            <v>3022327</v>
          </cell>
          <cell r="S2712">
            <v>0</v>
          </cell>
          <cell r="T2712">
            <v>0</v>
          </cell>
          <cell r="U2712">
            <v>3022327</v>
          </cell>
          <cell r="V2712">
            <v>863522</v>
          </cell>
        </row>
        <row r="2713">
          <cell r="J2713">
            <v>2329</v>
          </cell>
          <cell r="K2713">
            <v>43279</v>
          </cell>
          <cell r="L2713" t="str">
            <v>ANGELA MARIA RODRIGUEZ RUBIANO</v>
          </cell>
          <cell r="M2713">
            <v>31</v>
          </cell>
          <cell r="N2713" t="str">
            <v>RESOLUCION</v>
          </cell>
          <cell r="O2713">
            <v>2656</v>
          </cell>
          <cell r="P2713">
            <v>43279</v>
          </cell>
          <cell r="Q2713" t="str">
            <v>AYUDA TEMPORAL A LAS FAMILIAS DE VARIAS LOCALIDADES, PARA LA RELOCALIZACIÓN DE HOGARES LOCALIZADOS EN ZONAS DE ALTO RIESGO NO MITIGABLE ID:2014-Q09-00805, LOCALIDAD:19 CIUDAD BOLÍVAR, UPZ:67 LUCERO, SECTOR:QUEBRADA TROMPETA</v>
          </cell>
          <cell r="R2713">
            <v>3017000</v>
          </cell>
          <cell r="S2713">
            <v>0</v>
          </cell>
          <cell r="T2713">
            <v>0</v>
          </cell>
          <cell r="U2713">
            <v>3017000</v>
          </cell>
          <cell r="V2713">
            <v>862000</v>
          </cell>
        </row>
        <row r="2714">
          <cell r="J2714">
            <v>2330</v>
          </cell>
          <cell r="K2714">
            <v>43279</v>
          </cell>
          <cell r="L2714" t="str">
            <v>MABEL YADIRA ABRIL</v>
          </cell>
          <cell r="M2714">
            <v>31</v>
          </cell>
          <cell r="N2714" t="str">
            <v>RESOLUCION</v>
          </cell>
          <cell r="O2714">
            <v>2655</v>
          </cell>
          <cell r="P2714">
            <v>43279</v>
          </cell>
          <cell r="Q2714" t="str">
            <v>AYUDA TEMPORAL A LAS FAMILIAS DE VARIAS LOCALIDADES, PARA LA RELOCALIZACIÓN DE HOGARES LOCALIZADOS EN ZONAS DE ALTO RIESGO NO MITIGABLE ID:2015-OTR-01307, LOCALIDAD:19 CIUDAD BOLÍVAR, UPZ:68 EL TESORO, SECTOR:QUEBRADA TROMPETA</v>
          </cell>
          <cell r="R2714">
            <v>3471279</v>
          </cell>
          <cell r="S2714">
            <v>0</v>
          </cell>
          <cell r="T2714">
            <v>0</v>
          </cell>
          <cell r="U2714">
            <v>3471279</v>
          </cell>
          <cell r="V2714">
            <v>991794</v>
          </cell>
        </row>
        <row r="2715">
          <cell r="J2715">
            <v>2331</v>
          </cell>
          <cell r="K2715">
            <v>43279</v>
          </cell>
          <cell r="L2715" t="str">
            <v>LEONARDO FABIO ROJAS PEREZ</v>
          </cell>
          <cell r="M2715">
            <v>31</v>
          </cell>
          <cell r="N2715" t="str">
            <v>RESOLUCION</v>
          </cell>
          <cell r="O2715">
            <v>2654</v>
          </cell>
          <cell r="P2715">
            <v>43279</v>
          </cell>
          <cell r="Q2715" t="str">
            <v>AYUDA TEMPORAL A LAS FAMILIAS DE VARIAS LOCALIDADES, PARA LA RELOCALIZACIÓN DE HOGARES LOCALIZADOS EN ZONAS DE ALTO RIESGO NO MITIGABLE ID:2014-OTR-00894, LOCALIDAD:03 SANTA FE, UPZ:96 LOURDES, SECTOR:CASA 3</v>
          </cell>
          <cell r="R2715">
            <v>3714368</v>
          </cell>
          <cell r="S2715">
            <v>0</v>
          </cell>
          <cell r="T2715">
            <v>0</v>
          </cell>
          <cell r="U2715">
            <v>3714368</v>
          </cell>
          <cell r="V2715">
            <v>1061248</v>
          </cell>
        </row>
        <row r="2716">
          <cell r="J2716">
            <v>2332</v>
          </cell>
          <cell r="K2716">
            <v>43279</v>
          </cell>
          <cell r="L2716" t="str">
            <v>MARIA HELENA GONZALEZ MENA</v>
          </cell>
          <cell r="M2716">
            <v>31</v>
          </cell>
          <cell r="N2716" t="str">
            <v>RESOLUCION</v>
          </cell>
          <cell r="O2716">
            <v>2653</v>
          </cell>
          <cell r="P2716">
            <v>43279</v>
          </cell>
          <cell r="Q2716" t="str">
            <v>AYUDA TEMPORAL A LAS FAMILIAS DE VARIAS LOCALIDADES, PARA LA RELOCALIZACIÓN DE HOGARES LOCALIZADOS EN ZONAS DE ALTO RIESGO NO MITIGABLE ID:2015-OTR-01462, LOCALIDAD:02 CHAPINERO, UPZ:90 PARDO RUBIO</v>
          </cell>
          <cell r="R2716">
            <v>4014528</v>
          </cell>
          <cell r="S2716">
            <v>0</v>
          </cell>
          <cell r="T2716">
            <v>0</v>
          </cell>
          <cell r="U2716">
            <v>4014528</v>
          </cell>
          <cell r="V2716">
            <v>1147008</v>
          </cell>
        </row>
        <row r="2717">
          <cell r="J2717">
            <v>2333</v>
          </cell>
          <cell r="K2717">
            <v>43279</v>
          </cell>
          <cell r="L2717" t="str">
            <v>FRANCY YAMILE NIÑO GARCIA</v>
          </cell>
          <cell r="M2717">
            <v>31</v>
          </cell>
          <cell r="N2717" t="str">
            <v>RESOLUCION</v>
          </cell>
          <cell r="O2717">
            <v>2652</v>
          </cell>
          <cell r="P2717">
            <v>43279</v>
          </cell>
          <cell r="Q2717" t="str">
            <v>AYUDA TEMPORAL A LAS FAMILIAS DE VARIAS LOCALIDADES, PARA LA RELOCALIZACIÓN DE HOGARES LOCALIZADOS EN ZONAS DE ALTO RIESGO NO MITIGABLE ID:2014-5-14735, LOCALIDAD:05 USME, UPZ:57 GRAN YOMASA</v>
          </cell>
          <cell r="R2717">
            <v>3038112</v>
          </cell>
          <cell r="S2717">
            <v>0</v>
          </cell>
          <cell r="T2717">
            <v>0</v>
          </cell>
          <cell r="U2717">
            <v>3038112</v>
          </cell>
          <cell r="V2717">
            <v>868032</v>
          </cell>
        </row>
        <row r="2718">
          <cell r="J2718">
            <v>2334</v>
          </cell>
          <cell r="K2718">
            <v>43279</v>
          </cell>
          <cell r="L2718" t="str">
            <v>ROSA CECILIA LOPEZ PATARROYO</v>
          </cell>
          <cell r="M2718">
            <v>31</v>
          </cell>
          <cell r="N2718" t="str">
            <v>RESOLUCION</v>
          </cell>
          <cell r="O2718">
            <v>2651</v>
          </cell>
          <cell r="P2718">
            <v>43279</v>
          </cell>
          <cell r="Q2718" t="str">
            <v>AYUDA TEMPORAL A LAS FAMILIAS DE VARIAS LOCALIDADES, PARA LA RELOCALIZACIÓN DE HOGARES LOCALIZADOS EN ZONAS DE ALTO RIESGO NO MITIGABLE ID:2014-OTR-00885, LOCALIDAD:03 SANTA FE, UPZ:96 LOURDES, SECTOR:CASA 2</v>
          </cell>
          <cell r="R2718">
            <v>2976771</v>
          </cell>
          <cell r="S2718">
            <v>0</v>
          </cell>
          <cell r="T2718">
            <v>0</v>
          </cell>
          <cell r="U2718">
            <v>2976771</v>
          </cell>
          <cell r="V2718">
            <v>850506</v>
          </cell>
        </row>
        <row r="2719">
          <cell r="J2719">
            <v>2335</v>
          </cell>
          <cell r="K2719">
            <v>43279</v>
          </cell>
          <cell r="L2719" t="str">
            <v>MARTHA LILIANA PINO PEREZ</v>
          </cell>
          <cell r="M2719">
            <v>31</v>
          </cell>
          <cell r="N2719" t="str">
            <v>RESOLUCION</v>
          </cell>
          <cell r="O2719">
            <v>2680</v>
          </cell>
          <cell r="P2719">
            <v>43279</v>
          </cell>
          <cell r="Q2719" t="str">
            <v>AYUDA TEMPORAL A LAS FAMILIAS DE VARIAS LOCALIDADES, PARA LA RELOCALIZACIÓN DE HOGARES LOCALIZADOS EN ZONAS DE ALTO RIESGO NO MITIGABLE ID:2012-T314-14, LOCALIDAD:04 SAN CRISTÓBAL, UPZ:50 LA GLORIA</v>
          </cell>
          <cell r="R2719">
            <v>2887073</v>
          </cell>
          <cell r="S2719">
            <v>0</v>
          </cell>
          <cell r="T2719">
            <v>0</v>
          </cell>
          <cell r="U2719">
            <v>2887073</v>
          </cell>
          <cell r="V2719">
            <v>824878</v>
          </cell>
        </row>
        <row r="2720">
          <cell r="J2720">
            <v>2336</v>
          </cell>
          <cell r="K2720">
            <v>43279</v>
          </cell>
          <cell r="L2720" t="str">
            <v>ROSA YOHANA DELGADO LOPEZ</v>
          </cell>
          <cell r="M2720">
            <v>31</v>
          </cell>
          <cell r="N2720" t="str">
            <v>RESOLUCION</v>
          </cell>
          <cell r="O2720">
            <v>2650</v>
          </cell>
          <cell r="P2720">
            <v>43279</v>
          </cell>
          <cell r="Q2720" t="str">
            <v>AYUDA TEMPORAL A LAS FAMILIAS DE VARIAS LOCALIDADES, PARA LA RELOCALIZACIÓN DE HOGARES LOCALIZADOS EN ZONAS DE ALTO RIESGO NO MITIGABLE ID:2014-OTR-00881, LOCALIDAD:03 SANTA FE, UPZ:96 LOURDES, SECTOR:CASA 2</v>
          </cell>
          <cell r="R2720">
            <v>2976771</v>
          </cell>
          <cell r="S2720">
            <v>0</v>
          </cell>
          <cell r="T2720">
            <v>0</v>
          </cell>
          <cell r="U2720">
            <v>2976771</v>
          </cell>
          <cell r="V2720">
            <v>850506</v>
          </cell>
        </row>
        <row r="2721">
          <cell r="J2721">
            <v>2337</v>
          </cell>
          <cell r="K2721">
            <v>43279</v>
          </cell>
          <cell r="L2721" t="str">
            <v>ANDREA MILENA PRIETO</v>
          </cell>
          <cell r="M2721">
            <v>31</v>
          </cell>
          <cell r="N2721" t="str">
            <v>RESOLUCION</v>
          </cell>
          <cell r="O2721">
            <v>2649</v>
          </cell>
          <cell r="P2721">
            <v>43279</v>
          </cell>
          <cell r="Q2721" t="str">
            <v>AYUDA TEMPORAL A LAS FAMILIAS DE VARIAS LOCALIDADES, PARA LA RELOCALIZACIÓN DE HOGARES LOCALIZADOS EN ZONAS DE ALTO RIESGO NO MITIGABLE ID:2013-Q10-00207, LOCALIDAD:19 CIUDAD BOLÍVAR, UPZ:67 LUCERO, SECTOR:PEÑA COLORADA</v>
          </cell>
          <cell r="R2721">
            <v>3843840</v>
          </cell>
          <cell r="S2721">
            <v>0</v>
          </cell>
          <cell r="T2721">
            <v>0</v>
          </cell>
          <cell r="U2721">
            <v>3843840</v>
          </cell>
          <cell r="V2721">
            <v>960960</v>
          </cell>
        </row>
        <row r="2722">
          <cell r="J2722">
            <v>2338</v>
          </cell>
          <cell r="K2722">
            <v>43279</v>
          </cell>
          <cell r="L2722" t="str">
            <v>MABIL  BOBADILLA</v>
          </cell>
          <cell r="M2722">
            <v>31</v>
          </cell>
          <cell r="N2722" t="str">
            <v>RESOLUCION</v>
          </cell>
          <cell r="O2722">
            <v>2648</v>
          </cell>
          <cell r="P2722">
            <v>43279</v>
          </cell>
          <cell r="Q2722" t="str">
            <v>AYUDA TEMPORAL A LAS FAMILIAS DE VARIAS LOCALIDADES, PARA LA RELOCALIZACIÓN DE HOGARES LOCALIZADOS EN ZONAS DE ALTO RIESGO NO MITIGABLE ID:2014-OTR-00873, LOCALIDAD:03 SANTA FE, UPZ:96 LOURDES, SECTOR:CASA 1</v>
          </cell>
          <cell r="R2722">
            <v>3518186</v>
          </cell>
          <cell r="S2722">
            <v>0</v>
          </cell>
          <cell r="T2722">
            <v>0</v>
          </cell>
          <cell r="U2722">
            <v>3518186</v>
          </cell>
          <cell r="V2722">
            <v>1005196</v>
          </cell>
        </row>
        <row r="2723">
          <cell r="J2723">
            <v>2339</v>
          </cell>
          <cell r="K2723">
            <v>43279</v>
          </cell>
          <cell r="L2723" t="str">
            <v>ALONSO  HERRERA CARPIO</v>
          </cell>
          <cell r="M2723">
            <v>31</v>
          </cell>
          <cell r="N2723" t="str">
            <v>RESOLUCION</v>
          </cell>
          <cell r="O2723">
            <v>2647</v>
          </cell>
          <cell r="P2723">
            <v>43279</v>
          </cell>
          <cell r="Q2723" t="str">
            <v>AYUDA TEMPORAL A LAS FAMILIAS DE VARIAS LOCALIDADES, PARA LA RELOCALIZACIÓN DE HOGARES LOCALIZADOS EN ZONAS DE ALTO RIESGO NO MITIGABLE ID:2011-4-12695, LOCALIDAD:04 SAN CRISTÓBAL, UPZ:32 SAN BLAS</v>
          </cell>
          <cell r="R2723">
            <v>2685291</v>
          </cell>
          <cell r="S2723">
            <v>0</v>
          </cell>
          <cell r="T2723">
            <v>0</v>
          </cell>
          <cell r="U2723">
            <v>2685291</v>
          </cell>
          <cell r="V2723">
            <v>767226</v>
          </cell>
        </row>
        <row r="2724">
          <cell r="J2724">
            <v>2340</v>
          </cell>
          <cell r="K2724">
            <v>43279</v>
          </cell>
          <cell r="L2724" t="str">
            <v>BLANCA NELLY SANCHEZ VARGAS</v>
          </cell>
          <cell r="M2724">
            <v>31</v>
          </cell>
          <cell r="N2724" t="str">
            <v>RESOLUCION</v>
          </cell>
          <cell r="O2724">
            <v>2646</v>
          </cell>
          <cell r="P2724">
            <v>43279</v>
          </cell>
          <cell r="Q2724" t="str">
            <v>AYUDA TEMPORAL A LAS FAMILIAS DE VARIAS LOCALIDADES, PARA LA RELOCALIZACIÓN DE HOGARES LOCALIZADOS EN ZONAS DE ALTO RIESGO NO MITIGABLE ID:2012-ALES-83, LOCALIDAD:19 CIUDAD BOLÍVAR, UPZ:69 ISMAEL PERDOMO, SECTOR:ALTOS DE LA ESTANCIA</v>
          </cell>
          <cell r="R2724">
            <v>3844008</v>
          </cell>
          <cell r="S2724">
            <v>0</v>
          </cell>
          <cell r="T2724">
            <v>0</v>
          </cell>
          <cell r="U2724">
            <v>3844008</v>
          </cell>
          <cell r="V2724">
            <v>961002</v>
          </cell>
        </row>
        <row r="2725">
          <cell r="J2725">
            <v>2341</v>
          </cell>
          <cell r="K2725">
            <v>43279</v>
          </cell>
          <cell r="L2725" t="str">
            <v>NUBIA XIMENA CAMACHO PUENTES</v>
          </cell>
          <cell r="M2725">
            <v>31</v>
          </cell>
          <cell r="N2725" t="str">
            <v>RESOLUCION</v>
          </cell>
          <cell r="O2725">
            <v>2645</v>
          </cell>
          <cell r="P2725">
            <v>43279</v>
          </cell>
          <cell r="Q2725" t="str">
            <v>AYUDA TEMPORAL A LAS FAMILIAS DE VARIAS LOCALIDADES, PARA LA RELOCALIZACIÓN DE HOGARES LOCALIZADOS EN ZONAS DE ALTO RIESGO NO MITIGABLE ID:2012-T314-02, LOCALIDAD:04 SAN CRISTÓBAL, UPZ:50 LA GLORIA</v>
          </cell>
          <cell r="R2725">
            <v>2887073</v>
          </cell>
          <cell r="S2725">
            <v>0</v>
          </cell>
          <cell r="T2725">
            <v>0</v>
          </cell>
          <cell r="U2725">
            <v>2887073</v>
          </cell>
          <cell r="V2725">
            <v>824878</v>
          </cell>
        </row>
        <row r="2726">
          <cell r="J2726">
            <v>2342</v>
          </cell>
          <cell r="K2726">
            <v>43279</v>
          </cell>
          <cell r="L2726" t="str">
            <v>RODRIGO  CORREDOR</v>
          </cell>
          <cell r="M2726">
            <v>31</v>
          </cell>
          <cell r="N2726" t="str">
            <v>RESOLUCION</v>
          </cell>
          <cell r="O2726">
            <v>2679</v>
          </cell>
          <cell r="P2726">
            <v>43279</v>
          </cell>
          <cell r="Q2726" t="str">
            <v>AYUDA TEMPORAL A LAS FAMILIAS DE VARIAS LOCALIDADES, PARA LA RELOCALIZACIÓN DE HOGARES LOCALIZADOS EN ZONAS DE ALTO RIESGO NO MITIGABLE ID:2013-Q09-00577, LOCALIDAD:19 CIUDAD BOLÍVAR, UPZ:67 LUCERO, SECTOR:QUEBRADA TROMPETA</v>
          </cell>
          <cell r="R2726">
            <v>3619000</v>
          </cell>
          <cell r="S2726">
            <v>0</v>
          </cell>
          <cell r="T2726">
            <v>0</v>
          </cell>
          <cell r="U2726">
            <v>3619000</v>
          </cell>
          <cell r="V2726">
            <v>1034000</v>
          </cell>
        </row>
        <row r="2727">
          <cell r="J2727">
            <v>2343</v>
          </cell>
          <cell r="K2727">
            <v>43279</v>
          </cell>
          <cell r="L2727" t="str">
            <v>MARIA ADELIA LOPEZ QUINTERO</v>
          </cell>
          <cell r="M2727">
            <v>31</v>
          </cell>
          <cell r="N2727" t="str">
            <v>RESOLUCION</v>
          </cell>
          <cell r="O2727">
            <v>2644</v>
          </cell>
          <cell r="P2727">
            <v>43279</v>
          </cell>
          <cell r="Q2727" t="str">
            <v>AYUDA TEMPORAL A LAS FAMILIAS DE VARIAS LOCALIDADES, PARA LA RELOCALIZACIÓN DE HOGARES LOCALIZADOS EN ZONAS DE ALTO RIESGO NO MITIGABLE ID:2012-19-13791, LOCALIDAD:19 CIUDAD BOLÍVAR, UPZ:67 LUCERO</v>
          </cell>
          <cell r="R2727">
            <v>2924376</v>
          </cell>
          <cell r="S2727">
            <v>0</v>
          </cell>
          <cell r="T2727">
            <v>0</v>
          </cell>
          <cell r="U2727">
            <v>2924376</v>
          </cell>
          <cell r="V2727">
            <v>835536</v>
          </cell>
        </row>
        <row r="2728">
          <cell r="J2728">
            <v>2344</v>
          </cell>
          <cell r="K2728">
            <v>43279</v>
          </cell>
          <cell r="L2728" t="str">
            <v>JULIO ERNESTO LAGOS MOJICA</v>
          </cell>
          <cell r="M2728">
            <v>31</v>
          </cell>
          <cell r="N2728" t="str">
            <v>RESOLUCION</v>
          </cell>
          <cell r="O2728">
            <v>2678</v>
          </cell>
          <cell r="P2728">
            <v>43279</v>
          </cell>
          <cell r="Q2728" t="str">
            <v>AYUDA TEMPORAL A LAS FAMILIAS DE VARIAS LOCALIDADES, PARA LA RELOCALIZACIÓN DE HOGARES LOCALIZADOS EN ZONAS DE ALTO RIESGO NO MITIGABLE ID:2012-ALES-15, LOCALIDAD:19 CIUDAD BOLÍVAR, UPZ:69 ISMAEL PERDOMO</v>
          </cell>
          <cell r="R2728">
            <v>3157315</v>
          </cell>
          <cell r="S2728">
            <v>0</v>
          </cell>
          <cell r="T2728">
            <v>0</v>
          </cell>
          <cell r="U2728">
            <v>3157315</v>
          </cell>
          <cell r="V2728">
            <v>902090</v>
          </cell>
        </row>
        <row r="2729">
          <cell r="J2729">
            <v>2345</v>
          </cell>
          <cell r="K2729">
            <v>43279</v>
          </cell>
          <cell r="L2729" t="str">
            <v>HERNANDO  CASTRO MERGAREJO</v>
          </cell>
          <cell r="M2729">
            <v>31</v>
          </cell>
          <cell r="N2729" t="str">
            <v>RESOLUCION</v>
          </cell>
          <cell r="O2729">
            <v>2677</v>
          </cell>
          <cell r="P2729">
            <v>43279</v>
          </cell>
          <cell r="Q2729" t="str">
            <v>AYUDA TEMPORAL A LAS FAMILIAS DE VARIAS LOCALIDADES, PARA LA RELOCALIZACIÓN DE HOGARES LOCALIZADOS EN ZONAS DE ALTO RIESGO NO MITIGABLE ID:2013-Q09-00479, LOCALIDAD:19 CIUDAD BOLÍVAR, UPZ:67 LUCERO, SECTOR:QUEBRADA TROMPETA</v>
          </cell>
          <cell r="R2729">
            <v>3157315</v>
          </cell>
          <cell r="S2729">
            <v>0</v>
          </cell>
          <cell r="T2729">
            <v>0</v>
          </cell>
          <cell r="U2729">
            <v>3157315</v>
          </cell>
          <cell r="V2729">
            <v>902090</v>
          </cell>
        </row>
        <row r="2730">
          <cell r="J2730">
            <v>2346</v>
          </cell>
          <cell r="K2730">
            <v>43279</v>
          </cell>
          <cell r="L2730" t="str">
            <v>ALEXANDRA  REY GUTIERREZ</v>
          </cell>
          <cell r="M2730">
            <v>31</v>
          </cell>
          <cell r="N2730" t="str">
            <v>RESOLUCION</v>
          </cell>
          <cell r="O2730">
            <v>2676</v>
          </cell>
          <cell r="P2730">
            <v>43279</v>
          </cell>
          <cell r="Q2730" t="str">
            <v>AYUDA TEMPORAL A LAS FAMILIAS DE VARIAS LOCALIDADES, PARA LA RELOCALIZACIÓN DE HOGARES LOCALIZADOS EN ZONAS DE ALTO RIESGO NO MITIGABLE ID:2012-T314-05, LOCALIDAD:04 SAN CRISTÓBAL, UPZ:50 LA GLORIA</v>
          </cell>
          <cell r="R2730">
            <v>3570210</v>
          </cell>
          <cell r="S2730">
            <v>0</v>
          </cell>
          <cell r="T2730">
            <v>0</v>
          </cell>
          <cell r="U2730">
            <v>3570210</v>
          </cell>
          <cell r="V2730">
            <v>1020060</v>
          </cell>
        </row>
        <row r="2731">
          <cell r="J2731">
            <v>2347</v>
          </cell>
          <cell r="K2731">
            <v>43279</v>
          </cell>
          <cell r="L2731" t="str">
            <v>CLARA LILIA AREVALO</v>
          </cell>
          <cell r="M2731">
            <v>31</v>
          </cell>
          <cell r="N2731" t="str">
            <v>RESOLUCION</v>
          </cell>
          <cell r="O2731">
            <v>2675</v>
          </cell>
          <cell r="P2731">
            <v>43279</v>
          </cell>
          <cell r="Q2731" t="str">
            <v>AYUDA TEMPORAL A LAS FAMILIAS DE VARIAS LOCALIDADES, PARA LA RELOCALIZACIÓN DE HOGARES LOCALIZADOS EN ZONAS DE ALTO RIESGO NO MITIGABLE ID:2011-5-13260, LOCALIDAD:05 USME, UPZ:56 DANUBIO</v>
          </cell>
          <cell r="R2731">
            <v>2953097</v>
          </cell>
          <cell r="S2731">
            <v>0</v>
          </cell>
          <cell r="T2731">
            <v>0</v>
          </cell>
          <cell r="U2731">
            <v>2953097</v>
          </cell>
          <cell r="V2731">
            <v>843742</v>
          </cell>
        </row>
        <row r="2732">
          <cell r="J2732">
            <v>2348</v>
          </cell>
          <cell r="K2732">
            <v>43279</v>
          </cell>
          <cell r="L2732" t="str">
            <v>JHON ALEXANDER SARMIENTO</v>
          </cell>
          <cell r="M2732">
            <v>31</v>
          </cell>
          <cell r="N2732" t="str">
            <v>RESOLUCION</v>
          </cell>
          <cell r="O2732">
            <v>2674</v>
          </cell>
          <cell r="P2732">
            <v>43279</v>
          </cell>
          <cell r="Q2732" t="str">
            <v>AYUDA TEMPORAL A LAS FAMILIAS DE VARIAS LOCALIDADES, PARA LA RELOCALIZACIÓN DE HOGARES LOCALIZADOS EN ZONAS DE ALTO RIESGO NO MITIGABLE ID:2012-T314-04, LOCALIDAD:04 SAN CRISTÓBAL, UPZ:50 LA GLORIA</v>
          </cell>
          <cell r="R2732">
            <v>3248007</v>
          </cell>
          <cell r="S2732">
            <v>0</v>
          </cell>
          <cell r="T2732">
            <v>0</v>
          </cell>
          <cell r="U2732">
            <v>3248007</v>
          </cell>
          <cell r="V2732">
            <v>928002</v>
          </cell>
        </row>
        <row r="2733">
          <cell r="J2733">
            <v>2349</v>
          </cell>
          <cell r="K2733">
            <v>43279</v>
          </cell>
          <cell r="L2733" t="str">
            <v>GILBERTO  FORERO</v>
          </cell>
          <cell r="M2733">
            <v>31</v>
          </cell>
          <cell r="N2733" t="str">
            <v>RESOLUCION</v>
          </cell>
          <cell r="O2733">
            <v>2673</v>
          </cell>
          <cell r="P2733">
            <v>43279</v>
          </cell>
          <cell r="Q2733" t="str">
            <v>AYUDA TEMPORAL A LAS FAMILIAS DE VARIAS LOCALIDADES, PARA LA RELOCALIZACIÓN DE HOGARES LOCALIZADOS EN ZONAS DE ALTO RIESGO NO MITIGABLE ID:2012-ALES-190, LOCALIDAD:19 CIUDAD BOLÍVAR, UPZ:69 ISMAEL PERDOMO, SECTOR:ALTOS DE LA ESTANCIA</v>
          </cell>
          <cell r="R2733">
            <v>2390202</v>
          </cell>
          <cell r="S2733">
            <v>0</v>
          </cell>
          <cell r="T2733">
            <v>0</v>
          </cell>
          <cell r="U2733">
            <v>2390202</v>
          </cell>
          <cell r="V2733">
            <v>796734</v>
          </cell>
        </row>
        <row r="2734">
          <cell r="J2734">
            <v>2350</v>
          </cell>
          <cell r="K2734">
            <v>43279</v>
          </cell>
          <cell r="L2734" t="str">
            <v>EFRAIN  TORRES</v>
          </cell>
          <cell r="M2734">
            <v>31</v>
          </cell>
          <cell r="N2734" t="str">
            <v>RESOLUCION</v>
          </cell>
          <cell r="O2734">
            <v>2672</v>
          </cell>
          <cell r="P2734">
            <v>43279</v>
          </cell>
          <cell r="Q2734" t="str">
            <v>AYUDA TEMPORAL A LAS FAMILIAS DE VARIAS LOCALIDADES, PARA LA RELOCALIZACIÓN DE HOGARES LOCALIZADOS EN ZONAS DE ALTO RIESGO NO MITIGABLE ID:2012-19-14090, LOCALIDAD:19 CIUDAD BOLÍVAR, UPZ:68 EL TESORO, SECTOR:QUEBRADA TROMPETA</v>
          </cell>
          <cell r="R2734">
            <v>3247176</v>
          </cell>
          <cell r="S2734">
            <v>0</v>
          </cell>
          <cell r="T2734">
            <v>0</v>
          </cell>
          <cell r="U2734">
            <v>3247176</v>
          </cell>
          <cell r="V2734">
            <v>811794</v>
          </cell>
        </row>
        <row r="2735">
          <cell r="J2735">
            <v>2351</v>
          </cell>
          <cell r="K2735">
            <v>43279</v>
          </cell>
          <cell r="L2735" t="str">
            <v>MERCEDES  CHAPARRO ROJAS</v>
          </cell>
          <cell r="M2735">
            <v>31</v>
          </cell>
          <cell r="N2735" t="str">
            <v>RESOLUCION</v>
          </cell>
          <cell r="O2735">
            <v>2554</v>
          </cell>
          <cell r="P2735">
            <v>43279</v>
          </cell>
          <cell r="Q2735" t="str">
            <v>AYUDA TEMPORAL A LAS FAMILIAS DE VARIAS LOCALIDADES, PARA LA RELOCALIZACIÓN DE HOGARES LOCALIZADOS EN ZONAS DE ALTO RIESGO NO MITIGABLE ID:2013-Q10-00520, LOCALIDAD:04 SAN CRISTÓBAL, UPZ:51 LOS LIBERTADORES, SECTOR:QUEBRADA VEREJONES</v>
          </cell>
          <cell r="R2735">
            <v>2685291</v>
          </cell>
          <cell r="S2735">
            <v>0</v>
          </cell>
          <cell r="T2735">
            <v>0</v>
          </cell>
          <cell r="U2735">
            <v>2685291</v>
          </cell>
          <cell r="V2735">
            <v>767226</v>
          </cell>
        </row>
        <row r="2736">
          <cell r="J2736">
            <v>2352</v>
          </cell>
          <cell r="K2736">
            <v>43279</v>
          </cell>
          <cell r="L2736" t="str">
            <v>CARMEN ROSA POVEDA VDA DE CAMACHO</v>
          </cell>
          <cell r="M2736">
            <v>31</v>
          </cell>
          <cell r="N2736" t="str">
            <v>RESOLUCION</v>
          </cell>
          <cell r="O2736">
            <v>2750</v>
          </cell>
          <cell r="P2736">
            <v>43279</v>
          </cell>
          <cell r="Q2736" t="str">
            <v>AYUDA TEMPORAL A LAS FAMILIAS DE VARIAS LOCALIDADES, PARA RELOCALIZACIÓN DE HOGARES LOCALIZADOS EN ZONAS DE ALTO RIESGO NO MITIGABLE ID:2014-Q07-00795, LOCALIDAD:19 CIUDAD BOLÍVAR, UPZ:68 EL TESORO, SECTOR:QUEBRADA GALINDO</v>
          </cell>
          <cell r="R2736">
            <v>3805784</v>
          </cell>
          <cell r="S2736">
            <v>0</v>
          </cell>
          <cell r="T2736">
            <v>0</v>
          </cell>
          <cell r="U2736">
            <v>3805784</v>
          </cell>
          <cell r="V2736">
            <v>951446</v>
          </cell>
        </row>
        <row r="2737">
          <cell r="J2737">
            <v>2353</v>
          </cell>
          <cell r="K2737">
            <v>43279</v>
          </cell>
          <cell r="L2737" t="str">
            <v>HECTOR JULIO GOMEZ HERRERA</v>
          </cell>
          <cell r="M2737">
            <v>31</v>
          </cell>
          <cell r="N2737" t="str">
            <v>RESOLUCION</v>
          </cell>
          <cell r="O2737">
            <v>2749</v>
          </cell>
          <cell r="P2737">
            <v>43279</v>
          </cell>
          <cell r="Q2737" t="str">
            <v>AYUDA TEMPORAL A LAS FAMILIAS DE VARIAS LOCALIDADES, PARA LA RELOCALIZACIÓN DE HOGARES LOCALIZADOS EN ZONAS DE ALTO RIESGO NO MITIGABLE ID:2010-5-11595, LOCALIDAD:05 USME, UPZ:57 GRAN YOMASA, SECTOR:OLA INVERNAL 2010 FOPAE</v>
          </cell>
          <cell r="R2737">
            <v>2582006</v>
          </cell>
          <cell r="S2737">
            <v>0</v>
          </cell>
          <cell r="T2737">
            <v>0</v>
          </cell>
          <cell r="U2737">
            <v>2582006</v>
          </cell>
          <cell r="V2737">
            <v>737716</v>
          </cell>
        </row>
        <row r="2738">
          <cell r="J2738">
            <v>2354</v>
          </cell>
          <cell r="K2738">
            <v>43279</v>
          </cell>
          <cell r="L2738" t="str">
            <v>PATRICIA  MALAGON RINCON</v>
          </cell>
          <cell r="M2738">
            <v>31</v>
          </cell>
          <cell r="N2738" t="str">
            <v>RESOLUCION</v>
          </cell>
          <cell r="O2738">
            <v>2748</v>
          </cell>
          <cell r="P2738">
            <v>43279</v>
          </cell>
          <cell r="Q2738" t="str">
            <v>AYUDA TEMPORAL A LAS FAMILIAS DE VARIAS LOCALIDADES, PARA RELOCALIZACIÓN DE HOGARES LOCALIZADOS EN ZONAS DE ALTO RIESGO NO MITIGABLE ID:2016-08-14840, LOCALIDAD:08 KENNEDY, UPZ:82 PATIO BONITO, SECTOR:PALMITAS</v>
          </cell>
          <cell r="R2738">
            <v>3098410</v>
          </cell>
          <cell r="S2738">
            <v>0</v>
          </cell>
          <cell r="T2738">
            <v>0</v>
          </cell>
          <cell r="U2738">
            <v>3098410</v>
          </cell>
          <cell r="V2738">
            <v>885260</v>
          </cell>
        </row>
        <row r="2739">
          <cell r="J2739">
            <v>2355</v>
          </cell>
          <cell r="K2739">
            <v>43279</v>
          </cell>
          <cell r="L2739" t="str">
            <v>MARLEN  BELTRAN CASTELLANOS</v>
          </cell>
          <cell r="M2739">
            <v>31</v>
          </cell>
          <cell r="N2739" t="str">
            <v>RESOLUCION</v>
          </cell>
          <cell r="O2739">
            <v>2747</v>
          </cell>
          <cell r="P2739">
            <v>43279</v>
          </cell>
          <cell r="Q2739" t="str">
            <v>AYUDA TEMPORAL A LAS FAMILIAS DE VARIAS LOCALIDADES, PARA RELOCALIZACIÓN DE HOGARES LOCALIZADOS EN ZONAS DE ALTO RIESGO NO MITIGABLE ID:2011-4-12671, LOCALIDAD:04 SAN CRISTÓBAL, UPZ:32 SAN BLAS</v>
          </cell>
          <cell r="R2739">
            <v>3022327</v>
          </cell>
          <cell r="S2739">
            <v>0</v>
          </cell>
          <cell r="T2739">
            <v>0</v>
          </cell>
          <cell r="U2739">
            <v>3022327</v>
          </cell>
          <cell r="V2739">
            <v>863522</v>
          </cell>
        </row>
        <row r="2740">
          <cell r="J2740">
            <v>2356</v>
          </cell>
          <cell r="K2740">
            <v>43279</v>
          </cell>
          <cell r="L2740" t="str">
            <v>JOSE DE JESUS RODRIGUEZ RODRIGUEZ</v>
          </cell>
          <cell r="M2740">
            <v>31</v>
          </cell>
          <cell r="N2740" t="str">
            <v>RESOLUCION</v>
          </cell>
          <cell r="O2740">
            <v>2746</v>
          </cell>
          <cell r="P2740">
            <v>43279</v>
          </cell>
          <cell r="Q2740" t="str">
            <v>AYUDA TEMPORAL A LAS FAMILIAS DE VARIAS LOCALIDADES, PARA RELOCALIZACIÓN DE HOGARES LOCALIZADOS EN ZONAS DE ALTO RIESGO NO MITIGABLE ID:2015-Q03-01427, LOCALIDAD:19 CIUDAD BOLÍVAR, UPZ:66 SAN FRANCISCO, SECTOR:LIMAS</v>
          </cell>
          <cell r="R2740">
            <v>4059405</v>
          </cell>
          <cell r="S2740">
            <v>0</v>
          </cell>
          <cell r="T2740">
            <v>0</v>
          </cell>
          <cell r="U2740">
            <v>4059405</v>
          </cell>
          <cell r="V2740">
            <v>902090</v>
          </cell>
        </row>
        <row r="2741">
          <cell r="J2741">
            <v>2357</v>
          </cell>
          <cell r="K2741">
            <v>43279</v>
          </cell>
          <cell r="L2741" t="str">
            <v>FABIAN  CASTRO CASTAÑEDA</v>
          </cell>
          <cell r="M2741">
            <v>31</v>
          </cell>
          <cell r="N2741" t="str">
            <v>RESOLUCION</v>
          </cell>
          <cell r="O2741">
            <v>2745</v>
          </cell>
          <cell r="P2741">
            <v>43279</v>
          </cell>
          <cell r="Q2741" t="str">
            <v>AYUDA TEMPORAL A LAS FAMILIAS DE VARIAS LOCALIDADES, PARA RELOCALIZACIÓN DE HOGARES LOCALIZADOS EN ZONAS DE ALTO RIESGO NO MITIGABLE ID:2015-OTR-01494, LOCALIDAD:11 SUBA, UPZ:71 TIBABUYES, SECTOR:GAVILANES</v>
          </cell>
          <cell r="R2741">
            <v>3585303</v>
          </cell>
          <cell r="S2741">
            <v>0</v>
          </cell>
          <cell r="T2741">
            <v>0</v>
          </cell>
          <cell r="U2741">
            <v>3585303</v>
          </cell>
          <cell r="V2741">
            <v>796734</v>
          </cell>
        </row>
        <row r="2742">
          <cell r="J2742">
            <v>2358</v>
          </cell>
          <cell r="K2742">
            <v>43279</v>
          </cell>
          <cell r="L2742" t="str">
            <v>ANADELIA  MELO JOYA</v>
          </cell>
          <cell r="M2742">
            <v>31</v>
          </cell>
          <cell r="N2742" t="str">
            <v>RESOLUCION</v>
          </cell>
          <cell r="O2742">
            <v>2723</v>
          </cell>
          <cell r="P2742">
            <v>43279</v>
          </cell>
          <cell r="Q2742" t="str">
            <v>AYUDA TEMPORAL A LAS FAMILIAS DE VARIAS LOCALIDADES, PARA LA RELOCALIZACIÓN DE HOGARES LOCALIZADOS EN ZONAS DE ALTO RIESGO NO MITIGABLE ID:2003-19-5220, LOCALIDAD:19 CIUDAD BOLÍVAR, UPZ:69 ISMAEL PERDOMO, SECTOR:ALTOS DE LA ESTANCIA</v>
          </cell>
          <cell r="R2742">
            <v>3363507</v>
          </cell>
          <cell r="S2742">
            <v>0</v>
          </cell>
          <cell r="T2742">
            <v>0</v>
          </cell>
          <cell r="U2742">
            <v>3363507</v>
          </cell>
          <cell r="V2742">
            <v>480501</v>
          </cell>
        </row>
        <row r="2743">
          <cell r="J2743">
            <v>2359</v>
          </cell>
          <cell r="K2743">
            <v>43279</v>
          </cell>
          <cell r="L2743" t="str">
            <v>JORGE RAUL BERMUDEZ ROMERO</v>
          </cell>
          <cell r="M2743">
            <v>31</v>
          </cell>
          <cell r="N2743" t="str">
            <v>RESOLUCION</v>
          </cell>
          <cell r="O2743">
            <v>2744</v>
          </cell>
          <cell r="P2743">
            <v>43279</v>
          </cell>
          <cell r="Q2743" t="str">
            <v>AYUDA TEMPORAL A LAS FAMILIAS DE VARIAS LOCALIDADES, PARA RELOCALIZACIÓN DE HOGARES LOCALIZADOS EN ZONAS DE ALTO RIESGO NO MITIGABLE ID:2009-4-11182, LOCALIDAD:04 SAN CRISTÓBAL, UPZ:50 LA GLORIA</v>
          </cell>
          <cell r="R2743">
            <v>4374958</v>
          </cell>
          <cell r="S2743">
            <v>0</v>
          </cell>
          <cell r="T2743">
            <v>0</v>
          </cell>
          <cell r="U2743">
            <v>4374958</v>
          </cell>
          <cell r="V2743">
            <v>1249988</v>
          </cell>
        </row>
        <row r="2744">
          <cell r="J2744">
            <v>2360</v>
          </cell>
          <cell r="K2744">
            <v>43279</v>
          </cell>
          <cell r="L2744" t="str">
            <v>YENNY PAOLA DAZA MOTTA</v>
          </cell>
          <cell r="M2744">
            <v>31</v>
          </cell>
          <cell r="N2744" t="str">
            <v>RESOLUCION</v>
          </cell>
          <cell r="O2744">
            <v>2743</v>
          </cell>
          <cell r="P2744">
            <v>43279</v>
          </cell>
          <cell r="Q2744" t="str">
            <v>AYUDA TEMPORAL A LAS FAMILIAS DE VARIAS LOCALIDADES, PARA RELOCALIZACIÓN DE HOGARES LOCALIZADOS EN ZONAS DE ALTO RIESGO NO MITIGABLE ID:2014-4-14720, LOCALIDAD:04 SAN CRISTÓBAL, UPZ:32 SAN BLAS</v>
          </cell>
          <cell r="R2744">
            <v>3796839</v>
          </cell>
          <cell r="S2744">
            <v>0</v>
          </cell>
          <cell r="T2744">
            <v>0</v>
          </cell>
          <cell r="U2744">
            <v>3796839</v>
          </cell>
          <cell r="V2744">
            <v>843742</v>
          </cell>
        </row>
        <row r="2745">
          <cell r="J2745">
            <v>2361</v>
          </cell>
          <cell r="K2745">
            <v>43279</v>
          </cell>
          <cell r="L2745" t="str">
            <v>CLEOFELINA  GARCIA DE CASTRO</v>
          </cell>
          <cell r="M2745">
            <v>31</v>
          </cell>
          <cell r="N2745" t="str">
            <v>RESOLUCION</v>
          </cell>
          <cell r="O2745">
            <v>2742</v>
          </cell>
          <cell r="P2745">
            <v>43279</v>
          </cell>
          <cell r="Q2745" t="str">
            <v>AYUDA TEMPORAL A LAS FAMILIAS DE VARIAS LOCALIDADES, PARA RELOCALIZACIÓN DE HOGARES LOCALIZADOS EN ZONAS DE ALTO RIESGO NO MITIGABLE ID:2014-OTR-00888, LOCALIDAD:03 SANTA FE, UPZ:96 LOURDES, SECTOR:CASA 2</v>
          </cell>
          <cell r="R2745">
            <v>3516527</v>
          </cell>
          <cell r="S2745">
            <v>0</v>
          </cell>
          <cell r="T2745">
            <v>0</v>
          </cell>
          <cell r="U2745">
            <v>3516527</v>
          </cell>
          <cell r="V2745">
            <v>1004722</v>
          </cell>
        </row>
        <row r="2746">
          <cell r="J2746">
            <v>2362</v>
          </cell>
          <cell r="K2746">
            <v>43280</v>
          </cell>
          <cell r="L2746" t="str">
            <v>MARIA DEL TRANSITO UYASABA LOPEZ</v>
          </cell>
          <cell r="M2746">
            <v>31</v>
          </cell>
          <cell r="N2746" t="str">
            <v>RESOLUCION</v>
          </cell>
          <cell r="O2746">
            <v>2752</v>
          </cell>
          <cell r="P2746">
            <v>43280</v>
          </cell>
          <cell r="Q2746" t="str">
            <v>AYUDA TEMPORAL A LAS FAMILIAS DE VARIAS LOCALIDADES, PARA RELOCALIZACIÓN DE HOGARES LOCALIZADOS EN ZONAS DE ALTO RIESGO NO MITIGABLE ID:2010-4-12315, LOCALIDAD:04 SAN CRISTÓBAL, UPZ:32 SAN BLAS, SECTOR:OLA INVERNAL 2010 FOPAE</v>
          </cell>
          <cell r="R2746">
            <v>2734347</v>
          </cell>
          <cell r="S2746">
            <v>0</v>
          </cell>
          <cell r="T2746">
            <v>0</v>
          </cell>
          <cell r="U2746">
            <v>2734347</v>
          </cell>
          <cell r="V2746">
            <v>781242</v>
          </cell>
        </row>
        <row r="2747">
          <cell r="J2747">
            <v>2363</v>
          </cell>
          <cell r="K2747">
            <v>43280</v>
          </cell>
          <cell r="L2747" t="str">
            <v>HERMINSO  ALTURO PERDOMO</v>
          </cell>
          <cell r="M2747">
            <v>31</v>
          </cell>
          <cell r="N2747" t="str">
            <v>RESOLUCION</v>
          </cell>
          <cell r="O2747">
            <v>2770</v>
          </cell>
          <cell r="P2747">
            <v>43280</v>
          </cell>
          <cell r="Q2747" t="str">
            <v>AYUDA TEMPORAL A LAS FAMILIAS DE VARIAS LOCALIDADES, PARA RELOCALIZACIÓN DE HOGARES LOCALIZADOS EN ZONAS DE ALTO RIESGO NO MITIGABLE ID:2014-Q07-00795, LOCALIDAD:19 CIUDAD BOLÍVAR, UPZ:68 EL TESORO, SECTOR:QUEBRADA GALINDO</v>
          </cell>
          <cell r="R2747">
            <v>3743922</v>
          </cell>
          <cell r="S2747">
            <v>3743922</v>
          </cell>
          <cell r="T2747">
            <v>0</v>
          </cell>
          <cell r="U2747">
            <v>0</v>
          </cell>
          <cell r="V2747">
            <v>0</v>
          </cell>
        </row>
        <row r="2748">
          <cell r="J2748">
            <v>2364</v>
          </cell>
          <cell r="K2748">
            <v>43280</v>
          </cell>
          <cell r="L2748" t="str">
            <v>MARIA FERNANDA ESPITIA SAGANOME</v>
          </cell>
          <cell r="M2748">
            <v>31</v>
          </cell>
          <cell r="N2748" t="str">
            <v>RESOLUCION</v>
          </cell>
          <cell r="O2748">
            <v>2769</v>
          </cell>
          <cell r="P2748">
            <v>43280</v>
          </cell>
          <cell r="Q2748" t="str">
            <v>AYUDA TEMPORAL A LAS FAMILIAS DE VARIAS LOCALIDADES, PARA LA RELOCALIZACIÓN DE HOGARES LOCALIZADOS EN ZONAS DE ALTO RIESGO NO MITIGABLE ID:2015-OTR-01378, LOCALIDAD:11 SUBA, UPZ:71 TIBABUYES, SECTOR:GAVILANES</v>
          </cell>
          <cell r="R2748">
            <v>2734347</v>
          </cell>
          <cell r="S2748">
            <v>0</v>
          </cell>
          <cell r="T2748">
            <v>0</v>
          </cell>
          <cell r="U2748">
            <v>2734347</v>
          </cell>
          <cell r="V2748">
            <v>781242</v>
          </cell>
        </row>
        <row r="2749">
          <cell r="J2749">
            <v>2365</v>
          </cell>
          <cell r="K2749">
            <v>43280</v>
          </cell>
          <cell r="L2749" t="str">
            <v>MARIA HELENA GALINDO GONZALEZ</v>
          </cell>
          <cell r="M2749">
            <v>31</v>
          </cell>
          <cell r="N2749" t="str">
            <v>RESOLUCION</v>
          </cell>
          <cell r="O2749">
            <v>2768</v>
          </cell>
          <cell r="P2749">
            <v>43280</v>
          </cell>
          <cell r="Q2749" t="str">
            <v>AYUDA TEMPORAL A LAS FAMILIAS DE VARIAS LOCALIDADES, PARA RELOCALIZACIÓN DE HOGARES LOCALIZADOS EN ZONAS DE ALTO RIESGO NO MITIGABLE ID:2014-OTR-00956, LOCALIDAD:19 CIUDAD BOLÍVAR, UPZ:67 LUCERO, SECTOR:TABOR ALTALOMA</v>
          </cell>
          <cell r="R2749">
            <v>3383254</v>
          </cell>
          <cell r="S2749">
            <v>0</v>
          </cell>
          <cell r="T2749">
            <v>0</v>
          </cell>
          <cell r="U2749">
            <v>3383254</v>
          </cell>
          <cell r="V2749">
            <v>966644</v>
          </cell>
        </row>
        <row r="2750">
          <cell r="J2750">
            <v>2366</v>
          </cell>
          <cell r="K2750">
            <v>43280</v>
          </cell>
          <cell r="L2750" t="str">
            <v>SONIA CECILIA BEDOYA TRIANA</v>
          </cell>
          <cell r="M2750">
            <v>31</v>
          </cell>
          <cell r="N2750" t="str">
            <v>RESOLUCION</v>
          </cell>
          <cell r="O2750">
            <v>2767</v>
          </cell>
          <cell r="P2750">
            <v>43280</v>
          </cell>
          <cell r="Q2750" t="str">
            <v>AYUDA TEMPORAL A LAS FAMILIAS DE VARIAS LOCALIDADES, PARA LA RELOCALIZACIÓN DE HOGARES LOCALIZADOS EN ZONAS DE ALTO RIESGO NO MITIGABLE ID:2011-5-13640, LOCALIDAD:05 USME, UPZ:58 COMUNEROS</v>
          </cell>
          <cell r="R2750">
            <v>3249968</v>
          </cell>
          <cell r="S2750">
            <v>0</v>
          </cell>
          <cell r="T2750">
            <v>0</v>
          </cell>
          <cell r="U2750">
            <v>3249968</v>
          </cell>
          <cell r="V2750">
            <v>812492</v>
          </cell>
        </row>
        <row r="2751">
          <cell r="J2751">
            <v>2367</v>
          </cell>
          <cell r="K2751">
            <v>43280</v>
          </cell>
          <cell r="L2751" t="str">
            <v>ANA CECILIA VILLAQUIRA TITIMBO</v>
          </cell>
          <cell r="M2751">
            <v>31</v>
          </cell>
          <cell r="N2751" t="str">
            <v>RESOLUCION</v>
          </cell>
          <cell r="O2751">
            <v>2766</v>
          </cell>
          <cell r="P2751">
            <v>43280</v>
          </cell>
          <cell r="Q2751" t="str">
            <v>AYUDA TEMPORAL A LAS FAMILIAS DE VARIAS LOCALIDADES, PARA RELOCALIZACIÓN DE HOGARES LOCALIZADOS EN ZONAS DE ALTO RIESGO NO MITIGABLE ID:2014-OTR-00950, LOCALIDAD:19 CIUDAD BOLÍVAR, UPZ:67 LUCERO, SECTOR:TABOR ALTALOMA</v>
          </cell>
          <cell r="R2751">
            <v>3718092</v>
          </cell>
          <cell r="S2751">
            <v>0</v>
          </cell>
          <cell r="T2751">
            <v>0</v>
          </cell>
          <cell r="U2751">
            <v>3718092</v>
          </cell>
          <cell r="V2751">
            <v>1062312</v>
          </cell>
        </row>
        <row r="2752">
          <cell r="J2752">
            <v>2368</v>
          </cell>
          <cell r="K2752">
            <v>43280</v>
          </cell>
          <cell r="L2752" t="str">
            <v>FLOR MYRIAM CORREA CORREA</v>
          </cell>
          <cell r="M2752">
            <v>31</v>
          </cell>
          <cell r="N2752" t="str">
            <v>RESOLUCION</v>
          </cell>
          <cell r="O2752">
            <v>2765</v>
          </cell>
          <cell r="P2752">
            <v>43280</v>
          </cell>
          <cell r="Q2752" t="str">
            <v>AYUDA TEMPORAL A LAS FAMILIAS DE VARIAS LOCALIDADES, PARA LA RELOCALIZACIÓN DE HOGARES LOCALIZADOS EN ZONAS DE ALTO RIESGO NO MITIGABLE ID:2013-Q04-00757, LOCALIDAD:19 CIUDAD BOLÍVAR, UPZ:67 LUCERO, SECTOR:PEÑA COLORADA</v>
          </cell>
          <cell r="R2752">
            <v>3619000</v>
          </cell>
          <cell r="S2752">
            <v>0</v>
          </cell>
          <cell r="T2752">
            <v>0</v>
          </cell>
          <cell r="U2752">
            <v>3619000</v>
          </cell>
          <cell r="V2752">
            <v>1034000</v>
          </cell>
        </row>
        <row r="2753">
          <cell r="J2753">
            <v>2369</v>
          </cell>
          <cell r="K2753">
            <v>43280</v>
          </cell>
          <cell r="L2753" t="str">
            <v>FLOR MARIA JAIME</v>
          </cell>
          <cell r="M2753">
            <v>31</v>
          </cell>
          <cell r="N2753" t="str">
            <v>RESOLUCION</v>
          </cell>
          <cell r="O2753">
            <v>2764</v>
          </cell>
          <cell r="P2753">
            <v>43280</v>
          </cell>
          <cell r="Q2753" t="str">
            <v>AYUDA TEMPORAL A LAS FAMILIAS DE VARIAS LOCALIDADES, PARA LA RELOCALIZACIÓN DE HOGARES LOCALIZADOS EN ZONAS DE ALTO RIESGO NO MITIGABLE ID:2013-Q09-00146, LOCALIDAD:19 CIUDAD BOLÍVAR, UPZ:67 LUCERO, SECTOR:QUEBRADA TROMPETA</v>
          </cell>
          <cell r="R2753">
            <v>2950864</v>
          </cell>
          <cell r="S2753">
            <v>0</v>
          </cell>
          <cell r="T2753">
            <v>0</v>
          </cell>
          <cell r="U2753">
            <v>2950864</v>
          </cell>
          <cell r="V2753">
            <v>737716</v>
          </cell>
        </row>
        <row r="2754">
          <cell r="J2754">
            <v>2370</v>
          </cell>
          <cell r="K2754">
            <v>43280</v>
          </cell>
          <cell r="L2754" t="str">
            <v>MARIA MARGARITA COMESAQUIRA RISCANEVO</v>
          </cell>
          <cell r="M2754">
            <v>31</v>
          </cell>
          <cell r="N2754" t="str">
            <v>RESOLUCION</v>
          </cell>
          <cell r="O2754">
            <v>2763</v>
          </cell>
          <cell r="P2754">
            <v>43280</v>
          </cell>
          <cell r="Q2754" t="str">
            <v>AYUDA TEMPORAL A LAS FAMILIAS DE VARIAS LOCALIDADES, PARA RELOCALIZACIÓN DE HOGARES LOCALIZADOS EN ZONAS DE ALTO RIESGO NO MITIGABLE ID:2012-19-14152, LOCALIDAD:19 CIUDAD BOLÍVAR, UPZ:68 EL TESORO, SECTOR:QUEBRADA TROMPETA</v>
          </cell>
          <cell r="R2754">
            <v>2734347</v>
          </cell>
          <cell r="S2754">
            <v>0</v>
          </cell>
          <cell r="T2754">
            <v>0</v>
          </cell>
          <cell r="U2754">
            <v>2734347</v>
          </cell>
          <cell r="V2754">
            <v>781242</v>
          </cell>
        </row>
        <row r="2755">
          <cell r="J2755">
            <v>2371</v>
          </cell>
          <cell r="K2755">
            <v>43280</v>
          </cell>
          <cell r="L2755" t="str">
            <v>HERMINSO  ALTURO PERDOMO</v>
          </cell>
          <cell r="M2755">
            <v>31</v>
          </cell>
          <cell r="N2755" t="str">
            <v>RESOLUCION</v>
          </cell>
          <cell r="O2755">
            <v>2770</v>
          </cell>
          <cell r="P2755">
            <v>43280</v>
          </cell>
          <cell r="Q2755" t="str">
            <v>AYUDA TEMPORAL A LAS FAMILIAS DE VARIAS LOCALIDADES, PARA LA RELOCALIZACIÓN DE HOGARES LOCALIZADOS EN ZONAS DE ALTO RIESGO NO MITIGABLE ID:2015-OTR-01375, LOCALIDAD:11 SUBA, UPZ:71 TIBABUYES, SECTOR:GAVILANES</v>
          </cell>
          <cell r="R2755">
            <v>3743922</v>
          </cell>
          <cell r="S2755">
            <v>0</v>
          </cell>
          <cell r="T2755">
            <v>0</v>
          </cell>
          <cell r="U2755">
            <v>3743922</v>
          </cell>
          <cell r="V2755">
            <v>1069692</v>
          </cell>
        </row>
        <row r="2756">
          <cell r="J2756">
            <v>2372</v>
          </cell>
          <cell r="K2756">
            <v>43280</v>
          </cell>
          <cell r="L2756" t="str">
            <v>MARIA DEL CARMEN GONZALEZ</v>
          </cell>
          <cell r="M2756">
            <v>31</v>
          </cell>
          <cell r="N2756" t="str">
            <v>RESOLUCION</v>
          </cell>
          <cell r="O2756">
            <v>2762</v>
          </cell>
          <cell r="P2756">
            <v>43280</v>
          </cell>
          <cell r="Q2756" t="str">
            <v>AYUDA TEMPORAL A LAS FAMILIAS DE VARIAS LOCALIDADES, PARA RELOCALIZACIÓN DE HOGARES LOCALIZADOS EN ZONAS DE ALTO RIESGO NO MITIGABLE ID:2014-OTR-00966, LOCALIDAD:19 CIUDAD BOLÍVAR, UPZ:67 LUCERO, SECTOR:TABOR ALTALOMA</v>
          </cell>
          <cell r="R2756">
            <v>3619000</v>
          </cell>
          <cell r="S2756">
            <v>0</v>
          </cell>
          <cell r="T2756">
            <v>0</v>
          </cell>
          <cell r="U2756">
            <v>3619000</v>
          </cell>
          <cell r="V2756">
            <v>1034000</v>
          </cell>
        </row>
        <row r="2757">
          <cell r="J2757">
            <v>2373</v>
          </cell>
          <cell r="K2757">
            <v>43280</v>
          </cell>
          <cell r="L2757" t="str">
            <v>JOSE QUINTILIANO QUINTERO</v>
          </cell>
          <cell r="M2757">
            <v>31</v>
          </cell>
          <cell r="N2757" t="str">
            <v>RESOLUCION</v>
          </cell>
          <cell r="O2757">
            <v>2761</v>
          </cell>
          <cell r="P2757">
            <v>43280</v>
          </cell>
          <cell r="Q2757" t="str">
            <v>AYUDA TEMPORAL A LAS FAMILIAS DE VARIAS LOCALIDADES, PARA RELOCALIZACIÓN DE HOGARES LOCALIZADOS EN ZONAS DE ALTO RIESGO NO MITIGABLE ID:2013-Q22-00621, LOCALIDAD:04 SAN CRISTÓBAL, UPZ:32 SAN BLAS, SECTOR:FUCHA</v>
          </cell>
          <cell r="R2757">
            <v>2688120</v>
          </cell>
          <cell r="S2757">
            <v>0</v>
          </cell>
          <cell r="T2757">
            <v>0</v>
          </cell>
          <cell r="U2757">
            <v>2688120</v>
          </cell>
          <cell r="V2757">
            <v>448020</v>
          </cell>
        </row>
        <row r="2758">
          <cell r="J2758">
            <v>2374</v>
          </cell>
          <cell r="K2758">
            <v>43280</v>
          </cell>
          <cell r="L2758" t="str">
            <v>SANTOS  ORTIZ</v>
          </cell>
          <cell r="M2758">
            <v>31</v>
          </cell>
          <cell r="N2758" t="str">
            <v>RESOLUCION</v>
          </cell>
          <cell r="O2758">
            <v>2760</v>
          </cell>
          <cell r="P2758">
            <v>43280</v>
          </cell>
          <cell r="Q2758" t="str">
            <v>AYUDA TEMPORAL A LAS FAMILIAS DE VARIAS LOCALIDADES, PARA LA RELOCALIZACIÓN DE HOGARES LOCALIZADOS EN ZONAS DE ALTO RIESGO NO MITIGABLE ID:2007-19-10331, LOCALIDAD:19 CIUDAD BOLÍVAR, UPZ:67 LUCERO, SECTOR:QUEBRADA HONDA</v>
          </cell>
          <cell r="R2758">
            <v>2796906</v>
          </cell>
          <cell r="S2758">
            <v>0</v>
          </cell>
          <cell r="T2758">
            <v>0</v>
          </cell>
          <cell r="U2758">
            <v>2796906</v>
          </cell>
          <cell r="V2758">
            <v>799116</v>
          </cell>
        </row>
        <row r="2759">
          <cell r="J2759">
            <v>2375</v>
          </cell>
          <cell r="K2759">
            <v>43280</v>
          </cell>
          <cell r="L2759" t="str">
            <v>HECTOR DANILO FORERO PALACIO</v>
          </cell>
          <cell r="M2759">
            <v>31</v>
          </cell>
          <cell r="N2759" t="str">
            <v>RESOLUCION</v>
          </cell>
          <cell r="O2759">
            <v>2759</v>
          </cell>
          <cell r="P2759">
            <v>43280</v>
          </cell>
          <cell r="Q2759" t="str">
            <v>AYUDA TEMPORAL A LAS FAMILIAS DE VARIAS LOCALIDADES, PARA LA RELOCALIZACIÓN DE HOGARES LOCALIZADOS EN ZONAS DE ALTO RIESGO NO MITIGABLE ID:2015-D227-00046, LOCALIDAD:04 SAN CRISTÓBAL, UPZ:51 LOS LIBERTADORES, SECTOR:SANTA TERESITA</v>
          </cell>
          <cell r="R2759">
            <v>2582006</v>
          </cell>
          <cell r="S2759">
            <v>2582006</v>
          </cell>
          <cell r="T2759">
            <v>0</v>
          </cell>
          <cell r="U2759">
            <v>0</v>
          </cell>
          <cell r="V2759">
            <v>0</v>
          </cell>
        </row>
        <row r="2760">
          <cell r="J2760">
            <v>2376</v>
          </cell>
          <cell r="K2760">
            <v>43280</v>
          </cell>
          <cell r="L2760" t="str">
            <v>SANDRA PATRICIA CARRILLO VILLOTA</v>
          </cell>
          <cell r="M2760">
            <v>31</v>
          </cell>
          <cell r="N2760" t="str">
            <v>RESOLUCION</v>
          </cell>
          <cell r="O2760">
            <v>2758</v>
          </cell>
          <cell r="P2760">
            <v>43280</v>
          </cell>
          <cell r="Q2760" t="str">
            <v>AYUDA TEMPORAL A LAS FAMILIAS DE VARIAS LOCALIDADES, PARA RELOCALIZACIÓN DE HOGARES LOCALIZADOS EN ZONAS DE ALTO RIESGO NO MITIGABLE ID:2014-Q04-01105, LOCALIDAD:19 CIUDAD BOLÍVAR, UPZ:67 LUCERO, SECTOR:PEÑA COLORADA</v>
          </cell>
          <cell r="R2760">
            <v>3157315</v>
          </cell>
          <cell r="S2760">
            <v>0</v>
          </cell>
          <cell r="T2760">
            <v>0</v>
          </cell>
          <cell r="U2760">
            <v>3157315</v>
          </cell>
          <cell r="V2760">
            <v>902090</v>
          </cell>
        </row>
        <row r="2761">
          <cell r="J2761">
            <v>2377</v>
          </cell>
          <cell r="K2761">
            <v>43280</v>
          </cell>
          <cell r="L2761" t="str">
            <v>MARIA AMPARO GONZALEZ SILVA</v>
          </cell>
          <cell r="M2761">
            <v>31</v>
          </cell>
          <cell r="N2761" t="str">
            <v>RESOLUCION</v>
          </cell>
          <cell r="O2761">
            <v>2757</v>
          </cell>
          <cell r="P2761">
            <v>43280</v>
          </cell>
          <cell r="Q2761" t="str">
            <v>AYUDA TEMPORAL A LAS FAMILIAS DE VARIAS LOCALIDADES, PARA RELOCALIZACIÓN DE HOGARES LOCALIZADOS EN ZONAS DE ALTO RIESGO NO MITIGABLE ID:1999-4-3052, LOCALIDAD:04 SAN CRISTÓBAL, UPZ:32 SAN BLAS</v>
          </cell>
          <cell r="R2761">
            <v>3515589</v>
          </cell>
          <cell r="S2761">
            <v>0</v>
          </cell>
          <cell r="T2761">
            <v>0</v>
          </cell>
          <cell r="U2761">
            <v>3515589</v>
          </cell>
          <cell r="V2761">
            <v>781242</v>
          </cell>
        </row>
        <row r="2762">
          <cell r="J2762">
            <v>2378</v>
          </cell>
          <cell r="K2762">
            <v>43280</v>
          </cell>
          <cell r="L2762" t="str">
            <v>FERNANDO  NEGRIA CHAMAPURO</v>
          </cell>
          <cell r="M2762">
            <v>31</v>
          </cell>
          <cell r="N2762" t="str">
            <v>RESOLUCION</v>
          </cell>
          <cell r="O2762">
            <v>2756</v>
          </cell>
          <cell r="P2762">
            <v>43280</v>
          </cell>
          <cell r="Q2762" t="str">
            <v>AYUDA TEMPORAL A LAS FAMILIAS DE VARIAS LOCALIDADES, PARA RELOCALIZACIÓN DE HOGARES LOCALIZADOS EN ZONAS DE ALTO RIESGO NO MITIGABLE ID:2014-W166-007, LOCALIDAD:19 CIUDAD BOLÍVAR, UPZ:68 EL TESORO, SECTOR:WOUNAAN</v>
          </cell>
          <cell r="R2762">
            <v>5219370</v>
          </cell>
          <cell r="S2762">
            <v>0</v>
          </cell>
          <cell r="T2762">
            <v>0</v>
          </cell>
          <cell r="U2762">
            <v>5219370</v>
          </cell>
          <cell r="V2762">
            <v>1159860</v>
          </cell>
        </row>
        <row r="2763">
          <cell r="J2763">
            <v>2379</v>
          </cell>
          <cell r="K2763">
            <v>43280</v>
          </cell>
          <cell r="L2763" t="str">
            <v>NATALI  RIVERA PELAEZ</v>
          </cell>
          <cell r="M2763">
            <v>31</v>
          </cell>
          <cell r="N2763" t="str">
            <v>RESOLUCION</v>
          </cell>
          <cell r="O2763">
            <v>2755</v>
          </cell>
          <cell r="P2763">
            <v>43280</v>
          </cell>
          <cell r="Q2763" t="str">
            <v>AYUDA TEMPORAL A LAS FAMILIAS DE VARIAS LOCALIDADES, PARA RELOCALIZACIÓN DE HOGARES LOCALIZADOS EN ZONAS DE ALTO RIESGO NO MITIGABLE ID:2016-08-14792, LOCALIDAD:08 KENNEDY, UPZ:82 PATIO BONITO, SECTOR:PALMITAS</v>
          </cell>
          <cell r="R2763">
            <v>3718092</v>
          </cell>
          <cell r="S2763">
            <v>0</v>
          </cell>
          <cell r="T2763">
            <v>0</v>
          </cell>
          <cell r="U2763">
            <v>3718092</v>
          </cell>
          <cell r="V2763">
            <v>1062312</v>
          </cell>
        </row>
        <row r="2764">
          <cell r="J2764">
            <v>2380</v>
          </cell>
          <cell r="K2764">
            <v>43280</v>
          </cell>
          <cell r="L2764" t="str">
            <v>MONICA LILIANA RODRIGUEZ VELASQUEZ</v>
          </cell>
          <cell r="M2764">
            <v>31</v>
          </cell>
          <cell r="N2764" t="str">
            <v>RESOLUCION</v>
          </cell>
          <cell r="O2764">
            <v>2754</v>
          </cell>
          <cell r="P2764">
            <v>43280</v>
          </cell>
          <cell r="Q2764" t="str">
            <v>AYUDA TEMPORAL A LAS FAMILIAS DE VARIAS LOCALIDADES, PARA RELOCALIZACIÓN DE HOGARES LOCALIZADOS EN ZONAS DE ALTO RIESGO NO MITIGABLE ID:2015-OTR-01372, LOCALIDAD:11 SUBA, UPZ:71 TIBABUYES, SECTOR:GAVILANES</v>
          </cell>
          <cell r="R2764">
            <v>3516527</v>
          </cell>
          <cell r="S2764">
            <v>0</v>
          </cell>
          <cell r="T2764">
            <v>0</v>
          </cell>
          <cell r="U2764">
            <v>3516527</v>
          </cell>
          <cell r="V2764">
            <v>1004722</v>
          </cell>
        </row>
        <row r="2765">
          <cell r="J2765">
            <v>2381</v>
          </cell>
          <cell r="K2765">
            <v>43280</v>
          </cell>
          <cell r="L2765" t="str">
            <v>ROSA ELENA ARIAS ARIAS</v>
          </cell>
          <cell r="M2765">
            <v>31</v>
          </cell>
          <cell r="N2765" t="str">
            <v>RESOLUCION</v>
          </cell>
          <cell r="O2765">
            <v>2753</v>
          </cell>
          <cell r="P2765">
            <v>43280</v>
          </cell>
          <cell r="Q2765" t="str">
            <v>AYUDA TEMPORAL A LAS FAMILIAS DE VARIAS LOCALIDADES, PARA RELOCALIZACIÓN DE HOGARES LOCALIZADOS EN ZONAS DE ALTO RIESGO NO MITIGABLE ID:2015-OTR-01535, LOCALIDAD:05 USME, UPZ:52 LA FLORA</v>
          </cell>
          <cell r="R2765">
            <v>4465629</v>
          </cell>
          <cell r="S2765">
            <v>0</v>
          </cell>
          <cell r="T2765">
            <v>0</v>
          </cell>
          <cell r="U2765">
            <v>4465629</v>
          </cell>
          <cell r="V2765">
            <v>992362</v>
          </cell>
        </row>
        <row r="2766">
          <cell r="J2766">
            <v>2382</v>
          </cell>
          <cell r="K2766">
            <v>43280</v>
          </cell>
          <cell r="L2766" t="str">
            <v>SOCORRO  QUIROGA QUIROGA</v>
          </cell>
          <cell r="M2766">
            <v>31</v>
          </cell>
          <cell r="N2766" t="str">
            <v>RESOLUCION</v>
          </cell>
          <cell r="O2766">
            <v>2733</v>
          </cell>
          <cell r="P2766">
            <v>43280</v>
          </cell>
          <cell r="Q2766" t="str">
            <v>AYUDA TEMPORAL A LAS FAMILIAS DE VARIAS LOCALIDADES, PARA RELOCALIZACIÓN DE HOGARES LOCALIZADOS EN ZONAS DE ALTO RIESGO NO MITIGABLE ID:2011-4-12923, LOCALIDAD:04 SAN CRISTÓBAL, UPZ:50 LA GLORIA</v>
          </cell>
          <cell r="R2766">
            <v>2895704</v>
          </cell>
          <cell r="S2766">
            <v>0</v>
          </cell>
          <cell r="T2766">
            <v>0</v>
          </cell>
          <cell r="U2766">
            <v>2895704</v>
          </cell>
          <cell r="V2766">
            <v>827344</v>
          </cell>
        </row>
        <row r="2767">
          <cell r="J2767">
            <v>2383</v>
          </cell>
          <cell r="K2767">
            <v>43280</v>
          </cell>
          <cell r="L2767" t="str">
            <v>AMPARO  CHAPARRO</v>
          </cell>
          <cell r="M2767">
            <v>31</v>
          </cell>
          <cell r="N2767" t="str">
            <v>RESOLUCION</v>
          </cell>
          <cell r="O2767">
            <v>2624</v>
          </cell>
          <cell r="P2767">
            <v>43280</v>
          </cell>
          <cell r="Q2767" t="str">
            <v>AYUDA TEMPORAL A LAS FAMILIAS DE VARIAS LOCALIDADES, PARA LA RELOCALIZACIÓN DE HOGARES LOCALIZADOS EN ZONAS DE ALTO RIESGO NO MITIGABLE ID:2013-Q04-00287, LOCALIDAD:19 CIUDAD BOLÍVAR, UPZ:67 LUCERO, SECTOR:PEÑA COLORADA</v>
          </cell>
          <cell r="R2767">
            <v>3515589</v>
          </cell>
          <cell r="S2767">
            <v>0</v>
          </cell>
          <cell r="T2767">
            <v>0</v>
          </cell>
          <cell r="U2767">
            <v>3515589</v>
          </cell>
          <cell r="V2767">
            <v>781242</v>
          </cell>
        </row>
        <row r="2768">
          <cell r="J2768">
            <v>2384</v>
          </cell>
          <cell r="K2768">
            <v>43280</v>
          </cell>
          <cell r="L2768" t="str">
            <v>GEIDY MARCELA SAGANOME CABRERA</v>
          </cell>
          <cell r="M2768">
            <v>31</v>
          </cell>
          <cell r="N2768" t="str">
            <v>RESOLUCION</v>
          </cell>
          <cell r="O2768">
            <v>2623</v>
          </cell>
          <cell r="P2768">
            <v>43280</v>
          </cell>
          <cell r="Q2768" t="str">
            <v>AYUDA TEMPORAL A LAS FAMILIAS DE VARIAS LOCALIDADES, PARA LA RELOCALIZACIÓN DE HOGARES LOCALIZADOS EN ZONAS DE ALTO RIESGO NO MITIGABLE ID:2014-OTR-01193, LOCALIDAD:11 SUBA, UPZ:71 TIBABUYES, SECTOR:GAVILANES</v>
          </cell>
          <cell r="R2768">
            <v>3017000</v>
          </cell>
          <cell r="S2768">
            <v>0</v>
          </cell>
          <cell r="T2768">
            <v>0</v>
          </cell>
          <cell r="U2768">
            <v>3017000</v>
          </cell>
          <cell r="V2768">
            <v>862000</v>
          </cell>
        </row>
        <row r="2769">
          <cell r="J2769">
            <v>2385</v>
          </cell>
          <cell r="K2769">
            <v>43280</v>
          </cell>
          <cell r="L2769" t="str">
            <v>LUZ ADRIANA TUNJUELO NIEVES</v>
          </cell>
          <cell r="M2769">
            <v>31</v>
          </cell>
          <cell r="N2769" t="str">
            <v>RESOLUCION</v>
          </cell>
          <cell r="O2769">
            <v>2622</v>
          </cell>
          <cell r="P2769">
            <v>43280</v>
          </cell>
          <cell r="Q2769" t="str">
            <v>AYUDA TEMPORAL A LAS FAMILIAS DE VARIAS LOCALIDADES, PARA LA RELOCALIZACIÓN DE HOGARES LOCALIZADOS EN ZONAS DE ALTO RIESGO NO MITIGABLE ID:2012-ALES-328, LOCALIDAD:19 CIUDAD BOLÍVAR, UPZ:69 ISMAEL PERDOMO, SECTOR:ALTOS DE LA ESTANCIA</v>
          </cell>
          <cell r="R2769">
            <v>3678480</v>
          </cell>
          <cell r="S2769">
            <v>0</v>
          </cell>
          <cell r="T2769">
            <v>0</v>
          </cell>
          <cell r="U2769">
            <v>3678480</v>
          </cell>
          <cell r="V2769">
            <v>919620</v>
          </cell>
        </row>
        <row r="2770">
          <cell r="J2770">
            <v>2386</v>
          </cell>
          <cell r="K2770">
            <v>43280</v>
          </cell>
          <cell r="L2770" t="str">
            <v>MARIA LUCENA QUINTERO ARIAS</v>
          </cell>
          <cell r="M2770">
            <v>31</v>
          </cell>
          <cell r="N2770" t="str">
            <v>RESOLUCION</v>
          </cell>
          <cell r="O2770">
            <v>2741</v>
          </cell>
          <cell r="P2770">
            <v>43280</v>
          </cell>
          <cell r="Q2770" t="str">
            <v>AYUDA TEMPORAL A LAS FAMILIAS DE VARIAS LOCALIDADES, PARA RELOCALIZACIÓN DE HOGARES LOCALIZADOS EN ZONAS DE ALTO RIESGO NO MITIGABLE ID:2011-19-12886, LOCALIDAD:19 CIUDAD BOLÍVAR, UPZ:67 LUCERO</v>
          </cell>
          <cell r="R2770">
            <v>2924376</v>
          </cell>
          <cell r="S2770">
            <v>0</v>
          </cell>
          <cell r="T2770">
            <v>0</v>
          </cell>
          <cell r="U2770">
            <v>2924376</v>
          </cell>
          <cell r="V2770">
            <v>835536</v>
          </cell>
        </row>
        <row r="2771">
          <cell r="J2771">
            <v>2387</v>
          </cell>
          <cell r="K2771">
            <v>43280</v>
          </cell>
          <cell r="L2771" t="str">
            <v>SARA  RODRIGUEZ RODRIGUEZ</v>
          </cell>
          <cell r="M2771">
            <v>31</v>
          </cell>
          <cell r="N2771" t="str">
            <v>RESOLUCION</v>
          </cell>
          <cell r="O2771">
            <v>2621</v>
          </cell>
          <cell r="P2771">
            <v>43280</v>
          </cell>
          <cell r="Q2771" t="str">
            <v>AYUDA TEMPORAL A LAS FAMILIAS DE VARIAS LOCALIDADES, PARA LA RELOCALIZACIÓN DE HOGARES LOCALIZADOS EN ZONAS DE ALTO RIESGO NO MITIGABLE ID:2013-Q09-00438, LOCALIDAD:19 CIUDAD BOLÍVAR, UPZ:67 LUCERO, SECTOR:QUEBRADA TROMPETA</v>
          </cell>
          <cell r="R2771">
            <v>2843722</v>
          </cell>
          <cell r="S2771">
            <v>0</v>
          </cell>
          <cell r="T2771">
            <v>0</v>
          </cell>
          <cell r="U2771">
            <v>2843722</v>
          </cell>
          <cell r="V2771">
            <v>812492</v>
          </cell>
        </row>
        <row r="2772">
          <cell r="J2772">
            <v>2388</v>
          </cell>
          <cell r="K2772">
            <v>43280</v>
          </cell>
          <cell r="L2772" t="str">
            <v>CLAUDIA PATRICIA POLOCHE</v>
          </cell>
          <cell r="M2772">
            <v>31</v>
          </cell>
          <cell r="N2772" t="str">
            <v>RESOLUCION</v>
          </cell>
          <cell r="O2772">
            <v>2740</v>
          </cell>
          <cell r="P2772">
            <v>43280</v>
          </cell>
          <cell r="Q2772" t="str">
            <v>AYUDA TEMPORAL A LAS FAMILIAS DE VARIAS LOCALIDADES, PARA RELOCALIZACIÓN DE HOGARES LOCALIZADOS EN ZONAS DE ALTO RIESGO NO MITIGABLE ID:2010-4-11980, LOCALIDAD:04 SAN CRISTÓBAL, UPZ:32 SAN BLAS, SECTOR:OLA INVERNAL 2010 FOPAE</v>
          </cell>
          <cell r="R2772">
            <v>2845920</v>
          </cell>
          <cell r="S2772">
            <v>0</v>
          </cell>
          <cell r="T2772">
            <v>0</v>
          </cell>
          <cell r="U2772">
            <v>2845920</v>
          </cell>
          <cell r="V2772">
            <v>813120</v>
          </cell>
        </row>
        <row r="2773">
          <cell r="J2773">
            <v>2389</v>
          </cell>
          <cell r="K2773">
            <v>43280</v>
          </cell>
          <cell r="L2773" t="str">
            <v>ANGELINA  CARRILLO LASSO</v>
          </cell>
          <cell r="M2773">
            <v>31</v>
          </cell>
          <cell r="N2773" t="str">
            <v>RESOLUCION</v>
          </cell>
          <cell r="O2773">
            <v>2620</v>
          </cell>
          <cell r="P2773">
            <v>43280</v>
          </cell>
          <cell r="Q2773" t="str">
            <v>AYUDA TEMPORAL A LAS FAMILIAS DE VARIAS LOCALIDADES, PARA LA RELOCALIZACIÓN DE HOGARES LOCALIZADOS EN ZONAS DE ALTO RIESGO NO MITIGABLE ID:2014-Q03-01007, LOCALIDAD:19 CIUDAD BOLÍVAR, UPZ:66 SAN FRANCISCO, SECTOR:LIMAS</v>
          </cell>
          <cell r="R2773">
            <v>3157315</v>
          </cell>
          <cell r="S2773">
            <v>0</v>
          </cell>
          <cell r="T2773">
            <v>0</v>
          </cell>
          <cell r="U2773">
            <v>3157315</v>
          </cell>
          <cell r="V2773">
            <v>902090</v>
          </cell>
        </row>
        <row r="2774">
          <cell r="J2774">
            <v>2390</v>
          </cell>
          <cell r="K2774">
            <v>43280</v>
          </cell>
          <cell r="L2774" t="str">
            <v>BLANCA DORIS FERNANDEZ</v>
          </cell>
          <cell r="M2774">
            <v>31</v>
          </cell>
          <cell r="N2774" t="str">
            <v>RESOLUCION</v>
          </cell>
          <cell r="O2774">
            <v>2619</v>
          </cell>
          <cell r="P2774">
            <v>43280</v>
          </cell>
          <cell r="Q2774" t="str">
            <v>AYUDA TEMPORAL A LAS FAMILIAS DE VARIAS LOCALIDADES, PARA LA RELOCALIZACIÓN DE HOGARES LOCALIZADOS EN ZONAS DE ALTO RIESGO NO MITIGABLE ID:2013-Q09-00189, LOCALIDAD:19 CIUDAD BOLÍVAR, UPZ:67 LUCERO, SECTOR:QUEBRADA TROMPETA</v>
          </cell>
          <cell r="R2774">
            <v>3608360</v>
          </cell>
          <cell r="S2774">
            <v>0</v>
          </cell>
          <cell r="T2774">
            <v>0</v>
          </cell>
          <cell r="U2774">
            <v>3608360</v>
          </cell>
          <cell r="V2774">
            <v>902090</v>
          </cell>
        </row>
        <row r="2775">
          <cell r="J2775">
            <v>2391</v>
          </cell>
          <cell r="K2775">
            <v>43280</v>
          </cell>
          <cell r="L2775" t="str">
            <v>GLORIA INES ESPINOSA DE OCAMPO</v>
          </cell>
          <cell r="M2775">
            <v>31</v>
          </cell>
          <cell r="N2775" t="str">
            <v>RESOLUCION</v>
          </cell>
          <cell r="O2775">
            <v>2739</v>
          </cell>
          <cell r="P2775">
            <v>43280</v>
          </cell>
          <cell r="Q2775" t="str">
            <v>AYUDA TEMPORAL A LAS FAMILIAS DE VARIAS LOCALIDADES, PARA RELOCALIZACIÓN DE HOGARES LOCALIZADOS EN ZONAS DE ALTO RIESGO NO MITIGABLE ID:2013000562, LOCALIDAD:05 USME, UPZ:56 DANUBIO, SECTOR:HOYA DEL RAMO</v>
          </cell>
          <cell r="R2775">
            <v>3201695</v>
          </cell>
          <cell r="S2775">
            <v>0</v>
          </cell>
          <cell r="T2775">
            <v>0</v>
          </cell>
          <cell r="U2775">
            <v>3201695</v>
          </cell>
          <cell r="V2775">
            <v>914770</v>
          </cell>
        </row>
        <row r="2776">
          <cell r="J2776">
            <v>2392</v>
          </cell>
          <cell r="K2776">
            <v>43280</v>
          </cell>
          <cell r="L2776" t="str">
            <v>DANILO  MORERA CARDENAS</v>
          </cell>
          <cell r="M2776">
            <v>31</v>
          </cell>
          <cell r="N2776" t="str">
            <v>RESOLUCION</v>
          </cell>
          <cell r="O2776">
            <v>2618</v>
          </cell>
          <cell r="P2776">
            <v>43280</v>
          </cell>
          <cell r="Q2776" t="str">
            <v>AYUDA TEMPORAL A LAS FAMILIAS DE VARIAS LOCALIDADES, PARA LA RELOCALIZACIÓN DE HOGARES LOCALIZADOS EN ZONAS DE ALTO RIESGO NO MITIGABLE ID:2013-Q04-00117, LOCALIDAD:04 SAN CRISTÓBAL, UPZ:51 LOS LIBERTADORES, SECTOR:QUEBRADA VEREJONES</v>
          </cell>
          <cell r="R2776">
            <v>3619000</v>
          </cell>
          <cell r="S2776">
            <v>0</v>
          </cell>
          <cell r="T2776">
            <v>0</v>
          </cell>
          <cell r="U2776">
            <v>3619000</v>
          </cell>
          <cell r="V2776">
            <v>1034000</v>
          </cell>
        </row>
        <row r="2777">
          <cell r="J2777">
            <v>2393</v>
          </cell>
          <cell r="K2777">
            <v>43280</v>
          </cell>
          <cell r="L2777" t="str">
            <v>DORIS ALICIA MARIÑO URIBE</v>
          </cell>
          <cell r="M2777">
            <v>31</v>
          </cell>
          <cell r="N2777" t="str">
            <v>RESOLUCION</v>
          </cell>
          <cell r="O2777">
            <v>2738</v>
          </cell>
          <cell r="P2777">
            <v>43280</v>
          </cell>
          <cell r="Q2777" t="str">
            <v>AYUDA TEMPORAL A LAS FAMILIAS DE VARIAS LOCALIDADES, PARA RELOCALIZACIÓN DE HOGARES LOCALIZADOS EN ZONAS DE ALTO RIESGO NO MITIGABLE ID:2005-4-6467, LOCALIDAD:04 SAN CRISTÓBAL, UPZ:51 LOS LIBERTADORES</v>
          </cell>
          <cell r="R2777">
            <v>2685291</v>
          </cell>
          <cell r="S2777">
            <v>0</v>
          </cell>
          <cell r="T2777">
            <v>0</v>
          </cell>
          <cell r="U2777">
            <v>2685291</v>
          </cell>
          <cell r="V2777">
            <v>767226</v>
          </cell>
        </row>
        <row r="2778">
          <cell r="J2778">
            <v>2394</v>
          </cell>
          <cell r="K2778">
            <v>43280</v>
          </cell>
          <cell r="L2778" t="str">
            <v>ILDA LEONOR HIDALGO URREGO</v>
          </cell>
          <cell r="M2778">
            <v>31</v>
          </cell>
          <cell r="N2778" t="str">
            <v>RESOLUCION</v>
          </cell>
          <cell r="O2778">
            <v>2378</v>
          </cell>
          <cell r="P2778">
            <v>43280</v>
          </cell>
          <cell r="Q2778" t="str">
            <v>AYUDA TEMPORAL A LAS FAMILIAS DE VARIAS LOCALIDADES, PARA LA RELOCALIZACIÓN DE HOGARES LOCALIZADOS EN ZONAS DE ALTO RIESGO NO MITIGABLE ID:2012-19-14580, LOCALIDAD:19 CIUDAD BOLÍVAR, UPZ:68 EL TESORO, SECTOR:QUEBRADA TROMPETA</v>
          </cell>
          <cell r="R2778">
            <v>3570210</v>
          </cell>
          <cell r="S2778">
            <v>3060180</v>
          </cell>
          <cell r="T2778">
            <v>0</v>
          </cell>
          <cell r="U2778">
            <v>510030</v>
          </cell>
          <cell r="V2778">
            <v>510030</v>
          </cell>
        </row>
        <row r="2779">
          <cell r="J2779">
            <v>2395</v>
          </cell>
          <cell r="K2779">
            <v>43280</v>
          </cell>
          <cell r="L2779" t="str">
            <v>PERCY  RIVAS PERILLA</v>
          </cell>
          <cell r="M2779">
            <v>31</v>
          </cell>
          <cell r="N2779" t="str">
            <v>RESOLUCION</v>
          </cell>
          <cell r="O2779">
            <v>2737</v>
          </cell>
          <cell r="P2779">
            <v>43280</v>
          </cell>
          <cell r="Q2779" t="str">
            <v>AYUDA TEMPORAL A LAS FAMILIAS DE VARIAS LOCALIDADES, PARA RELOCALIZACIÓN DE HOGARES LOCALIZADOS EN ZONAS DE ALTO RIESGO NO MITIGABLE ID:2011-19-12621, LOCALIDAD:19 CIUDAD BOLÍVAR, UPZ:67 LUCERO</v>
          </cell>
          <cell r="R2779">
            <v>1844290</v>
          </cell>
          <cell r="S2779">
            <v>0</v>
          </cell>
          <cell r="T2779">
            <v>0</v>
          </cell>
          <cell r="U2779">
            <v>1844290</v>
          </cell>
          <cell r="V2779">
            <v>737716</v>
          </cell>
        </row>
        <row r="2780">
          <cell r="J2780">
            <v>2396</v>
          </cell>
          <cell r="K2780">
            <v>43280</v>
          </cell>
          <cell r="L2780" t="str">
            <v>CARLOS JOSE DIMATE VILLARRAGA</v>
          </cell>
          <cell r="M2780">
            <v>31</v>
          </cell>
          <cell r="N2780" t="str">
            <v>RESOLUCION</v>
          </cell>
          <cell r="O2780">
            <v>2736</v>
          </cell>
          <cell r="P2780">
            <v>43280</v>
          </cell>
          <cell r="Q2780" t="str">
            <v>AYUDA TEMPORAL A LAS FAMILIAS DE VARIAS LOCALIDADES, PARA RELOCALIZACIÓN DE HOGARES LOCALIZADOS EN ZONAS DE ALTO RIESGO NO MITIGABLE ID:2010-5-11555, LOCALIDAD:05 USME, UPZ:57 GRAN YOMASA, SECTOR:OLA INVERNAL 2010 FOPAE</v>
          </cell>
          <cell r="R2780">
            <v>2924376</v>
          </cell>
          <cell r="S2780">
            <v>0</v>
          </cell>
          <cell r="T2780">
            <v>0</v>
          </cell>
          <cell r="U2780">
            <v>2924376</v>
          </cell>
          <cell r="V2780">
            <v>835536</v>
          </cell>
        </row>
        <row r="2781">
          <cell r="J2781">
            <v>2397</v>
          </cell>
          <cell r="K2781">
            <v>43280</v>
          </cell>
          <cell r="L2781" t="str">
            <v>GIOVANA PAOLA BARBOSA NOGUERA</v>
          </cell>
          <cell r="M2781">
            <v>31</v>
          </cell>
          <cell r="N2781" t="str">
            <v>RESOLUCION</v>
          </cell>
          <cell r="O2781">
            <v>2735</v>
          </cell>
          <cell r="P2781">
            <v>43280</v>
          </cell>
          <cell r="Q2781" t="str">
            <v>AYUDA TEMPORAL A LAS FAMILIAS DE VARIAS LOCALIDADES, PARA RELOCALIZACIÓN DE HOGARES LOCALIZADOS EN ZONAS DE ALTO RIESGO NO MITIGABLE ID:2010-19-11893, LOCALIDAD:19 CIUDAD BOLÍVAR, UPZ:68 EL TESORO, SECTOR:OLA INVERNAL 2010 FOPAE</v>
          </cell>
          <cell r="R2781">
            <v>3769731</v>
          </cell>
          <cell r="S2781">
            <v>0</v>
          </cell>
          <cell r="T2781">
            <v>0</v>
          </cell>
          <cell r="U2781">
            <v>3769731</v>
          </cell>
          <cell r="V2781">
            <v>1077066</v>
          </cell>
        </row>
        <row r="2782">
          <cell r="J2782">
            <v>2398</v>
          </cell>
          <cell r="K2782">
            <v>43280</v>
          </cell>
          <cell r="L2782" t="str">
            <v>MILEIDY  MALAGON RINCON</v>
          </cell>
          <cell r="M2782">
            <v>31</v>
          </cell>
          <cell r="N2782" t="str">
            <v>RESOLUCION</v>
          </cell>
          <cell r="O2782">
            <v>2734</v>
          </cell>
          <cell r="P2782">
            <v>43280</v>
          </cell>
          <cell r="Q2782" t="str">
            <v>AYUDA TEMPORAL A LAS FAMILIAS DE VARIAS LOCALIDADES, PARA RELOCALIZACIÓN DE HOGARES LOCALIZADOS EN ZONAS DE ALTO RIESGO NO MITIGABLE ID:2016-08-14771, LOCALIDAD:08 KENNEDY, UPZ:82 PATIO BONITO, SECTOR:PALMITAS</v>
          </cell>
          <cell r="R2782">
            <v>3098412</v>
          </cell>
          <cell r="S2782">
            <v>0</v>
          </cell>
          <cell r="T2782">
            <v>0</v>
          </cell>
          <cell r="U2782">
            <v>3098412</v>
          </cell>
          <cell r="V2782">
            <v>1032804</v>
          </cell>
        </row>
        <row r="2783">
          <cell r="J2783">
            <v>2399</v>
          </cell>
          <cell r="K2783">
            <v>43280</v>
          </cell>
          <cell r="L2783" t="str">
            <v>MARIA DEL CARMEN SUAREZ DE BELLO</v>
          </cell>
          <cell r="M2783">
            <v>31</v>
          </cell>
          <cell r="N2783" t="str">
            <v>RESOLUCION</v>
          </cell>
          <cell r="O2783">
            <v>2771</v>
          </cell>
          <cell r="P2783">
            <v>43280</v>
          </cell>
          <cell r="Q2783" t="str">
            <v>VUR de la actual vigencia. La asignación se realiza para dar cumplimiento al fallo de acción popular 2002-00152- Suba Gavilanes. Decreto 255 de 2013.LOCALIDAD: SUBA (GAVILANES); BARRIO: BILBAO; ID:2018-11-15152</v>
          </cell>
          <cell r="R2783">
            <v>39062100</v>
          </cell>
          <cell r="S2783">
            <v>0</v>
          </cell>
          <cell r="T2783">
            <v>0</v>
          </cell>
          <cell r="U2783">
            <v>39062100</v>
          </cell>
          <cell r="V2783">
            <v>0</v>
          </cell>
        </row>
        <row r="2784">
          <cell r="J2784">
            <v>2400</v>
          </cell>
          <cell r="K2784">
            <v>43280</v>
          </cell>
          <cell r="L2784" t="str">
            <v>LUZ MARINA ZEA GUTIERREZ</v>
          </cell>
          <cell r="M2784">
            <v>31</v>
          </cell>
          <cell r="N2784" t="str">
            <v>RESOLUCION</v>
          </cell>
          <cell r="O2784">
            <v>2772</v>
          </cell>
          <cell r="P2784">
            <v>43280</v>
          </cell>
          <cell r="Q2784" t="str">
            <v>VUR de la actual vigencia. La asignación se realiza para dar cumplimiento al fallo de acción popular 2002-00152- Suba Gavilanes. Decreto 255 de 2013. LOCALIDAD: SUBA (GAVILANES); BARRIO: SANTA CECILIA; ID: 2018-11-15140</v>
          </cell>
          <cell r="R2784">
            <v>39062100</v>
          </cell>
          <cell r="S2784">
            <v>0</v>
          </cell>
          <cell r="T2784">
            <v>0</v>
          </cell>
          <cell r="U2784">
            <v>39062100</v>
          </cell>
          <cell r="V2784">
            <v>0</v>
          </cell>
        </row>
        <row r="2785">
          <cell r="J2785">
            <v>2401</v>
          </cell>
          <cell r="K2785">
            <v>43280</v>
          </cell>
          <cell r="L2785" t="str">
            <v>YOLIMA GERTRUDIS AGUILAR VELASQUES</v>
          </cell>
          <cell r="M2785">
            <v>31</v>
          </cell>
          <cell r="N2785" t="str">
            <v>RESOLUCION</v>
          </cell>
          <cell r="O2785">
            <v>2774</v>
          </cell>
          <cell r="P2785">
            <v>43280</v>
          </cell>
          <cell r="Q2785" t="str">
            <v>Asignacion del instrumento financiero a las familias ocupantes del predio que hayan superado la fase de verificacion dentro  del marco del Decreto 457 de 2017. LOCALIDAD: KENNEDY; BARRIO: VEREDITAS; ID: 2017-8-383735</v>
          </cell>
          <cell r="R2785">
            <v>54686940</v>
          </cell>
          <cell r="S2785">
            <v>0</v>
          </cell>
          <cell r="T2785">
            <v>0</v>
          </cell>
          <cell r="U2785">
            <v>54686940</v>
          </cell>
          <cell r="V2785">
            <v>54686940</v>
          </cell>
        </row>
        <row r="2786">
          <cell r="J2786">
            <v>2402</v>
          </cell>
          <cell r="K2786">
            <v>43280</v>
          </cell>
          <cell r="L2786" t="str">
            <v>BELEN  CASTAÑEDA</v>
          </cell>
          <cell r="M2786">
            <v>31</v>
          </cell>
          <cell r="N2786" t="str">
            <v>RESOLUCION</v>
          </cell>
          <cell r="O2786">
            <v>2773</v>
          </cell>
          <cell r="P2786">
            <v>43280</v>
          </cell>
          <cell r="Q2786" t="str">
            <v>VUR de la actual vigencia. La asignación se realiza para dar cumplimiento al fallo de acción popular 2002-00152- Suba Gavilanes. Decreto 255 de 2013. LOCALIDAD: SUBA (GAVILANES); BARRIO: SANTA CECILIA;ID: 2018-11-15195</v>
          </cell>
          <cell r="R2786">
            <v>39062100</v>
          </cell>
          <cell r="S2786">
            <v>0</v>
          </cell>
          <cell r="T2786">
            <v>0</v>
          </cell>
          <cell r="U2786">
            <v>39062100</v>
          </cell>
          <cell r="V2786">
            <v>0</v>
          </cell>
        </row>
        <row r="2787">
          <cell r="J2787">
            <v>2406</v>
          </cell>
          <cell r="K2787">
            <v>43280</v>
          </cell>
          <cell r="L2787" t="str">
            <v>LILIANA  RODRIGUEZ TOLOSA</v>
          </cell>
          <cell r="M2787">
            <v>31</v>
          </cell>
          <cell r="N2787" t="str">
            <v>RESOLUCION</v>
          </cell>
          <cell r="O2787">
            <v>2826</v>
          </cell>
          <cell r="P2787">
            <v>43280</v>
          </cell>
          <cell r="Q2787" t="str">
            <v>VUR de la actual vigencia. La asignación se realiza para dar cumplimiento al fallo de acción popular 2002-00152- Suba Gavilanes. Dto 255 de 2013. LOCALIDAD: SUBA GAVILANES; BARRIO: BILVAO; ID: 2018-11-15064</v>
          </cell>
          <cell r="R2787">
            <v>39062100</v>
          </cell>
          <cell r="S2787">
            <v>0</v>
          </cell>
          <cell r="T2787">
            <v>0</v>
          </cell>
          <cell r="U2787">
            <v>39062100</v>
          </cell>
          <cell r="V2787">
            <v>0</v>
          </cell>
        </row>
        <row r="2788">
          <cell r="J2788">
            <v>2407</v>
          </cell>
          <cell r="K2788">
            <v>43280</v>
          </cell>
          <cell r="L2788" t="str">
            <v>VICTOR MANUEL ORDOÑEZ MELO</v>
          </cell>
          <cell r="M2788">
            <v>31</v>
          </cell>
          <cell r="N2788" t="str">
            <v>RESOLUCION</v>
          </cell>
          <cell r="O2788">
            <v>2827</v>
          </cell>
          <cell r="P2788">
            <v>43280</v>
          </cell>
          <cell r="Q2788" t="str">
            <v>VUR de la actual vigencia. La asignación se realiza para dar cumplimiento al fallo de acción popular 2002-00152- Suba Gavilanes. Dto 255 de 2013. LOCALIDAD: SUBA GAVILANES; BARRIO: BILVAO; ID: 2018-11-15078</v>
          </cell>
          <cell r="R2788">
            <v>39062100</v>
          </cell>
          <cell r="S2788">
            <v>0</v>
          </cell>
          <cell r="T2788">
            <v>0</v>
          </cell>
          <cell r="U2788">
            <v>39062100</v>
          </cell>
          <cell r="V2788">
            <v>0</v>
          </cell>
        </row>
        <row r="2789">
          <cell r="J2789">
            <v>2408</v>
          </cell>
          <cell r="K2789">
            <v>43280</v>
          </cell>
          <cell r="L2789" t="str">
            <v>RUTH ZAFIR ROJAS CASTILLO</v>
          </cell>
          <cell r="M2789">
            <v>31</v>
          </cell>
          <cell r="N2789" t="str">
            <v>RESOLUCION</v>
          </cell>
          <cell r="O2789">
            <v>2828</v>
          </cell>
          <cell r="P2789">
            <v>43280</v>
          </cell>
          <cell r="Q2789" t="str">
            <v>Excedente de VUR por avaluo comercial.Dto 255 de 2013. LOCALIDAD:SAN CRISTOBAL; BARRIO:QUINDIO; ID:2015-Q20-01326</v>
          </cell>
          <cell r="R2789">
            <v>35479385</v>
          </cell>
          <cell r="S2789">
            <v>0</v>
          </cell>
          <cell r="T2789">
            <v>0</v>
          </cell>
          <cell r="U2789">
            <v>35479385</v>
          </cell>
          <cell r="V2789">
            <v>35479385</v>
          </cell>
        </row>
        <row r="2790">
          <cell r="J2790">
            <v>2409</v>
          </cell>
          <cell r="K2790">
            <v>43280</v>
          </cell>
          <cell r="L2790" t="str">
            <v>CARLOS  CASTILLO ALMARIO</v>
          </cell>
          <cell r="M2790">
            <v>31</v>
          </cell>
          <cell r="N2790" t="str">
            <v>RESOLUCION</v>
          </cell>
          <cell r="O2790">
            <v>2819</v>
          </cell>
          <cell r="P2790">
            <v>43280</v>
          </cell>
          <cell r="Q2790" t="str">
            <v>reajuste de VUR para completar el cierre financiero de la vivienda de reposición escogida por el beneficiario en el proyecto Torres de San Miguel.LOCALIDAD:CIUDAD BOLIVAR; BARRIO:MIRADOR DE LA ESTANCIA I; ID:2012-ALES-231</v>
          </cell>
          <cell r="R2790">
            <v>4672700</v>
          </cell>
          <cell r="S2790">
            <v>0</v>
          </cell>
          <cell r="T2790">
            <v>0</v>
          </cell>
          <cell r="U2790">
            <v>4672700</v>
          </cell>
          <cell r="V2790">
            <v>0</v>
          </cell>
        </row>
        <row r="2791">
          <cell r="J2791">
            <v>2410</v>
          </cell>
          <cell r="K2791">
            <v>43280</v>
          </cell>
          <cell r="L2791" t="str">
            <v>TERESA DE JESUS ZAMUDIO SIABATO</v>
          </cell>
          <cell r="M2791">
            <v>31</v>
          </cell>
          <cell r="N2791" t="str">
            <v>RESOLUCION</v>
          </cell>
          <cell r="O2791">
            <v>2824</v>
          </cell>
          <cell r="P2791">
            <v>43280</v>
          </cell>
          <cell r="Q2791" t="str">
            <v>VUR de la actual vigencia. La asignación se realiza para dar cumplimiento al fallo de acción popular 2002-00152- Suba Gavilanes. Dto 255 de 2013. LOCALIDAD: SUBA GAVILANES; BARRIO: SANTA CECILIA; ID: 2018-11-15362.</v>
          </cell>
          <cell r="R2791">
            <v>39062100</v>
          </cell>
          <cell r="S2791">
            <v>0</v>
          </cell>
          <cell r="T2791">
            <v>0</v>
          </cell>
          <cell r="U2791">
            <v>39062100</v>
          </cell>
          <cell r="V2791">
            <v>0</v>
          </cell>
        </row>
        <row r="2792">
          <cell r="J2792">
            <v>2411</v>
          </cell>
          <cell r="K2792">
            <v>43280</v>
          </cell>
          <cell r="L2792" t="str">
            <v>MARIA NELCY SASTOQUE VARGAS</v>
          </cell>
          <cell r="M2792">
            <v>31</v>
          </cell>
          <cell r="N2792" t="str">
            <v>RESOLUCION</v>
          </cell>
          <cell r="O2792">
            <v>2829</v>
          </cell>
          <cell r="P2792">
            <v>43280</v>
          </cell>
          <cell r="Q2792" t="str">
            <v>VUR de la actual vigencia. Dto 255 de 2013. LOCALIDAD: CIUDAD BOLIVAR; BARRIO: SAN FRANCISCO; ID: 2015-Q03-03557</v>
          </cell>
          <cell r="R2792">
            <v>39062100</v>
          </cell>
          <cell r="S2792">
            <v>0</v>
          </cell>
          <cell r="T2792">
            <v>0</v>
          </cell>
          <cell r="U2792">
            <v>39062100</v>
          </cell>
          <cell r="V2792">
            <v>0</v>
          </cell>
        </row>
        <row r="2793">
          <cell r="J2793">
            <v>2412</v>
          </cell>
          <cell r="K2793">
            <v>43280</v>
          </cell>
          <cell r="L2793" t="str">
            <v>OCTAVIO  ARIAS SOSSA</v>
          </cell>
          <cell r="M2793">
            <v>31</v>
          </cell>
          <cell r="N2793" t="str">
            <v>RESOLUCION</v>
          </cell>
          <cell r="O2793">
            <v>2801</v>
          </cell>
          <cell r="P2793">
            <v>43280</v>
          </cell>
          <cell r="Q2793" t="str">
            <v>VUR de la actual vigencia. La asignación se realiza para dar cumplimiento al fallo de acción popular 2002-00152- Suba Gavilanes. Dto 255 de 2013. LOCALIDAD: SUBA GAVILANES; BARRIO: SAN PEDRO DE TIBABUYES; ID: 2018-11-15335</v>
          </cell>
          <cell r="R2793">
            <v>39062100</v>
          </cell>
          <cell r="S2793">
            <v>0</v>
          </cell>
          <cell r="T2793">
            <v>0</v>
          </cell>
          <cell r="U2793">
            <v>39062100</v>
          </cell>
          <cell r="V2793">
            <v>0</v>
          </cell>
        </row>
        <row r="2794">
          <cell r="J2794">
            <v>2413</v>
          </cell>
          <cell r="K2794">
            <v>43280</v>
          </cell>
          <cell r="L2794" t="str">
            <v>PETRONILA  CASTILLO</v>
          </cell>
          <cell r="M2794">
            <v>31</v>
          </cell>
          <cell r="N2794" t="str">
            <v>RESOLUCION</v>
          </cell>
          <cell r="O2794">
            <v>2804</v>
          </cell>
          <cell r="P2794">
            <v>43280</v>
          </cell>
          <cell r="Q2794" t="str">
            <v>VUR DE LA ACTUAL VIGENCIA. LA ASIGNACIÓN SE REALIZA PARA DAR CUMPLIMIENTO AL FALLO DE ACCIÓN POPULAR 2002-00152- SUBA GAVILANES. DTO 255 DE 2013. LOCALIDAD: SUBA GAVILANES; BARRIO: SANTA CECILIA; ID: 2018-11-15187.</v>
          </cell>
          <cell r="R2794">
            <v>39062100</v>
          </cell>
          <cell r="S2794">
            <v>0</v>
          </cell>
          <cell r="T2794">
            <v>0</v>
          </cell>
          <cell r="U2794">
            <v>39062100</v>
          </cell>
          <cell r="V2794">
            <v>0</v>
          </cell>
        </row>
        <row r="2795">
          <cell r="J2795">
            <v>2414</v>
          </cell>
          <cell r="K2795">
            <v>43284</v>
          </cell>
          <cell r="L2795" t="str">
            <v>ANA ZORAIDA LEGUIZAMON PICON</v>
          </cell>
          <cell r="M2795">
            <v>31</v>
          </cell>
          <cell r="N2795" t="str">
            <v>RESOLUCION</v>
          </cell>
          <cell r="O2795">
            <v>2818</v>
          </cell>
          <cell r="P2795">
            <v>43284</v>
          </cell>
          <cell r="Q2795" t="str">
            <v>VUR de la actual vigencia. Dto 255 de 2013. LOCALIDAD: SAN CRISTOBAL; BARRIO: MONTEBELLO; ID: 2010-4-11860</v>
          </cell>
          <cell r="R2795">
            <v>39062100</v>
          </cell>
          <cell r="S2795">
            <v>0</v>
          </cell>
          <cell r="T2795">
            <v>0</v>
          </cell>
          <cell r="U2795">
            <v>39062100</v>
          </cell>
          <cell r="V2795">
            <v>0</v>
          </cell>
        </row>
        <row r="2796">
          <cell r="J2796">
            <v>2415</v>
          </cell>
          <cell r="K2796">
            <v>43284</v>
          </cell>
          <cell r="L2796" t="str">
            <v>ANGIE MARCELA GONZALEZ SASTOQUE</v>
          </cell>
          <cell r="M2796">
            <v>31</v>
          </cell>
          <cell r="N2796" t="str">
            <v>RESOLUCION</v>
          </cell>
          <cell r="O2796">
            <v>2820</v>
          </cell>
          <cell r="P2796">
            <v>43284</v>
          </cell>
          <cell r="Q2796" t="str">
            <v>VUR de la actual vigencia. Dto 255 de 2013. LOCALIDAD: CIUDAD BOLIVAR; BARRIO: SAN FRANCISCO; ID: 2018-Q03-15550</v>
          </cell>
          <cell r="R2796">
            <v>39062100</v>
          </cell>
          <cell r="S2796">
            <v>0</v>
          </cell>
          <cell r="T2796">
            <v>0</v>
          </cell>
          <cell r="U2796">
            <v>39062100</v>
          </cell>
          <cell r="V2796">
            <v>0</v>
          </cell>
        </row>
        <row r="2797">
          <cell r="J2797">
            <v>2416</v>
          </cell>
          <cell r="K2797">
            <v>43285</v>
          </cell>
          <cell r="L2797" t="str">
            <v>MARIA LILIA BONILLA</v>
          </cell>
          <cell r="M2797">
            <v>31</v>
          </cell>
          <cell r="N2797" t="str">
            <v>RESOLUCION</v>
          </cell>
          <cell r="O2797">
            <v>2817</v>
          </cell>
          <cell r="P2797">
            <v>43285</v>
          </cell>
          <cell r="Q2797" t="str">
            <v>AYUDA TEMPORAL A LAS FAMILIAS DE VARIAS LOCALIDADES, PARA RELOCALIZACIÓN DE HOGARES LOCALIZADOS EN ZONAS DE ALTO RIESGO NO MITIGABLE ID:2012-19-13821, LOCALIDAD:19 CIUDAD BOLÍVAR, UPZ:67 LUCERO</v>
          </cell>
          <cell r="R2797">
            <v>3374280</v>
          </cell>
          <cell r="S2797">
            <v>0</v>
          </cell>
          <cell r="T2797">
            <v>0</v>
          </cell>
          <cell r="U2797">
            <v>3374280</v>
          </cell>
          <cell r="V2797">
            <v>964080</v>
          </cell>
        </row>
        <row r="2798">
          <cell r="J2798">
            <v>2417</v>
          </cell>
          <cell r="K2798">
            <v>43285</v>
          </cell>
          <cell r="L2798" t="str">
            <v>OMAR  SALAZAR HERNANDEZ</v>
          </cell>
          <cell r="M2798">
            <v>31</v>
          </cell>
          <cell r="N2798" t="str">
            <v>RESOLUCION</v>
          </cell>
          <cell r="O2798">
            <v>2810</v>
          </cell>
          <cell r="P2798">
            <v>43285</v>
          </cell>
          <cell r="Q2798" t="str">
            <v>AYUDA TEMPORAL A LAS FAMILIAS DE VARIAS LOCALIDADES, PARA LA RELOCALIZACIÓN DE HOGARES LOCALIZADOS EN ZONAS DE ALTO RIESGO NO MITIGABLE ID:2008-4-10769, LOCALIDAD:04 SAN CRISTÓBAL, UPZ:51 LOS LIBERTADORES, SECTOR:QUEBRADA VEREJONES</v>
          </cell>
          <cell r="R2798">
            <v>3254769</v>
          </cell>
          <cell r="S2798">
            <v>0</v>
          </cell>
          <cell r="T2798">
            <v>0</v>
          </cell>
          <cell r="U2798">
            <v>3254769</v>
          </cell>
          <cell r="V2798">
            <v>929934</v>
          </cell>
        </row>
        <row r="2799">
          <cell r="J2799">
            <v>2418</v>
          </cell>
          <cell r="K2799">
            <v>43285</v>
          </cell>
          <cell r="L2799" t="str">
            <v>AMADEO  ESPINOSA MONDRAGON</v>
          </cell>
          <cell r="M2799">
            <v>31</v>
          </cell>
          <cell r="N2799" t="str">
            <v>RESOLUCION</v>
          </cell>
          <cell r="O2799">
            <v>2811</v>
          </cell>
          <cell r="P2799">
            <v>43285</v>
          </cell>
          <cell r="Q2799" t="str">
            <v>AYUDA TEMPORAL A LAS FAMILIAS DE VARIAS LOCALIDADES, PARA RELOCALIZACIÓN DE HOGARES LOCALIZADOS EN ZONAS DE ALTO RIESGO NO MITIGABLE ID:2013000257, LOCALIDAD:19 CIUDAD BOLÍVAR, UPZ:67 LUCERO, SECTOR:PEÑA COLORADA</v>
          </cell>
          <cell r="R2799">
            <v>2606135</v>
          </cell>
          <cell r="S2799">
            <v>0</v>
          </cell>
          <cell r="T2799">
            <v>0</v>
          </cell>
          <cell r="U2799">
            <v>2606135</v>
          </cell>
          <cell r="V2799">
            <v>744610</v>
          </cell>
        </row>
        <row r="2800">
          <cell r="J2800">
            <v>2419</v>
          </cell>
          <cell r="K2800">
            <v>43285</v>
          </cell>
          <cell r="L2800" t="str">
            <v>AGUSTIN ENRIQUE GONZALEZ RAMOS</v>
          </cell>
          <cell r="M2800">
            <v>31</v>
          </cell>
          <cell r="N2800" t="str">
            <v>RESOLUCION</v>
          </cell>
          <cell r="O2800">
            <v>2812</v>
          </cell>
          <cell r="P2800">
            <v>43285</v>
          </cell>
          <cell r="Q2800" t="str">
            <v>AYUDA TEMPORAL A LAS FAMILIAS DE VARIAS LOCALIDADES, PARA LA RELOCALIZACIÓN DE HOGARES LOCALIZADOS EN ZONAS DE ALTO RIESGO NO MITIGABLE ID:2010-19-11689, LOCALIDAD:19 CIUDAD BOLÍVAR, UPZ:69 ISMAEL PERDOMO, SECTOR:OLA INVERNAL 2010 FOPAE</v>
          </cell>
          <cell r="R2800">
            <v>2582006</v>
          </cell>
          <cell r="S2800">
            <v>0</v>
          </cell>
          <cell r="T2800">
            <v>0</v>
          </cell>
          <cell r="U2800">
            <v>2582006</v>
          </cell>
          <cell r="V2800">
            <v>737716</v>
          </cell>
        </row>
        <row r="2801">
          <cell r="J2801">
            <v>2420</v>
          </cell>
          <cell r="K2801">
            <v>43285</v>
          </cell>
          <cell r="L2801" t="str">
            <v>OSCAR JAVIER VELANDIA SIERRA</v>
          </cell>
          <cell r="M2801">
            <v>31</v>
          </cell>
          <cell r="N2801" t="str">
            <v>RESOLUCION</v>
          </cell>
          <cell r="O2801">
            <v>2813</v>
          </cell>
          <cell r="P2801">
            <v>43285</v>
          </cell>
          <cell r="Q2801" t="str">
            <v>AYUDA TEMPORAL A LAS FAMILIAS DE VARIAS LOCALIDADES, PARA RELOCALIZACIÓN DE HOGARES LOCALIZADOS EN ZONAS DE ALTO RIESGO NO MITIGABLE ID:2013-Q10-00548, LOCALIDAD:04 SAN CRISTÓBAL, UPZ:51 LOS LIBERTADORES, SECTOR:QUEBRADA VEREJONES</v>
          </cell>
          <cell r="R2801">
            <v>3201695</v>
          </cell>
          <cell r="S2801">
            <v>0</v>
          </cell>
          <cell r="T2801">
            <v>0</v>
          </cell>
          <cell r="U2801">
            <v>3201695</v>
          </cell>
          <cell r="V2801">
            <v>914770</v>
          </cell>
        </row>
        <row r="2802">
          <cell r="J2802">
            <v>2421</v>
          </cell>
          <cell r="K2802">
            <v>43285</v>
          </cell>
          <cell r="L2802" t="str">
            <v>GRACIELA  RUIZ SEGURA</v>
          </cell>
          <cell r="M2802">
            <v>31</v>
          </cell>
          <cell r="N2802" t="str">
            <v>RESOLUCION</v>
          </cell>
          <cell r="O2802">
            <v>2814</v>
          </cell>
          <cell r="P2802">
            <v>43285</v>
          </cell>
          <cell r="Q2802" t="str">
            <v>AYUDA TEMPORAL A LAS FAMILIAS DE VARIAS LOCALIDADES, PARA RELOCALIZACIÓN DE HOGARES LOCALIZADOS EN ZONAS DE ALTO RIESGO NO MITIGABLE ID:2009-5-11048, LOCALIDAD:05 USME, UPZ:57 GRAN YOMASA</v>
          </cell>
          <cell r="R2802">
            <v>3383254</v>
          </cell>
          <cell r="S2802">
            <v>0</v>
          </cell>
          <cell r="T2802">
            <v>0</v>
          </cell>
          <cell r="U2802">
            <v>3383254</v>
          </cell>
          <cell r="V2802">
            <v>966644</v>
          </cell>
        </row>
        <row r="2803">
          <cell r="J2803">
            <v>2422</v>
          </cell>
          <cell r="K2803">
            <v>43285</v>
          </cell>
          <cell r="L2803" t="str">
            <v>GLADYS  CIFUENTES CASTAÑEDA</v>
          </cell>
          <cell r="M2803">
            <v>31</v>
          </cell>
          <cell r="N2803" t="str">
            <v>RESOLUCION</v>
          </cell>
          <cell r="O2803">
            <v>2815</v>
          </cell>
          <cell r="P2803">
            <v>43285</v>
          </cell>
          <cell r="Q2803" t="str">
            <v>AYUDA TEMPORAL A LAS FAMILIAS DE VARIAS LOCALIDADES, PARA RELOCALIZACIÓN DE HOGARES LOCALIZADOS EN ZONAS DE ALTO RIESGO NO MITIGABLE ID:2012-19-14088, LOCALIDAD:19 CIUDAD BOLÍVAR, UPZ:68 EL TESORO, SECTOR:QUEBRADA TROMPETA</v>
          </cell>
          <cell r="R2803">
            <v>2788569</v>
          </cell>
          <cell r="S2803">
            <v>0</v>
          </cell>
          <cell r="T2803">
            <v>0</v>
          </cell>
          <cell r="U2803">
            <v>2788569</v>
          </cell>
          <cell r="V2803">
            <v>796734</v>
          </cell>
        </row>
        <row r="2804">
          <cell r="J2804">
            <v>2423</v>
          </cell>
          <cell r="K2804">
            <v>43285</v>
          </cell>
          <cell r="L2804" t="str">
            <v>YEISON ALEXANDER CHAPARRO ANGULO</v>
          </cell>
          <cell r="M2804">
            <v>31</v>
          </cell>
          <cell r="N2804" t="str">
            <v>RESOLUCION</v>
          </cell>
          <cell r="O2804">
            <v>2816</v>
          </cell>
          <cell r="P2804">
            <v>43285</v>
          </cell>
          <cell r="Q2804" t="str">
            <v>AYUDA TEMPORAL A LAS FAMILIAS DE VARIAS LOCALIDADES, PARA RELOCALIZACIÓN DE HOGARES LOCALIZADOS EN ZONAS DE ALTO RIESGO NO MITIGABLE ID:2011-5-13065, LOCALIDAD:05 USME, UPZ:56 DANUBIO</v>
          </cell>
          <cell r="R2804">
            <v>3769724</v>
          </cell>
          <cell r="S2804">
            <v>0</v>
          </cell>
          <cell r="T2804">
            <v>0</v>
          </cell>
          <cell r="U2804">
            <v>3769724</v>
          </cell>
          <cell r="V2804">
            <v>1077064</v>
          </cell>
        </row>
        <row r="2805">
          <cell r="J2805">
            <v>2424</v>
          </cell>
          <cell r="K2805">
            <v>43285</v>
          </cell>
          <cell r="L2805" t="str">
            <v>MARIA  AYALA</v>
          </cell>
          <cell r="M2805">
            <v>31</v>
          </cell>
          <cell r="N2805" t="str">
            <v>RESOLUCION</v>
          </cell>
          <cell r="O2805">
            <v>2823</v>
          </cell>
          <cell r="P2805">
            <v>43285</v>
          </cell>
          <cell r="Q2805" t="str">
            <v>AYUDA TEMPORAL A LAS FAMILIAS DE VARIAS LOCALIDADES, PARA RELOCALIZACIÓN DE HOGARES LOCALIZADOS EN ZONAS DE ALTO RIESGO NO MITIGABLE ID:2006-19-8520, LOCALIDAD:19 CIUDAD BOLÍVAR, UPZ:68 EL TESORO, SECTOR:QUEBRADA EL INFIERNO</v>
          </cell>
          <cell r="R2805">
            <v>3530008</v>
          </cell>
          <cell r="S2805">
            <v>0</v>
          </cell>
          <cell r="T2805">
            <v>0</v>
          </cell>
          <cell r="U2805">
            <v>3530008</v>
          </cell>
          <cell r="V2805">
            <v>882502</v>
          </cell>
        </row>
        <row r="2806">
          <cell r="J2806">
            <v>2425</v>
          </cell>
          <cell r="K2806">
            <v>43285</v>
          </cell>
          <cell r="L2806" t="str">
            <v>DIANA DEL PILAR GALINDO GONZALEZ</v>
          </cell>
          <cell r="M2806">
            <v>31</v>
          </cell>
          <cell r="N2806" t="str">
            <v>RESOLUCION</v>
          </cell>
          <cell r="O2806">
            <v>2796</v>
          </cell>
          <cell r="P2806">
            <v>43285</v>
          </cell>
          <cell r="Q2806" t="str">
            <v>AYUDA TEMPORAL A LAS FAMILIAS DE VARIAS LOCALIDADES, PARA RELOCALIZACIÓN DE HOGARES LOCALIZADOS EN ZONAS DE ALTO RIESGO NO MITIGABLE ID:2014-OTR-00946, LOCALIDAD:19 CIUDAD BOLÍVAR, UPZ:67 LUCERO, SECTOR:TABOR ALTALOMA</v>
          </cell>
          <cell r="R2806">
            <v>3248007</v>
          </cell>
          <cell r="S2806">
            <v>0</v>
          </cell>
          <cell r="T2806">
            <v>0</v>
          </cell>
          <cell r="U2806">
            <v>3248007</v>
          </cell>
          <cell r="V2806">
            <v>928002</v>
          </cell>
        </row>
        <row r="2807">
          <cell r="J2807">
            <v>2428</v>
          </cell>
          <cell r="K2807">
            <v>43285</v>
          </cell>
          <cell r="L2807" t="str">
            <v>MARIA JUDY GARZON GUATAVA</v>
          </cell>
          <cell r="M2807">
            <v>31</v>
          </cell>
          <cell r="N2807" t="str">
            <v>RESOLUCION</v>
          </cell>
          <cell r="O2807">
            <v>2798</v>
          </cell>
          <cell r="P2807">
            <v>43285</v>
          </cell>
          <cell r="Q2807" t="str">
            <v>AYUDA TEMPORAL A LAS FAMILIAS DE VARIAS LOCALIDADES, PARA LA RELOCALIZACIÓN DE HOGARES LOCALIZADOS EN ZONAS DE ALTO RIESGO NO MITIGABLE ID:2012-19-13823, LOCALIDAD:19 CIUDAD BOLÍVAR, UPZ:67 LUCERO, SECTOR:</v>
          </cell>
          <cell r="R2807">
            <v>2582006</v>
          </cell>
          <cell r="S2807">
            <v>0</v>
          </cell>
          <cell r="T2807">
            <v>0</v>
          </cell>
          <cell r="U2807">
            <v>2582006</v>
          </cell>
          <cell r="V2807">
            <v>737716</v>
          </cell>
        </row>
        <row r="2808">
          <cell r="J2808">
            <v>2429</v>
          </cell>
          <cell r="K2808">
            <v>43285</v>
          </cell>
          <cell r="L2808" t="str">
            <v>OLGA  GONZALEZ GONZALEZ</v>
          </cell>
          <cell r="M2808">
            <v>31</v>
          </cell>
          <cell r="N2808" t="str">
            <v>RESOLUCION</v>
          </cell>
          <cell r="O2808">
            <v>2799</v>
          </cell>
          <cell r="P2808">
            <v>43285</v>
          </cell>
          <cell r="Q2808" t="str">
            <v>AYUDA TEMPORAL A LAS FAMILIAS DE VARIAS LOCALIDADES, PARA RELOCALIZACIÓN DE HOGARES LOCALIZADOS EN ZONAS DE ALTO RIESGO NO MITIGABLE ID:2014-Q01-01192, LOCALIDAD:05 USME, UPZ:56 DANUBIO, SECTOR:HOYA DEL RAMO</v>
          </cell>
          <cell r="R2808">
            <v>2953097</v>
          </cell>
          <cell r="S2808">
            <v>0</v>
          </cell>
          <cell r="T2808">
            <v>0</v>
          </cell>
          <cell r="U2808">
            <v>2953097</v>
          </cell>
          <cell r="V2808">
            <v>843742</v>
          </cell>
        </row>
        <row r="2809">
          <cell r="J2809">
            <v>2430</v>
          </cell>
          <cell r="K2809">
            <v>43285</v>
          </cell>
          <cell r="L2809" t="str">
            <v>NANCY  SILVA CRISTIANO</v>
          </cell>
          <cell r="M2809">
            <v>31</v>
          </cell>
          <cell r="N2809" t="str">
            <v>RESOLUCION</v>
          </cell>
          <cell r="O2809">
            <v>2800</v>
          </cell>
          <cell r="P2809">
            <v>43285</v>
          </cell>
          <cell r="Q2809" t="str">
            <v>AYUDA TEMPORAL A LAS FAMILIAS DE VARIAS LOCALIDADES, PARA RELOCALIZACIÓN DE HOGARES LOCALIZADOS EN ZONAS DE ALTO RIESGO NO MITIGABLE ID:2012-19-13922, LOCALIDAD:19 CIUDAD BOLÍVAR, UPZ:67 LUCERO, SECTOR:</v>
          </cell>
          <cell r="R2809">
            <v>2849392</v>
          </cell>
          <cell r="S2809">
            <v>0</v>
          </cell>
          <cell r="T2809">
            <v>0</v>
          </cell>
          <cell r="U2809">
            <v>2849392</v>
          </cell>
          <cell r="V2809">
            <v>814112</v>
          </cell>
        </row>
        <row r="2810">
          <cell r="J2810">
            <v>2431</v>
          </cell>
          <cell r="K2810">
            <v>43285</v>
          </cell>
          <cell r="L2810" t="str">
            <v>RUBIELA  AROCA YARA</v>
          </cell>
          <cell r="M2810">
            <v>31</v>
          </cell>
          <cell r="N2810" t="str">
            <v>RESOLUCION</v>
          </cell>
          <cell r="O2810">
            <v>2806</v>
          </cell>
          <cell r="P2810">
            <v>43285</v>
          </cell>
          <cell r="Q2810" t="str">
            <v>AYUDA TEMPORAL A LAS FAMILIAS DE VARIAS LOCALIDADES, PARA RELOCALIZACIÓN DE HOGARES LOCALIZADOS EN ZONAS DE ALTO RIESGO NO MITIGABLE ID:2006-4-8640, LOCALIDAD:04 SAN CRISTÓBAL, UPZ:50 LA GLORIA, SECTOR:</v>
          </cell>
          <cell r="R2810">
            <v>4802539</v>
          </cell>
          <cell r="S2810">
            <v>0</v>
          </cell>
          <cell r="T2810">
            <v>0</v>
          </cell>
          <cell r="U2810">
            <v>4802539</v>
          </cell>
          <cell r="V2810">
            <v>1372154</v>
          </cell>
        </row>
        <row r="2811">
          <cell r="J2811">
            <v>2432</v>
          </cell>
          <cell r="K2811">
            <v>43285</v>
          </cell>
          <cell r="L2811" t="str">
            <v>ELVER YAIMA BONILLA</v>
          </cell>
          <cell r="M2811">
            <v>31</v>
          </cell>
          <cell r="N2811" t="str">
            <v>RESOLUCION</v>
          </cell>
          <cell r="O2811">
            <v>2807</v>
          </cell>
          <cell r="P2811">
            <v>43285</v>
          </cell>
          <cell r="Q2811" t="str">
            <v>AYUDA TEMPORAL A LAS FAMILIAS DE VARIAS LOCALIDADES, PARA RELOCALIZACIÓN DE HOGARES LOCALIZADOS EN ZONAS DE ALTO RIESGO NO MITIGABLE ID:2012-19-13884, LOCALIDAD:19 CIUDAD BOLÍVAR, UPZ:67 LUCERO, SECTOR:</v>
          </cell>
          <cell r="R2811">
            <v>3562464</v>
          </cell>
          <cell r="S2811">
            <v>0</v>
          </cell>
          <cell r="T2811">
            <v>0</v>
          </cell>
          <cell r="U2811">
            <v>3562464</v>
          </cell>
          <cell r="V2811">
            <v>890616</v>
          </cell>
        </row>
        <row r="2812">
          <cell r="J2812">
            <v>2433</v>
          </cell>
          <cell r="K2812">
            <v>43285</v>
          </cell>
          <cell r="L2812" t="str">
            <v>JULIO WILCHEZ GUERRERO GONZALEZ</v>
          </cell>
          <cell r="M2812">
            <v>31</v>
          </cell>
          <cell r="N2812" t="str">
            <v>RESOLUCION</v>
          </cell>
          <cell r="O2812">
            <v>2808</v>
          </cell>
          <cell r="P2812">
            <v>43285</v>
          </cell>
          <cell r="Q2812" t="str">
            <v>AYUDA TEMPORAL A LAS FAMILIAS DE VARIAS LOCALIDADES, PARA RELOCALIZACIÓN DE HOGARES LOCALIZADOS EN ZONAS DE ALTO RIESGO NO MITIGABLE ID:2011-5-13263, LOCALIDAD:05 USME, UPZ:56 DANUBIO, SECTOR:</v>
          </cell>
          <cell r="R2812">
            <v>2896103</v>
          </cell>
          <cell r="S2812">
            <v>0</v>
          </cell>
          <cell r="T2812">
            <v>0</v>
          </cell>
          <cell r="U2812">
            <v>2896103</v>
          </cell>
          <cell r="V2812">
            <v>827458</v>
          </cell>
        </row>
        <row r="2813">
          <cell r="J2813">
            <v>2434</v>
          </cell>
          <cell r="K2813">
            <v>43285</v>
          </cell>
          <cell r="L2813" t="str">
            <v>JOSE HERMINSO MENDOZA GUISA</v>
          </cell>
          <cell r="M2813">
            <v>31</v>
          </cell>
          <cell r="N2813" t="str">
            <v>RESOLUCION</v>
          </cell>
          <cell r="O2813">
            <v>2809</v>
          </cell>
          <cell r="P2813">
            <v>43285</v>
          </cell>
          <cell r="Q2813" t="str">
            <v>AYUDA TEMPORAL A LAS FAMILIAS DE VARIAS LOCALIDADES, PARA RELOCALIZACIÓN DE HOGARES LOCALIZADOS EN ZONAS DE ALTO RIESGO NO MITIGABLE ID:2007-4-10150, LOCALIDAD:04 SAN CRISTÓBAL, UPZ:32 SAN BLAS, SECTOR:</v>
          </cell>
          <cell r="R2813">
            <v>2788569</v>
          </cell>
          <cell r="S2813">
            <v>0</v>
          </cell>
          <cell r="T2813">
            <v>0</v>
          </cell>
          <cell r="U2813">
            <v>2788569</v>
          </cell>
          <cell r="V2813">
            <v>796734</v>
          </cell>
        </row>
        <row r="2814">
          <cell r="J2814">
            <v>2436</v>
          </cell>
          <cell r="K2814">
            <v>43286</v>
          </cell>
          <cell r="L2814" t="str">
            <v>LUIS JORGE ROJAS HERNANDEZ</v>
          </cell>
          <cell r="M2814">
            <v>31</v>
          </cell>
          <cell r="N2814" t="str">
            <v>RESOLUCION</v>
          </cell>
          <cell r="O2814">
            <v>2777</v>
          </cell>
          <cell r="P2814">
            <v>43286</v>
          </cell>
          <cell r="Q2814" t="str">
            <v>AYUDA TEMPORAL A LAS FAMILIAS DE VARIAS LOCALIDADES, PARA RELOCALIZACIÓN DE HOGARES LOCALIZADOS EN ZONAS DE ALTO RIESGO NO MITIGABLE ID:2014-OTR-00961, LOCALIDAD:19 CIUDAD BOLÍVAR, UPZ:67 LUCERO, SECTOR:TABOR ALTALOMA</v>
          </cell>
          <cell r="R2814">
            <v>3017000</v>
          </cell>
          <cell r="S2814">
            <v>0</v>
          </cell>
          <cell r="T2814">
            <v>0</v>
          </cell>
          <cell r="U2814">
            <v>3017000</v>
          </cell>
          <cell r="V2814">
            <v>862000</v>
          </cell>
        </row>
        <row r="2815">
          <cell r="J2815">
            <v>2437</v>
          </cell>
          <cell r="K2815">
            <v>43286</v>
          </cell>
          <cell r="L2815" t="str">
            <v>WILLIAM ALEXANDER GONZALEZ SASTOQUE</v>
          </cell>
          <cell r="M2815">
            <v>31</v>
          </cell>
          <cell r="N2815" t="str">
            <v>RESOLUCION</v>
          </cell>
          <cell r="O2815">
            <v>2830</v>
          </cell>
          <cell r="P2815">
            <v>43286</v>
          </cell>
          <cell r="Q2815" t="str">
            <v>VUR de la actual vigencia. Dto 255 de 2013. OCALIDAD: CIUDAD BOLIVAR; BARRIO: SAN FRANCISCO; ID: 2018-Q03-15552</v>
          </cell>
          <cell r="R2815">
            <v>39062100</v>
          </cell>
          <cell r="S2815">
            <v>0</v>
          </cell>
          <cell r="T2815">
            <v>0</v>
          </cell>
          <cell r="U2815">
            <v>39062100</v>
          </cell>
          <cell r="V2815">
            <v>0</v>
          </cell>
        </row>
        <row r="2816">
          <cell r="J2816">
            <v>2438</v>
          </cell>
          <cell r="K2816">
            <v>43286</v>
          </cell>
          <cell r="L2816" t="str">
            <v>MARIA CLEMENTINA FIGUEREDO ROJAS</v>
          </cell>
          <cell r="M2816">
            <v>31</v>
          </cell>
          <cell r="N2816" t="str">
            <v>RESOLUCION</v>
          </cell>
          <cell r="O2816">
            <v>2833</v>
          </cell>
          <cell r="P2816">
            <v>43286</v>
          </cell>
          <cell r="Q2816" t="str">
            <v>Excedente de VUR por avaluo comercial.Dto 255 de 2013. LOCALIDAD:SAN CRISTOBAL; BARRIO:LOS LIBERTADORES; ID: 2013-Q18-00106</v>
          </cell>
          <cell r="R2816">
            <v>69667715</v>
          </cell>
          <cell r="S2816">
            <v>0</v>
          </cell>
          <cell r="T2816">
            <v>0</v>
          </cell>
          <cell r="U2816">
            <v>69667715</v>
          </cell>
          <cell r="V2816">
            <v>0</v>
          </cell>
        </row>
        <row r="2817">
          <cell r="J2817">
            <v>2439</v>
          </cell>
          <cell r="K2817">
            <v>43286</v>
          </cell>
          <cell r="L2817" t="str">
            <v>MARIA CARMEN ROSA PAEZ</v>
          </cell>
          <cell r="M2817">
            <v>31</v>
          </cell>
          <cell r="N2817" t="str">
            <v>RESOLUCION</v>
          </cell>
          <cell r="O2817">
            <v>2784</v>
          </cell>
          <cell r="P2817">
            <v>43286</v>
          </cell>
          <cell r="Q2817" t="str">
            <v>AYUDA TEMPORAL A LAS FAMILIAS DE VARIAS LOCALIDADES, PARA LA RELOCALIZACIÓN DE HOGARES LOCALIZADOS EN ZONAS DE ALTO RIESGO NO MITIGABLE ID:2013-Q10-00247, LOCALIDAD:04 SAN CRISTÓBAL, UPZ:51 LOS LIBERTADORES, SECTOR:QUEBRADA VEREJONES</v>
          </cell>
          <cell r="R2817">
            <v>4871286</v>
          </cell>
          <cell r="S2817">
            <v>0</v>
          </cell>
          <cell r="T2817">
            <v>0</v>
          </cell>
          <cell r="U2817">
            <v>4871286</v>
          </cell>
          <cell r="V2817">
            <v>1082508</v>
          </cell>
        </row>
        <row r="2818">
          <cell r="J2818">
            <v>2440</v>
          </cell>
          <cell r="K2818">
            <v>43286</v>
          </cell>
          <cell r="L2818" t="str">
            <v>DAINA JASMIN NAVARRETE</v>
          </cell>
          <cell r="M2818">
            <v>31</v>
          </cell>
          <cell r="N2818" t="str">
            <v>RESOLUCION</v>
          </cell>
          <cell r="O2818">
            <v>2790</v>
          </cell>
          <cell r="P2818">
            <v>43286</v>
          </cell>
          <cell r="Q2818" t="str">
            <v>AYUDA TEMPORAL A LAS FAMILIAS DE VARIAS LOCALIDADES, PARA RELOCALIZACIÓN DE HOGARES LOCALIZADOS EN ZONAS DE ALTO RIESGO NO MITIGABLE ID:2014-OTR-00892, LOCALIDAD:03 SANTA FE, UPZ:96 LOURDES, SECTOR:CASA 3</v>
          </cell>
          <cell r="R2818">
            <v>2975525</v>
          </cell>
          <cell r="S2818">
            <v>0</v>
          </cell>
          <cell r="T2818">
            <v>0</v>
          </cell>
          <cell r="U2818">
            <v>2975525</v>
          </cell>
          <cell r="V2818">
            <v>850150</v>
          </cell>
        </row>
        <row r="2819">
          <cell r="J2819">
            <v>2441</v>
          </cell>
          <cell r="K2819">
            <v>43286</v>
          </cell>
          <cell r="L2819" t="str">
            <v>YEISON  PIRAZA CABEZON</v>
          </cell>
          <cell r="M2819">
            <v>31</v>
          </cell>
          <cell r="N2819" t="str">
            <v>RESOLUCION</v>
          </cell>
          <cell r="O2819">
            <v>2791</v>
          </cell>
          <cell r="P2819">
            <v>43286</v>
          </cell>
          <cell r="Q2819" t="str">
            <v>AYUDA TEMPORAL A LAS FAMILIAS DE VARIAS LOCALIDADES, PARA RELOCALIZACIÓN DE HOGARES LOCALIZADOS EN ZONAS DE ALTO RIESGO NO MITIGABLE ID:2014-W166-020, LOCALIDAD:19 CIUDAD BOLÍVAR, UPZ:68 EL TESORO, SECTOR:WOUNAAN</v>
          </cell>
          <cell r="R2819">
            <v>3515589</v>
          </cell>
          <cell r="S2819">
            <v>0</v>
          </cell>
          <cell r="T2819">
            <v>0</v>
          </cell>
          <cell r="U2819">
            <v>3515589</v>
          </cell>
          <cell r="V2819">
            <v>781242</v>
          </cell>
        </row>
        <row r="2820">
          <cell r="J2820">
            <v>2442</v>
          </cell>
          <cell r="K2820">
            <v>43286</v>
          </cell>
          <cell r="L2820" t="str">
            <v>LUIS ALBERTO URREA LEMUS</v>
          </cell>
          <cell r="M2820">
            <v>31</v>
          </cell>
          <cell r="N2820" t="str">
            <v>RESOLUCION</v>
          </cell>
          <cell r="O2820">
            <v>2792</v>
          </cell>
          <cell r="P2820">
            <v>43286</v>
          </cell>
          <cell r="Q2820" t="str">
            <v>AYUDA TEMPORAL A LAS FAMILIAS DE VARIAS LOCALIDADES, PARA RELOCALIZACIÓN DE HOGARES LOCALIZADOS EN ZONAS DE ALTO RIESGO NO MITIGABLE ID:2013-Q21-00354, LOCALIDAD:19 CIUDAD BOLÍVAR, UPZ:67 LUCERO, SECTOR:BRAZO DERECHO DE LIMAS</v>
          </cell>
          <cell r="R2820">
            <v>2734347</v>
          </cell>
          <cell r="S2820">
            <v>0</v>
          </cell>
          <cell r="T2820">
            <v>0</v>
          </cell>
          <cell r="U2820">
            <v>2734347</v>
          </cell>
          <cell r="V2820">
            <v>781242</v>
          </cell>
        </row>
        <row r="2821">
          <cell r="J2821">
            <v>2443</v>
          </cell>
          <cell r="K2821">
            <v>43286</v>
          </cell>
          <cell r="L2821" t="str">
            <v>EZEQUIEL  ARISTIZABAL RAMOS</v>
          </cell>
          <cell r="M2821">
            <v>31</v>
          </cell>
          <cell r="N2821" t="str">
            <v>RESOLUCION</v>
          </cell>
          <cell r="O2821">
            <v>2793</v>
          </cell>
          <cell r="P2821">
            <v>43286</v>
          </cell>
          <cell r="Q2821" t="str">
            <v>AYUDA TEMPORAL A LAS FAMILIAS DE VARIAS LOCALIDADES, PARA RELOCALIZACIÓN DE HOGARES LOCALIZADOS EN ZONAS DE ALTO RIESGO NO MITIGABLE ID:2014-OTR-00899, LOCALIDAD:03 SANTA FE, UPZ:96 LOURDES, SECTOR:CASA 3</v>
          </cell>
          <cell r="R2821">
            <v>3516527</v>
          </cell>
          <cell r="S2821">
            <v>0</v>
          </cell>
          <cell r="T2821">
            <v>0</v>
          </cell>
          <cell r="U2821">
            <v>3516527</v>
          </cell>
          <cell r="V2821">
            <v>1004722</v>
          </cell>
        </row>
        <row r="2822">
          <cell r="J2822">
            <v>2444</v>
          </cell>
          <cell r="K2822">
            <v>43286</v>
          </cell>
          <cell r="L2822" t="str">
            <v>LAURA ESTEFANIA DELGADO GOMEZ</v>
          </cell>
          <cell r="M2822">
            <v>31</v>
          </cell>
          <cell r="N2822" t="str">
            <v>RESOLUCION</v>
          </cell>
          <cell r="O2822">
            <v>2794</v>
          </cell>
          <cell r="P2822">
            <v>43286</v>
          </cell>
          <cell r="Q2822" t="str">
            <v>AYUDA TEMPORAL A LAS FAMILIAS DE VARIAS LOCALIDADES, PARA RELOCALIZACIÓN DE HOGARES LOCALIZADOS EN ZONAS DE ALTO RIESGO NO MITIGABLE ID:2011-4-12819, LOCALIDAD:04 SAN CRISTÓBAL, UPZ:32 SAN BLAS, SECTOR:OLA INVERNAL 2010 FOPAE</v>
          </cell>
          <cell r="R2822">
            <v>4292073</v>
          </cell>
          <cell r="S2822">
            <v>0</v>
          </cell>
          <cell r="T2822">
            <v>0</v>
          </cell>
          <cell r="U2822">
            <v>4292073</v>
          </cell>
          <cell r="V2822">
            <v>953794</v>
          </cell>
        </row>
        <row r="2823">
          <cell r="J2823">
            <v>2445</v>
          </cell>
          <cell r="K2823">
            <v>43286</v>
          </cell>
          <cell r="L2823" t="str">
            <v>YURY JOHANNA BRICEÑO MORENO</v>
          </cell>
          <cell r="M2823">
            <v>31</v>
          </cell>
          <cell r="N2823" t="str">
            <v>RESOLUCION</v>
          </cell>
          <cell r="O2823">
            <v>2795</v>
          </cell>
          <cell r="P2823">
            <v>43286</v>
          </cell>
          <cell r="Q2823" t="str">
            <v>AYUDA TEMPORAL A LAS FAMILIAS DE VARIAS LOCALIDADES, PARA RELOCALIZACIÓN DE HOGARES LOCALIZADOS EN ZONAS DE ALTO RIESGO NO MITIGABLE ID:2014-OTR-00910, LOCALIDAD:03 SANTA FE, UPZ:96 LOURDES, SECTOR:CASA 3</v>
          </cell>
          <cell r="R2823">
            <v>2553138</v>
          </cell>
          <cell r="S2823">
            <v>0</v>
          </cell>
          <cell r="T2823">
            <v>0</v>
          </cell>
          <cell r="U2823">
            <v>2553138</v>
          </cell>
          <cell r="V2823">
            <v>425523</v>
          </cell>
        </row>
        <row r="2824">
          <cell r="J2824">
            <v>2448</v>
          </cell>
          <cell r="K2824">
            <v>43286</v>
          </cell>
          <cell r="L2824" t="str">
            <v>FLORENTINO  BARRERA SUAREZ</v>
          </cell>
          <cell r="M2824">
            <v>31</v>
          </cell>
          <cell r="N2824" t="str">
            <v>RESOLUCION</v>
          </cell>
          <cell r="O2824">
            <v>2778</v>
          </cell>
          <cell r="P2824">
            <v>43286</v>
          </cell>
          <cell r="Q2824" t="str">
            <v>AYUDA TEMPORAL A LAS FAMILIAS DE VARIAS LOCALIDADES, PARA RELOCALIZACIÓN DE HOGARES LOCALIZADOS EN ZONAS DE ALTO RIESGO NO MITIGABLE ID:2012-3-14351, LOCALIDAD:03 SANTA FE, UPZ:96 LOURDES,</v>
          </cell>
          <cell r="R2824">
            <v>3201695</v>
          </cell>
          <cell r="S2824">
            <v>0</v>
          </cell>
          <cell r="T2824">
            <v>0</v>
          </cell>
          <cell r="U2824">
            <v>3201695</v>
          </cell>
          <cell r="V2824">
            <v>914770</v>
          </cell>
        </row>
        <row r="2825">
          <cell r="J2825">
            <v>2449</v>
          </cell>
          <cell r="K2825">
            <v>43286</v>
          </cell>
          <cell r="L2825" t="str">
            <v>MARIA LUCRECIA CORTES JOTA</v>
          </cell>
          <cell r="M2825">
            <v>31</v>
          </cell>
          <cell r="N2825" t="str">
            <v>RESOLUCION</v>
          </cell>
          <cell r="O2825">
            <v>2779</v>
          </cell>
          <cell r="P2825">
            <v>43286</v>
          </cell>
          <cell r="Q2825" t="str">
            <v>AYUDA TEMPORAL A LAS FAMILIAS DE VARIAS LOCALIDADES, PARA LA RELOCALIZACIÓN DE HOGARES LOCALIZADOS EN ZONAS DE ALTO RIESGO NO MITIGABLE ID:2012-19-13826, LOCALIDAD:19 CIUDAD BOLÍVAR, UPZ:67 LUCERO,</v>
          </cell>
          <cell r="R2825">
            <v>2796906</v>
          </cell>
          <cell r="S2825">
            <v>0</v>
          </cell>
          <cell r="T2825">
            <v>0</v>
          </cell>
          <cell r="U2825">
            <v>2796906</v>
          </cell>
          <cell r="V2825">
            <v>799116</v>
          </cell>
        </row>
        <row r="2826">
          <cell r="J2826">
            <v>2450</v>
          </cell>
          <cell r="K2826">
            <v>43286</v>
          </cell>
          <cell r="L2826" t="str">
            <v>YEISMI  GALINDO GONZALEZ</v>
          </cell>
          <cell r="M2826">
            <v>31</v>
          </cell>
          <cell r="N2826" t="str">
            <v>RESOLUCION</v>
          </cell>
          <cell r="O2826">
            <v>2780</v>
          </cell>
          <cell r="P2826">
            <v>43286</v>
          </cell>
          <cell r="Q2826" t="str">
            <v>AYUDA TEMPORAL A LAS FAMILIAS DE VARIAS LOCALIDADES, PARA RELOCALIZACIÓN DE HOGARES LOCALIZADOS EN ZONAS DE ALTO RIESGO NO MITIGABLE ID:2014-OTR-00949, LOCALIDAD:19 CIUDAD BOLÍVAR, UPZ:67 LUCERO, SECTOR:TABOR ALTALOMA</v>
          </cell>
          <cell r="R2826">
            <v>3383254</v>
          </cell>
          <cell r="S2826">
            <v>0</v>
          </cell>
          <cell r="T2826">
            <v>0</v>
          </cell>
          <cell r="U2826">
            <v>3383254</v>
          </cell>
          <cell r="V2826">
            <v>966644</v>
          </cell>
        </row>
        <row r="2827">
          <cell r="J2827">
            <v>2451</v>
          </cell>
          <cell r="K2827">
            <v>43286</v>
          </cell>
          <cell r="L2827" t="str">
            <v>TANIA JAEL MEDINA</v>
          </cell>
          <cell r="M2827">
            <v>31</v>
          </cell>
          <cell r="N2827" t="str">
            <v>RESOLUCION</v>
          </cell>
          <cell r="O2827">
            <v>2781</v>
          </cell>
          <cell r="P2827">
            <v>43286</v>
          </cell>
          <cell r="Q2827" t="str">
            <v>AYUDA TEMPORAL A LAS FAMILIAS DE VARIAS LOCALIDADES, PARA RELOCALIZACIÓN DE HOGARES LOCALIZADOS EN ZONAS DE ALTO RIESGO NO MITIGABLE ID:2005-19-7653, LOCALIDAD:19 CIUDAD BOLÍVAR, UPZ:67 LUCERO,</v>
          </cell>
          <cell r="R2827">
            <v>4465962</v>
          </cell>
          <cell r="S2827">
            <v>0</v>
          </cell>
          <cell r="T2827">
            <v>0</v>
          </cell>
          <cell r="U2827">
            <v>4465962</v>
          </cell>
          <cell r="V2827">
            <v>992436</v>
          </cell>
        </row>
        <row r="2828">
          <cell r="J2828">
            <v>2452</v>
          </cell>
          <cell r="K2828">
            <v>43286</v>
          </cell>
          <cell r="L2828" t="str">
            <v>YAMILE  CESPEDES JIMENEZ</v>
          </cell>
          <cell r="M2828">
            <v>31</v>
          </cell>
          <cell r="N2828" t="str">
            <v>RESOLUCION</v>
          </cell>
          <cell r="O2828">
            <v>2782</v>
          </cell>
          <cell r="P2828">
            <v>43286</v>
          </cell>
          <cell r="Q2828" t="str">
            <v>AYUDA TEMPORAL A LAS FAMILIAS DE VARIAS LOCALIDADES, PARA RELOCALIZACIÓN DE HOGARES LOCALIZADOS EN ZONAS DE ALTO RIESGO NO MITIGABLE ID:2014-OTR-00895, LOCALIDAD:03 SANTA FE, UPZ:96 LOURDES, SECTOR:CASA 3</v>
          </cell>
          <cell r="R2828">
            <v>3516527</v>
          </cell>
          <cell r="S2828">
            <v>0</v>
          </cell>
          <cell r="T2828">
            <v>0</v>
          </cell>
          <cell r="U2828">
            <v>3516527</v>
          </cell>
          <cell r="V2828">
            <v>1004722</v>
          </cell>
        </row>
        <row r="2829">
          <cell r="J2829">
            <v>2453</v>
          </cell>
          <cell r="K2829">
            <v>43286</v>
          </cell>
          <cell r="L2829" t="str">
            <v>LUIS EDUARDO GARCIA MORENO</v>
          </cell>
          <cell r="M2829">
            <v>31</v>
          </cell>
          <cell r="N2829" t="str">
            <v>RESOLUCION</v>
          </cell>
          <cell r="O2829">
            <v>2783</v>
          </cell>
          <cell r="P2829">
            <v>43286</v>
          </cell>
          <cell r="Q2829" t="str">
            <v>AYUDA TEMPORAL A LAS FAMILIAS DE VARIAS LOCALIDADES, PARA RELOCALIZACIÓN DE HOGARES LOCALIZADOS EN ZONAS DE ALTO RIESGO NO MITIGABLE ID:2013-Q07-00024, LOCALIDAD:19 CIUDAD BOLÍVAR, UPZ:67 LUCERO, SECTOR:ZANJÓN DEL AHORCADO</v>
          </cell>
          <cell r="R2829">
            <v>4136728</v>
          </cell>
          <cell r="S2829">
            <v>0</v>
          </cell>
          <cell r="T2829">
            <v>0</v>
          </cell>
          <cell r="U2829">
            <v>4136728</v>
          </cell>
          <cell r="V2829">
            <v>1034182</v>
          </cell>
        </row>
        <row r="2830">
          <cell r="J2830">
            <v>2454</v>
          </cell>
          <cell r="K2830">
            <v>43287</v>
          </cell>
          <cell r="L2830" t="str">
            <v>JOSE ALEXANDER MORALES MORALES</v>
          </cell>
          <cell r="M2830">
            <v>31</v>
          </cell>
          <cell r="N2830" t="str">
            <v>RESOLUCION</v>
          </cell>
          <cell r="O2830">
            <v>2831</v>
          </cell>
          <cell r="P2830">
            <v>43287</v>
          </cell>
          <cell r="Q2830" t="str">
            <v>VUR de la actual vigencia. Decreto 255 de 2013.LOCALIDAD: CIUDAD BOLIVAR; BARRIO: EL MOCHUELO II;ID: 2015-Q09-03242</v>
          </cell>
          <cell r="R2830">
            <v>39062100</v>
          </cell>
          <cell r="S2830">
            <v>0</v>
          </cell>
          <cell r="T2830">
            <v>0</v>
          </cell>
          <cell r="U2830">
            <v>39062100</v>
          </cell>
          <cell r="V2830">
            <v>0</v>
          </cell>
        </row>
        <row r="2831">
          <cell r="J2831">
            <v>2455</v>
          </cell>
          <cell r="K2831">
            <v>43287</v>
          </cell>
          <cell r="L2831" t="str">
            <v>ROSA ANTONIA VILLAMIL BUITRAGO</v>
          </cell>
          <cell r="M2831">
            <v>31</v>
          </cell>
          <cell r="N2831" t="str">
            <v>RESOLUCION</v>
          </cell>
          <cell r="O2831">
            <v>2832</v>
          </cell>
          <cell r="P2831">
            <v>43287</v>
          </cell>
          <cell r="Q2831" t="str">
            <v>VUR de la actual vigencia. Decreto 255 de 2013. LOCALIDAD: SAN CRISTOBAL; BARRIO: CANADA O GUIRA; ID: 2015-Q20-03845</v>
          </cell>
          <cell r="R2831">
            <v>39062100</v>
          </cell>
          <cell r="S2831">
            <v>0</v>
          </cell>
          <cell r="T2831">
            <v>0</v>
          </cell>
          <cell r="U2831">
            <v>39062100</v>
          </cell>
          <cell r="V2831">
            <v>39062100</v>
          </cell>
        </row>
        <row r="2832">
          <cell r="J2832">
            <v>2458</v>
          </cell>
          <cell r="K2832">
            <v>43291</v>
          </cell>
          <cell r="L2832" t="str">
            <v>MARIA CRISTINA GALINDO MEDINA</v>
          </cell>
          <cell r="M2832">
            <v>31</v>
          </cell>
          <cell r="N2832" t="str">
            <v>RESOLUCION</v>
          </cell>
          <cell r="O2832">
            <v>2847</v>
          </cell>
          <cell r="P2832">
            <v>43291</v>
          </cell>
          <cell r="Q2832" t="str">
            <v>AYUDA TEMPORAL A LAS FAMILIAS DE VARIAS LOCALIDADES, PARA LA RELOCALIZACIÓN DE HOGARES LOCALIZADOS EN ZONAS DE ALTO RIESGO NO MITIGABLE ID:2011-4-12676, LOCALIDAD:04 SAN CRISTÓBAL, UPZ:32 SAN BLAS</v>
          </cell>
          <cell r="R2832">
            <v>2734347</v>
          </cell>
          <cell r="S2832">
            <v>0</v>
          </cell>
          <cell r="T2832">
            <v>0</v>
          </cell>
          <cell r="U2832">
            <v>2734347</v>
          </cell>
          <cell r="V2832">
            <v>781242</v>
          </cell>
        </row>
        <row r="2833">
          <cell r="J2833">
            <v>2459</v>
          </cell>
          <cell r="K2833">
            <v>43291</v>
          </cell>
          <cell r="L2833" t="str">
            <v>ARELIS  CLOFE GAMBOA</v>
          </cell>
          <cell r="M2833">
            <v>31</v>
          </cell>
          <cell r="N2833" t="str">
            <v>RESOLUCION</v>
          </cell>
          <cell r="O2833">
            <v>2846</v>
          </cell>
          <cell r="P2833">
            <v>43291</v>
          </cell>
          <cell r="Q2833" t="str">
            <v>AYUDA TEMPORAL A LAS FAMILIAS DE VARIAS LOCALIDADES, PARA LA RELOCALIZACIÓN DE HOGARES LOCALIZADOS EN ZONAS DE ALTO RIESGO NO MITIGABLE ID:2013-Q18-00395, LOCALIDAD:19 CIUDAD BOLÍVAR, UPZ:69 ISMAEL PERDOMO, SECTOR:ZANJÓN MURALLA</v>
          </cell>
          <cell r="R2833">
            <v>1781232</v>
          </cell>
          <cell r="S2833">
            <v>0</v>
          </cell>
          <cell r="T2833">
            <v>0</v>
          </cell>
          <cell r="U2833">
            <v>1781232</v>
          </cell>
          <cell r="V2833">
            <v>1335924</v>
          </cell>
        </row>
        <row r="2834">
          <cell r="J2834">
            <v>2460</v>
          </cell>
          <cell r="K2834">
            <v>43291</v>
          </cell>
          <cell r="L2834" t="str">
            <v>RAMIRO  ARTUNDUAGA GUTIERREZ</v>
          </cell>
          <cell r="M2834">
            <v>31</v>
          </cell>
          <cell r="N2834" t="str">
            <v>RESOLUCION</v>
          </cell>
          <cell r="O2834">
            <v>2842</v>
          </cell>
          <cell r="P2834">
            <v>43291</v>
          </cell>
          <cell r="Q2834" t="str">
            <v>AYUDA TEMPORAL A LAS FAMILIAS DE VARIAS LOCALIDADES, PARA LA RELOCALIZACIÓN DE HOGARES LOCALIZADOS EN ZONAS DE ALTO RIESGO NO MITIGABLE ID:2013000266, LOCALIDAD: 04 SAN CRISTOBAL, UPZ:51 LOS LIBERTADORES, SECTOR: QUEBRADA VEREJONES</v>
          </cell>
          <cell r="R2834">
            <v>3137015</v>
          </cell>
          <cell r="S2834">
            <v>0</v>
          </cell>
          <cell r="T2834">
            <v>0</v>
          </cell>
          <cell r="U2834">
            <v>3137015</v>
          </cell>
          <cell r="V2834">
            <v>896290</v>
          </cell>
        </row>
        <row r="2835">
          <cell r="J2835">
            <v>2462</v>
          </cell>
          <cell r="K2835">
            <v>43292</v>
          </cell>
          <cell r="L2835" t="str">
            <v>LUIS ERNESTO CURREA BRAVO</v>
          </cell>
          <cell r="M2835">
            <v>31</v>
          </cell>
          <cell r="N2835" t="str">
            <v>RESOLUCION</v>
          </cell>
          <cell r="O2835">
            <v>2836</v>
          </cell>
          <cell r="P2835">
            <v>43292</v>
          </cell>
          <cell r="Q2835" t="str">
            <v>Reajuste de VUR  por avalúo comercial. Dto. 255 de 2013. LOCALIDAD: CIUDAD BOLIVAR; BARRIO: SAN RAFAEL; ID: 2013-Q21-00569.</v>
          </cell>
          <cell r="R2835">
            <v>39961300</v>
          </cell>
          <cell r="S2835">
            <v>0</v>
          </cell>
          <cell r="T2835">
            <v>0</v>
          </cell>
          <cell r="U2835">
            <v>39961300</v>
          </cell>
          <cell r="V2835">
            <v>0</v>
          </cell>
        </row>
        <row r="2836">
          <cell r="J2836">
            <v>2463</v>
          </cell>
          <cell r="K2836">
            <v>43292</v>
          </cell>
          <cell r="L2836" t="str">
            <v>LIGIA  ROMERO OLIVEROS</v>
          </cell>
          <cell r="M2836">
            <v>31</v>
          </cell>
          <cell r="N2836" t="str">
            <v>RESOLUCION</v>
          </cell>
          <cell r="O2836">
            <v>2835</v>
          </cell>
          <cell r="P2836">
            <v>43292</v>
          </cell>
          <cell r="Q2836" t="str">
            <v>Reajuste de VUR  por avalúo comercial. Dto. 255 de 2013. LOCALIDAD: SAN CRISTOBAL; BARRIO: QUINDIO; ID: 2014-Q20-01179</v>
          </cell>
          <cell r="R2836">
            <v>168545826</v>
          </cell>
          <cell r="S2836">
            <v>0</v>
          </cell>
          <cell r="T2836">
            <v>0</v>
          </cell>
          <cell r="U2836">
            <v>168545826</v>
          </cell>
          <cell r="V2836">
            <v>168545826</v>
          </cell>
        </row>
        <row r="2837">
          <cell r="J2837">
            <v>2464</v>
          </cell>
          <cell r="K2837">
            <v>43292</v>
          </cell>
          <cell r="L2837" t="str">
            <v>CLAUDIA YIRLEY LEAL CHUNZA</v>
          </cell>
          <cell r="M2837">
            <v>31</v>
          </cell>
          <cell r="N2837" t="str">
            <v>RESOLUCION</v>
          </cell>
          <cell r="O2837">
            <v>2837</v>
          </cell>
          <cell r="P2837">
            <v>43292</v>
          </cell>
          <cell r="Q2837" t="str">
            <v>Adquisición predial por Dto. 511 de 2010. LOCALIDAD:USME; BARRIO:YOPAL EL PEDREGAL; ID: 2010-5-11503</v>
          </cell>
          <cell r="R2837">
            <v>76256400</v>
          </cell>
          <cell r="S2837">
            <v>0</v>
          </cell>
          <cell r="T2837">
            <v>0</v>
          </cell>
          <cell r="U2837">
            <v>76256400</v>
          </cell>
          <cell r="V2837">
            <v>22876920</v>
          </cell>
        </row>
        <row r="2838">
          <cell r="J2838">
            <v>2465</v>
          </cell>
          <cell r="K2838">
            <v>43292</v>
          </cell>
          <cell r="L2838" t="str">
            <v>AYDA LUZ PIAMBA MAJIN</v>
          </cell>
          <cell r="M2838">
            <v>31</v>
          </cell>
          <cell r="N2838" t="str">
            <v>RESOLUCION</v>
          </cell>
          <cell r="O2838">
            <v>2841</v>
          </cell>
          <cell r="P2838">
            <v>43292</v>
          </cell>
          <cell r="Q2838" t="str">
            <v>AYUDA TEMPORAL A LAS FAMILIAS DE VARIAS LOCALIDADES, PARA RELOCALIZACIÓN DE HOGARES LOCALIZADOS EN ZONAS DE ALTO RIESGO NO MITIGABLE ID:2011-4-13076, LOCALIDAD:04 SAN CRISTÓBAL, UPZ:51 LOS LIBERTADORES, SECTOR:QUEBRADA VEREJONES</v>
          </cell>
          <cell r="R2838">
            <v>2924376</v>
          </cell>
          <cell r="S2838">
            <v>0</v>
          </cell>
          <cell r="T2838">
            <v>0</v>
          </cell>
          <cell r="U2838">
            <v>2924376</v>
          </cell>
          <cell r="V2838">
            <v>835536</v>
          </cell>
        </row>
        <row r="2839">
          <cell r="J2839">
            <v>2466</v>
          </cell>
          <cell r="K2839">
            <v>43292</v>
          </cell>
          <cell r="L2839" t="str">
            <v>ANA LIBIA GORDILLO LEON</v>
          </cell>
          <cell r="M2839">
            <v>31</v>
          </cell>
          <cell r="N2839" t="str">
            <v>RESOLUCION</v>
          </cell>
          <cell r="O2839">
            <v>2844</v>
          </cell>
          <cell r="P2839">
            <v>43292</v>
          </cell>
          <cell r="Q2839" t="str">
            <v>AYUDA TEMPORAL A LAS FAMILIAS DE VARIAS LOCALIDADES, PARA RELOCALIZACIÓN DE HOGARES LOCALIZADOS EN ZONAS DE ALTO RIESGO NO MITIGABLE ID:2011-4-12719, LOCALIDAD:04 SAN CRISTÓBAL, UPZ:32 SAN BLAS</v>
          </cell>
          <cell r="R2839">
            <v>3022327</v>
          </cell>
          <cell r="S2839">
            <v>0</v>
          </cell>
          <cell r="T2839">
            <v>0</v>
          </cell>
          <cell r="U2839">
            <v>3022327</v>
          </cell>
          <cell r="V2839">
            <v>863522</v>
          </cell>
        </row>
        <row r="2840">
          <cell r="J2840">
            <v>2467</v>
          </cell>
          <cell r="K2840">
            <v>43292</v>
          </cell>
          <cell r="L2840" t="str">
            <v>MARIA TERESA GARZON PATIÑO</v>
          </cell>
          <cell r="M2840">
            <v>31</v>
          </cell>
          <cell r="N2840" t="str">
            <v>RESOLUCION</v>
          </cell>
          <cell r="O2840">
            <v>2865</v>
          </cell>
          <cell r="P2840">
            <v>43292</v>
          </cell>
          <cell r="Q2840" t="str">
            <v>VUR de la actual vigencia. Dto 255 de 2013. LOCALIDAD: CIUDAD BOLIVAR; BARRIO: EL MOCHUELO; ID: 2015-Q09-03189</v>
          </cell>
          <cell r="R2840">
            <v>39062100</v>
          </cell>
          <cell r="S2840">
            <v>0</v>
          </cell>
          <cell r="T2840">
            <v>0</v>
          </cell>
          <cell r="U2840">
            <v>39062100</v>
          </cell>
          <cell r="V2840">
            <v>0</v>
          </cell>
        </row>
        <row r="2841">
          <cell r="J2841">
            <v>2468</v>
          </cell>
          <cell r="K2841">
            <v>43292</v>
          </cell>
          <cell r="L2841" t="str">
            <v>JOSE NELSON QUITIAN SANTAMARIA</v>
          </cell>
          <cell r="M2841">
            <v>31</v>
          </cell>
          <cell r="N2841" t="str">
            <v>RESOLUCION</v>
          </cell>
          <cell r="O2841">
            <v>2866</v>
          </cell>
          <cell r="P2841">
            <v>43292</v>
          </cell>
          <cell r="Q2841" t="str">
            <v>adquisición predial por Dto. 511 de 2010. LOCALIDAD:RAFAEL URIBE; BARRIO:MADRID; ID: 2004-18-5522</v>
          </cell>
          <cell r="R2841">
            <v>20501658</v>
          </cell>
          <cell r="S2841">
            <v>0</v>
          </cell>
          <cell r="T2841">
            <v>0</v>
          </cell>
          <cell r="U2841">
            <v>20501658</v>
          </cell>
          <cell r="V2841">
            <v>0</v>
          </cell>
        </row>
        <row r="2842">
          <cell r="J2842">
            <v>2469</v>
          </cell>
          <cell r="K2842">
            <v>43292</v>
          </cell>
          <cell r="L2842" t="str">
            <v>YOLANDA  MANCIPE GIRALDO</v>
          </cell>
          <cell r="M2842">
            <v>31</v>
          </cell>
          <cell r="N2842" t="str">
            <v>RESOLUCION</v>
          </cell>
          <cell r="O2842">
            <v>2862</v>
          </cell>
          <cell r="P2842">
            <v>43292</v>
          </cell>
          <cell r="Q2842" t="str">
            <v>AYUDA TEMPORAL A LAS FAMILIAS DE VARIAS LOCALIDADES, PARA LA RELOCALIZACIÓN DE HOGARES LOCALIZADOS EN ZONAS DE ALTO RIESGO NO MITIGABLE ID:2012-19-13845, LOCALIDAD:19 CIUDAD BOLÍVAR, UPZ:67 LUCERO</v>
          </cell>
          <cell r="R2842">
            <v>2899710</v>
          </cell>
          <cell r="S2842">
            <v>0</v>
          </cell>
          <cell r="T2842">
            <v>0</v>
          </cell>
          <cell r="U2842">
            <v>2899710</v>
          </cell>
          <cell r="V2842">
            <v>1449855</v>
          </cell>
        </row>
        <row r="2843">
          <cell r="J2843">
            <v>2470</v>
          </cell>
          <cell r="K2843">
            <v>43292</v>
          </cell>
          <cell r="L2843" t="str">
            <v>MARIA MARGARITA ACERO DE MORENO</v>
          </cell>
          <cell r="M2843">
            <v>31</v>
          </cell>
          <cell r="N2843" t="str">
            <v>RESOLUCION</v>
          </cell>
          <cell r="O2843">
            <v>2863</v>
          </cell>
          <cell r="P2843">
            <v>43292</v>
          </cell>
          <cell r="Q2843" t="str">
            <v>AYUDA TEMPORAL A LAS FAMILIAS DE VARIAS LOCALIDADES, PARA LA RELOCALIZACIÓN DE HOGARES LOCALIZADOS EN ZONAS DE ALTO RIESGO NO MITIGABLE ID:2014-Q03-00994, LOCALIDAD:19 CIUDAD BOLÍVAR, UPZ:66 SAN FRANCISCO, SECTOR:LIMAS</v>
          </cell>
          <cell r="R2843">
            <v>2586759</v>
          </cell>
          <cell r="S2843">
            <v>0</v>
          </cell>
          <cell r="T2843">
            <v>0</v>
          </cell>
          <cell r="U2843">
            <v>2586759</v>
          </cell>
          <cell r="V2843">
            <v>739074</v>
          </cell>
        </row>
        <row r="2844">
          <cell r="J2844">
            <v>2471</v>
          </cell>
          <cell r="K2844">
            <v>43292</v>
          </cell>
          <cell r="L2844" t="str">
            <v>ORLANDO  OCHOA MOSUCA</v>
          </cell>
          <cell r="M2844">
            <v>31</v>
          </cell>
          <cell r="N2844" t="str">
            <v>RESOLUCION</v>
          </cell>
          <cell r="O2844">
            <v>2878</v>
          </cell>
          <cell r="P2844">
            <v>43292</v>
          </cell>
          <cell r="Q2844" t="str">
            <v>AYUDA TEMPORAL A LAS FAMILIAS DE VARIAS LOCALIDADES, PARA LA RELOCALIZACIÓN DE HOGARES LOCALIZADOS EN ZONAS DE ALTO RIESGO NO MITIGABLE ID:2013-Q04-00517, LOCALIDAD:19 CIUDAD BOLÍVAR, UPZ:67 LUCERO, SECTOR:PEÑA COLORADA</v>
          </cell>
          <cell r="R2844">
            <v>1350021</v>
          </cell>
          <cell r="S2844">
            <v>0</v>
          </cell>
          <cell r="T2844">
            <v>0</v>
          </cell>
          <cell r="U2844">
            <v>1350021</v>
          </cell>
          <cell r="V2844">
            <v>900014</v>
          </cell>
        </row>
        <row r="2845">
          <cell r="J2845">
            <v>2472</v>
          </cell>
          <cell r="K2845">
            <v>43292</v>
          </cell>
          <cell r="L2845" t="str">
            <v>FRANCISCO ALBERTO BANDERA MARTINEZ</v>
          </cell>
          <cell r="M2845">
            <v>31</v>
          </cell>
          <cell r="N2845" t="str">
            <v>RESOLUCION</v>
          </cell>
          <cell r="O2845">
            <v>2843</v>
          </cell>
          <cell r="P2845">
            <v>43292</v>
          </cell>
          <cell r="Q2845" t="str">
            <v>AYUDA TEMPORAL A LAS FAMILIAS DE VARIAS LOCALIDADES, PARA RELOCALIZACIÓN DE HOGARES LOCALIZADOS EN ZONAS DE ALTO RIESGO NO MITIGABLE ID:2011-4-13552, LOCALIDAD:04 SAN CRISTÓBAL, UPZ:51 LOS LIBERTADORES, SECTOR:QUEBRADA VEREJONES</v>
          </cell>
          <cell r="R2845">
            <v>2582006</v>
          </cell>
          <cell r="S2845">
            <v>0</v>
          </cell>
          <cell r="T2845">
            <v>0</v>
          </cell>
          <cell r="U2845">
            <v>2582006</v>
          </cell>
          <cell r="V2845">
            <v>737716</v>
          </cell>
        </row>
        <row r="2846">
          <cell r="J2846">
            <v>2473</v>
          </cell>
          <cell r="K2846">
            <v>43292</v>
          </cell>
          <cell r="L2846" t="str">
            <v>ROSABEL  ARDILA</v>
          </cell>
          <cell r="M2846">
            <v>31</v>
          </cell>
          <cell r="N2846" t="str">
            <v>RESOLUCION</v>
          </cell>
          <cell r="O2846">
            <v>2845</v>
          </cell>
          <cell r="P2846">
            <v>43292</v>
          </cell>
          <cell r="Q2846" t="str">
            <v>AYUDA TEMPORAL A LAS FAMILIAS DE VARIAS LOCALIDADES, PARA LA RELOCALIZACIÓN DE HOGARES LOCALIZADOS EN ZONAS DE ALTO RIESGO NO MITIGABLE ID:2013000518, LOCALIDAD:19 CIUDAD BOLÍVAR, UPZ:67 LUCERO, SECTOR:BRAZO DERECHO DE LIMAS</v>
          </cell>
          <cell r="R2846">
            <v>3874960</v>
          </cell>
          <cell r="S2846">
            <v>0</v>
          </cell>
          <cell r="T2846">
            <v>0</v>
          </cell>
          <cell r="U2846">
            <v>3874960</v>
          </cell>
          <cell r="V2846">
            <v>1453110</v>
          </cell>
        </row>
        <row r="2847">
          <cell r="J2847">
            <v>2474</v>
          </cell>
          <cell r="K2847">
            <v>43292</v>
          </cell>
          <cell r="L2847" t="str">
            <v>CLEMENTINA  CORDOBA TOQUICA</v>
          </cell>
          <cell r="M2847">
            <v>31</v>
          </cell>
          <cell r="N2847" t="str">
            <v>RESOLUCION</v>
          </cell>
          <cell r="O2847">
            <v>2885</v>
          </cell>
          <cell r="P2847">
            <v>43292</v>
          </cell>
          <cell r="Q2847" t="str">
            <v>AYUDA TEMPORAL A LAS FAMILIAS DE VARIAS LOCALIDADES, PARA RELOCALIZACIÓN DE HOGARES LOCALIZADOS EN ZONAS DE ALTO RIESGO NO MITIGABLE ID:2013-Q21-00597, LOCALIDAD:19 CIUDAD BOLÍVAR, UPZ:67 LUCERO, SECTOR:BRAZO DERECHO DE LIMAS</v>
          </cell>
          <cell r="R2847">
            <v>3017000</v>
          </cell>
          <cell r="S2847">
            <v>0</v>
          </cell>
          <cell r="T2847">
            <v>0</v>
          </cell>
          <cell r="U2847">
            <v>3017000</v>
          </cell>
          <cell r="V2847">
            <v>862000</v>
          </cell>
        </row>
        <row r="2848">
          <cell r="J2848">
            <v>2475</v>
          </cell>
          <cell r="K2848">
            <v>43292</v>
          </cell>
          <cell r="L2848" t="str">
            <v>LUIS ERNESTO CASTAÑEDA SANABRIA</v>
          </cell>
          <cell r="M2848">
            <v>31</v>
          </cell>
          <cell r="N2848" t="str">
            <v>RESOLUCION</v>
          </cell>
          <cell r="O2848">
            <v>2839</v>
          </cell>
          <cell r="P2848">
            <v>43292</v>
          </cell>
          <cell r="Q2848" t="str">
            <v>VUR de la actual vigencia. La asignación se realiza para dar cumplimiento al fallo de acción popular 2002-00152- Suba Gavilanes. Dto 255 de 2013. LOCALIDAD: SUBA GAVILANES; BARRIO: SANTA CECILIA; ID: 2018-11-15165</v>
          </cell>
          <cell r="R2848">
            <v>39062100</v>
          </cell>
          <cell r="S2848">
            <v>0</v>
          </cell>
          <cell r="T2848">
            <v>0</v>
          </cell>
          <cell r="U2848">
            <v>39062100</v>
          </cell>
          <cell r="V2848">
            <v>0</v>
          </cell>
        </row>
        <row r="2849">
          <cell r="J2849">
            <v>2476</v>
          </cell>
          <cell r="K2849">
            <v>43292</v>
          </cell>
          <cell r="L2849" t="str">
            <v>REINA DOLORES ORDOÑEZ NAVARRO</v>
          </cell>
          <cell r="M2849">
            <v>31</v>
          </cell>
          <cell r="N2849" t="str">
            <v>RESOLUCION</v>
          </cell>
          <cell r="O2849">
            <v>2840</v>
          </cell>
          <cell r="P2849">
            <v>43292</v>
          </cell>
          <cell r="Q2849" t="str">
            <v>VUR de la actual vigencia.Dto 255 de 2013. LOCALIDAD: CIUDAD BOLIVAR; BARRIO: JUAQN PABLO II; ID: 2015-Q03-03414</v>
          </cell>
          <cell r="R2849">
            <v>39062100</v>
          </cell>
          <cell r="S2849">
            <v>0</v>
          </cell>
          <cell r="T2849">
            <v>0</v>
          </cell>
          <cell r="U2849">
            <v>39062100</v>
          </cell>
          <cell r="V2849">
            <v>0</v>
          </cell>
        </row>
        <row r="2850">
          <cell r="J2850">
            <v>2477</v>
          </cell>
          <cell r="K2850">
            <v>43292</v>
          </cell>
          <cell r="L2850" t="str">
            <v>RODRIGO  PARRA MALAVER</v>
          </cell>
          <cell r="M2850">
            <v>31</v>
          </cell>
          <cell r="N2850" t="str">
            <v>RESOLUCION</v>
          </cell>
          <cell r="O2850">
            <v>2838</v>
          </cell>
          <cell r="P2850">
            <v>43292</v>
          </cell>
          <cell r="Q2850" t="str">
            <v>Reajuste de VUR  por avalúo comercial. Dto. 255 de 2013. LOCALIDAD: RAFAEL URIBE URIBE; BARRIO: MARCO FIDEL SUAREZ; ID: 2011-18-13217.</v>
          </cell>
          <cell r="R2850">
            <v>54955385</v>
          </cell>
          <cell r="S2850">
            <v>0</v>
          </cell>
          <cell r="T2850">
            <v>0</v>
          </cell>
          <cell r="U2850">
            <v>54955385</v>
          </cell>
          <cell r="V2850">
            <v>0</v>
          </cell>
        </row>
        <row r="2851">
          <cell r="J2851">
            <v>2478</v>
          </cell>
          <cell r="K2851">
            <v>43292</v>
          </cell>
          <cell r="L2851" t="str">
            <v>OLGA LUCIA VARGAS ARCHILA</v>
          </cell>
          <cell r="M2851">
            <v>31</v>
          </cell>
          <cell r="N2851" t="str">
            <v>RESOLUCION</v>
          </cell>
          <cell r="O2851">
            <v>2859</v>
          </cell>
          <cell r="P2851">
            <v>43292</v>
          </cell>
          <cell r="Q2851" t="str">
            <v>AYUDA TEMPORAL A LAS FAMILIAS DE VARIAS LOCALIDADES, PARA RELOCALIZACIÓN DE HOGARES LOCALIZADOS EN ZONAS DE ALTO RIESGO NO MITIGABLE ID:2014-4-14714, LOCALIDAD:04 SAN CRISTÓBAL, UPZ:50 LA GLORIA</v>
          </cell>
          <cell r="R2851">
            <v>5181132</v>
          </cell>
          <cell r="S2851">
            <v>0</v>
          </cell>
          <cell r="T2851">
            <v>0</v>
          </cell>
          <cell r="U2851">
            <v>5181132</v>
          </cell>
          <cell r="V2851">
            <v>863522</v>
          </cell>
        </row>
        <row r="2852">
          <cell r="J2852">
            <v>2480</v>
          </cell>
          <cell r="K2852">
            <v>43292</v>
          </cell>
          <cell r="L2852" t="str">
            <v>OLINDA GRACILIANA VELASQUEZ DEROMERO</v>
          </cell>
          <cell r="M2852">
            <v>31</v>
          </cell>
          <cell r="N2852" t="str">
            <v>RESOLUCION</v>
          </cell>
          <cell r="O2852">
            <v>2860</v>
          </cell>
          <cell r="P2852">
            <v>43292</v>
          </cell>
          <cell r="Q2852" t="str">
            <v>AYUDA TEMPORAL A LAS FAMILIAS DE VARIAS LOCALIDADES, PARA RELOCALIZACIÓN DE HOGARES LOCALIZADOS EN ZONAS DE ALTO RIESGO NO MITIGABLE ID:2009-4-11166, LOCALIDAD:04 SAN CRISTÓBAL, UPZ:50 LA GLORIA</v>
          </cell>
          <cell r="R2852">
            <v>2992227</v>
          </cell>
          <cell r="S2852">
            <v>0</v>
          </cell>
          <cell r="T2852">
            <v>0</v>
          </cell>
          <cell r="U2852">
            <v>2992227</v>
          </cell>
          <cell r="V2852">
            <v>854922</v>
          </cell>
        </row>
        <row r="2853">
          <cell r="J2853">
            <v>2481</v>
          </cell>
          <cell r="K2853">
            <v>43292</v>
          </cell>
          <cell r="L2853" t="str">
            <v>BEATRIZ  MORALES RUIZ</v>
          </cell>
          <cell r="M2853">
            <v>31</v>
          </cell>
          <cell r="N2853" t="str">
            <v>RESOLUCION</v>
          </cell>
          <cell r="O2853">
            <v>2884</v>
          </cell>
          <cell r="P2853">
            <v>43292</v>
          </cell>
          <cell r="Q2853" t="str">
            <v>AYUDA TEMPORAL A LAS FAMILIAS DE VARIAS LOCALIDADES, PARA RELOCALIZACIÓN DE HOGARES LOCALIZADOS EN ZONAS DE ALTO RIESGO NO MITIGABLE ID:2012-T314-13, LOCALIDAD:04 SAN CRISTÓBAL, UPZ:50 LA GLORIA</v>
          </cell>
          <cell r="R2853">
            <v>2734347</v>
          </cell>
          <cell r="S2853">
            <v>0</v>
          </cell>
          <cell r="T2853">
            <v>0</v>
          </cell>
          <cell r="U2853">
            <v>2734347</v>
          </cell>
          <cell r="V2853">
            <v>781242</v>
          </cell>
        </row>
        <row r="2854">
          <cell r="J2854">
            <v>2482</v>
          </cell>
          <cell r="K2854">
            <v>43292</v>
          </cell>
          <cell r="L2854" t="str">
            <v>JESUS MARIA GONZALEZ RODRIGUEZ</v>
          </cell>
          <cell r="M2854">
            <v>31</v>
          </cell>
          <cell r="N2854" t="str">
            <v>RESOLUCION</v>
          </cell>
          <cell r="O2854">
            <v>2861</v>
          </cell>
          <cell r="P2854">
            <v>43292</v>
          </cell>
          <cell r="Q2854" t="str">
            <v>AYUDA TEMPORAL A LAS FAMILIAS DE VARIAS LOCALIDADES, PARA RELOCALIZACIÓN DE HOGARES LOCALIZADOS EN ZONAS DE ALTO RIESGO NO MITIGABLE ID:2013-Q10-00243, LOCALIDAD:04 SAN CRISTÓBAL, UPZ:51 LOS LIBERTADORES, SECTOR:QUEBRADA VEREJONES</v>
          </cell>
          <cell r="R2854">
            <v>2845920</v>
          </cell>
          <cell r="S2854">
            <v>0</v>
          </cell>
          <cell r="T2854">
            <v>0</v>
          </cell>
          <cell r="U2854">
            <v>2845920</v>
          </cell>
          <cell r="V2854">
            <v>813120</v>
          </cell>
        </row>
        <row r="2855">
          <cell r="J2855">
            <v>2483</v>
          </cell>
          <cell r="K2855">
            <v>43292</v>
          </cell>
          <cell r="L2855" t="str">
            <v>YEISON ESNEIDER RONCANCIO BUITRAGO</v>
          </cell>
          <cell r="M2855">
            <v>31</v>
          </cell>
          <cell r="N2855" t="str">
            <v>RESOLUCION</v>
          </cell>
          <cell r="O2855">
            <v>2857</v>
          </cell>
          <cell r="P2855">
            <v>43292</v>
          </cell>
          <cell r="Q2855" t="str">
            <v>AYUDA TEMPORAL A LAS FAMILIAS DE VARIAS LOCALIDADES, PARA RELOCALIZACIÓN DE HOGARES LOCALIZADOS EN ZONAS DE ALTO RIESGO NO MITIGABLE ID:2016-08-14793, LOCALIDAD:08 KENNEDY, UPZ:82 PATIO BONITO, SECTOR:PALMITAS</v>
          </cell>
          <cell r="R2855">
            <v>3098412</v>
          </cell>
          <cell r="S2855">
            <v>0</v>
          </cell>
          <cell r="T2855">
            <v>0</v>
          </cell>
          <cell r="U2855">
            <v>3098412</v>
          </cell>
          <cell r="V2855">
            <v>1032804</v>
          </cell>
        </row>
        <row r="2856">
          <cell r="J2856">
            <v>2484</v>
          </cell>
          <cell r="K2856">
            <v>43292</v>
          </cell>
          <cell r="L2856" t="str">
            <v>DIANA MARCELA AVELLA GUTIERREZ</v>
          </cell>
          <cell r="M2856">
            <v>31</v>
          </cell>
          <cell r="N2856" t="str">
            <v>RESOLUCION</v>
          </cell>
          <cell r="O2856">
            <v>2858</v>
          </cell>
          <cell r="P2856">
            <v>43292</v>
          </cell>
          <cell r="Q2856" t="str">
            <v>AYUDA TEMPORAL A LAS FAMILIAS DE VARIAS LOCALIDADES, PARA RELOCALIZACIÓN DE HOGARES LOCALIZADOS EN ZONAS DE ALTO RIESGO NO MITIGABLE ID:2013-Q17-00021, LOCALIDAD:19 CIUDAD BOLÍVAR, UPZ:68 EL TESORO, SECTOR:QUEBRADA GALINDO</v>
          </cell>
          <cell r="R2856">
            <v>6491914</v>
          </cell>
          <cell r="S2856">
            <v>0</v>
          </cell>
          <cell r="T2856">
            <v>0</v>
          </cell>
          <cell r="U2856">
            <v>6491914</v>
          </cell>
          <cell r="V2856">
            <v>1180348</v>
          </cell>
        </row>
        <row r="2857">
          <cell r="J2857">
            <v>2485</v>
          </cell>
          <cell r="K2857">
            <v>43292</v>
          </cell>
          <cell r="L2857" t="str">
            <v>ANA JOAQUINA PARDO PARDO</v>
          </cell>
          <cell r="M2857">
            <v>31</v>
          </cell>
          <cell r="N2857" t="str">
            <v>RESOLUCION</v>
          </cell>
          <cell r="O2857">
            <v>2881</v>
          </cell>
          <cell r="P2857">
            <v>43292</v>
          </cell>
          <cell r="Q2857" t="str">
            <v>AYUDA TEMPORAL A LAS FAMILIAS DE VARIAS LOCALIDADES, PARA RELOCALIZACIÓN DE HOGARES LOCALIZADOS EN ZONAS DE ALTO RIESGO NO MITIGABLE ID:2015-Q20-01330, LOCALIDAD:04 SAN CRISTÓBAL, UPZ:50 LA GLORIA, SECTOR:LA CHIGUAZA</v>
          </cell>
          <cell r="R2857">
            <v>2788569</v>
          </cell>
          <cell r="S2857">
            <v>0</v>
          </cell>
          <cell r="T2857">
            <v>0</v>
          </cell>
          <cell r="U2857">
            <v>2788569</v>
          </cell>
          <cell r="V2857">
            <v>796734</v>
          </cell>
        </row>
        <row r="2858">
          <cell r="J2858">
            <v>2556</v>
          </cell>
          <cell r="K2858">
            <v>43313</v>
          </cell>
          <cell r="L2858" t="str">
            <v>JAIME ENRIQUE TAMBO CAMARGO</v>
          </cell>
          <cell r="M2858">
            <v>31</v>
          </cell>
          <cell r="N2858" t="str">
            <v>RESOLUCION</v>
          </cell>
          <cell r="O2858">
            <v>3003</v>
          </cell>
          <cell r="P2858">
            <v>43313</v>
          </cell>
          <cell r="Q2858" t="str">
            <v>VUR de la actual vigencia. La asignación se realiza para dar cumplimiento al fallo de acción popular 2002-00152- Suba Gavilanes. Dto 255 de 2013. LOCALIDAD: SUBA GAVILANES; BARRIO: BILVAO; ID: 2018-11-15120</v>
          </cell>
          <cell r="R2858">
            <v>39062100</v>
          </cell>
          <cell r="S2858">
            <v>0</v>
          </cell>
          <cell r="T2858">
            <v>0</v>
          </cell>
          <cell r="U2858">
            <v>39062100</v>
          </cell>
          <cell r="V2858">
            <v>0</v>
          </cell>
        </row>
        <row r="2859">
          <cell r="J2859">
            <v>2557</v>
          </cell>
          <cell r="K2859">
            <v>43313</v>
          </cell>
          <cell r="L2859" t="str">
            <v>NANCY PATRICIA TALERO ZAMUDIO</v>
          </cell>
          <cell r="M2859">
            <v>31</v>
          </cell>
          <cell r="N2859" t="str">
            <v>RESOLUCION</v>
          </cell>
          <cell r="O2859">
            <v>3004</v>
          </cell>
          <cell r="P2859">
            <v>43313</v>
          </cell>
          <cell r="Q2859" t="str">
            <v>VUR de la actual vigencia. La asignación se realiza para dar cumplimiento al fallo de acción popular 2002-00152- Suba Gavilanes. Dto 255 de 2013. LOCALIDAD: SUBA GAVILANES; BARRIO: BILVAO; ID: 2018-11-15166</v>
          </cell>
          <cell r="R2859">
            <v>39062100</v>
          </cell>
          <cell r="S2859">
            <v>0</v>
          </cell>
          <cell r="T2859">
            <v>0</v>
          </cell>
          <cell r="U2859">
            <v>39062100</v>
          </cell>
          <cell r="V2859">
            <v>0</v>
          </cell>
        </row>
        <row r="2860">
          <cell r="J2860">
            <v>2558</v>
          </cell>
          <cell r="K2860">
            <v>43313</v>
          </cell>
          <cell r="L2860" t="str">
            <v>BLANCA NELLY URBANO BAUTISTA</v>
          </cell>
          <cell r="M2860">
            <v>31</v>
          </cell>
          <cell r="N2860" t="str">
            <v>RESOLUCION</v>
          </cell>
          <cell r="O2860">
            <v>3005</v>
          </cell>
          <cell r="P2860">
            <v>43313</v>
          </cell>
          <cell r="Q2860" t="str">
            <v>VUR de la actual vigencia. La asignación se realiza para dar cumplimiento al fallo de acción popular 2002-00152- Suba Gavilanes. Dto 255 de 2013. LOCALIDAD: SUBA GAVILANES; BARRIO: SANTA RITA; ID: 2018-11-15354</v>
          </cell>
          <cell r="R2860">
            <v>39062100</v>
          </cell>
          <cell r="S2860">
            <v>0</v>
          </cell>
          <cell r="T2860">
            <v>0</v>
          </cell>
          <cell r="U2860">
            <v>39062100</v>
          </cell>
          <cell r="V2860">
            <v>0</v>
          </cell>
        </row>
        <row r="2861">
          <cell r="J2861">
            <v>2559</v>
          </cell>
          <cell r="K2861">
            <v>43313</v>
          </cell>
          <cell r="L2861" t="str">
            <v>JORGE ARMANDO FLORIAN FLORIAN</v>
          </cell>
          <cell r="M2861">
            <v>31</v>
          </cell>
          <cell r="N2861" t="str">
            <v>RESOLUCION</v>
          </cell>
          <cell r="O2861">
            <v>3006</v>
          </cell>
          <cell r="P2861">
            <v>43313</v>
          </cell>
          <cell r="Q2861" t="str">
            <v>VUR DE LA ACTUAL VIGENCIA. LA ASIGNACIÓN SE REALIZA PARA DAR CUMPLIMIENTO AL FALLO DE ACCIÓN POPULAR 2002-00152- SUBA GAVILANES. DTO 255 DE 2013. LOCALIDAD: SUBA GAVILANES; BARRIO: SAN PEDRO; ID: 2018-11-15297</v>
          </cell>
          <cell r="R2861">
            <v>39062100</v>
          </cell>
          <cell r="S2861">
            <v>0</v>
          </cell>
          <cell r="T2861">
            <v>0</v>
          </cell>
          <cell r="U2861">
            <v>39062100</v>
          </cell>
          <cell r="V2861">
            <v>0</v>
          </cell>
        </row>
        <row r="2862">
          <cell r="J2862">
            <v>2560</v>
          </cell>
          <cell r="K2862">
            <v>43313</v>
          </cell>
          <cell r="L2862" t="str">
            <v>HECTOR DANILO FORERO PALACIOS</v>
          </cell>
          <cell r="M2862">
            <v>31</v>
          </cell>
          <cell r="N2862" t="str">
            <v>RESOLUCION</v>
          </cell>
          <cell r="O2862">
            <v>2759</v>
          </cell>
          <cell r="P2862">
            <v>43313</v>
          </cell>
          <cell r="Q2862" t="str">
            <v>AYUDA TEMPORAL A LAS FAMILIAS DE VARIAS LOCALIDADES, PARA LA RELOCALIZACIÓN DE HOGARES LOCALIZADOS EN ZONAS DE ALTO RIESGO NO MITIGABLE ID:2015-D227-00046, LOCALIDAD: 04 SAN CRISTOBAL, UPZ: 51 LOS LIBERTADORES, SECTOR: SANTA TERESITA.</v>
          </cell>
          <cell r="R2862">
            <v>2582006</v>
          </cell>
          <cell r="S2862">
            <v>0</v>
          </cell>
          <cell r="T2862">
            <v>0</v>
          </cell>
          <cell r="U2862">
            <v>2582006</v>
          </cell>
          <cell r="V2862">
            <v>737716</v>
          </cell>
        </row>
        <row r="2863">
          <cell r="J2863">
            <v>2562</v>
          </cell>
          <cell r="K2863">
            <v>43313</v>
          </cell>
          <cell r="L2863" t="str">
            <v>JORGE ENRIQUE MORENO OSORIO</v>
          </cell>
          <cell r="M2863">
            <v>31</v>
          </cell>
          <cell r="N2863" t="str">
            <v>RESOLUCION</v>
          </cell>
          <cell r="O2863">
            <v>3007</v>
          </cell>
          <cell r="P2863">
            <v>43313</v>
          </cell>
          <cell r="Q2863" t="str">
            <v>Reajuste de VUR  por avalúo comercial. Dto. 255 de 2013. LOCALIDAD: SAN CRISTOBAL; BARRIO: LA GLORIA ORIENTAL; ID: 2014-Q20-01220</v>
          </cell>
          <cell r="R2863">
            <v>17971536</v>
          </cell>
          <cell r="S2863">
            <v>0</v>
          </cell>
          <cell r="T2863">
            <v>0</v>
          </cell>
          <cell r="U2863">
            <v>17971536</v>
          </cell>
          <cell r="V2863">
            <v>0</v>
          </cell>
        </row>
        <row r="2864">
          <cell r="J2864">
            <v>2565</v>
          </cell>
          <cell r="K2864">
            <v>43314</v>
          </cell>
          <cell r="L2864" t="str">
            <v>ANA MILENA LEON ARIAS</v>
          </cell>
          <cell r="M2864">
            <v>31</v>
          </cell>
          <cell r="N2864" t="str">
            <v>RESOLUCION</v>
          </cell>
          <cell r="O2864">
            <v>2970</v>
          </cell>
          <cell r="P2864">
            <v>43314</v>
          </cell>
          <cell r="Q2864" t="str">
            <v>AYUDA TEMPORAL A LAS FAMILIAS DE VARIAS LOCALIDADES, PARA RELOCALIZACIÓN DE HOGARES LOCALIZADOS EN ZONAS DE ALTO RIESGO NO MITIGABLE ID:2016-08-14814, LOCALIDAD:08 KENNEDY, UPZ:82 PATIO BONITO, SECTOR:PALMITAS</v>
          </cell>
          <cell r="R2864">
            <v>3718092</v>
          </cell>
          <cell r="S2864">
            <v>0</v>
          </cell>
          <cell r="T2864">
            <v>0</v>
          </cell>
          <cell r="U2864">
            <v>3718092</v>
          </cell>
          <cell r="V2864">
            <v>531156</v>
          </cell>
        </row>
        <row r="2865">
          <cell r="J2865">
            <v>2566</v>
          </cell>
          <cell r="K2865">
            <v>43314</v>
          </cell>
          <cell r="L2865" t="str">
            <v>MARIA ELSA AGUDELO</v>
          </cell>
          <cell r="M2865">
            <v>31</v>
          </cell>
          <cell r="N2865" t="str">
            <v>RESOLUCION</v>
          </cell>
          <cell r="O2865">
            <v>2969</v>
          </cell>
          <cell r="P2865">
            <v>43314</v>
          </cell>
          <cell r="Q2865" t="str">
            <v>AYUDA TEMPORAL A LAS FAMILIAS DE VARIAS LOCALIDADES, PARA RELOCALIZACIÓN DE HOGARES LOCALIZADOS EN ZONAS DE ALTO RIESGO NO MITIGABLE ID:2013000127, LOCALIDAD:04 SAN CRISTÓBAL, UPZ:51 LOS LIBERTADORES, SECTOR:QUEBRADA VEREJONES</v>
          </cell>
          <cell r="R2865">
            <v>4187456</v>
          </cell>
          <cell r="S2865">
            <v>0</v>
          </cell>
          <cell r="T2865">
            <v>0</v>
          </cell>
          <cell r="U2865">
            <v>4187456</v>
          </cell>
          <cell r="V2865">
            <v>523432</v>
          </cell>
        </row>
        <row r="2866">
          <cell r="J2866">
            <v>2567</v>
          </cell>
          <cell r="K2866">
            <v>43314</v>
          </cell>
          <cell r="L2866" t="str">
            <v>JAIRO HUMBERTO GARCIA BAREÑO</v>
          </cell>
          <cell r="M2866">
            <v>31</v>
          </cell>
          <cell r="N2866" t="str">
            <v>RESOLUCION</v>
          </cell>
          <cell r="O2866">
            <v>2968</v>
          </cell>
          <cell r="P2866">
            <v>43314</v>
          </cell>
          <cell r="Q2866" t="str">
            <v>AYUDA TEMPORAL A LAS FAMILIAS DE VARIAS LOCALIDADES, PARA RELOCALIZACIÓN DE HOGARES LOCALIZADOS EN ZONAS DE ALTO RIESGO NO MITIGABLE ID:2012-19-13915, LOCALIDAD:19 CIUDAD BOLÍVAR, UPZ:67 LUCERO</v>
          </cell>
          <cell r="R2866">
            <v>3402088</v>
          </cell>
          <cell r="S2866">
            <v>0</v>
          </cell>
          <cell r="T2866">
            <v>0</v>
          </cell>
          <cell r="U2866">
            <v>3402088</v>
          </cell>
          <cell r="V2866">
            <v>850522</v>
          </cell>
        </row>
        <row r="2867">
          <cell r="J2867">
            <v>2568</v>
          </cell>
          <cell r="K2867">
            <v>43314</v>
          </cell>
          <cell r="L2867" t="str">
            <v>MARIA DEL CARMEN CEPEDA DE MORENO</v>
          </cell>
          <cell r="M2867">
            <v>31</v>
          </cell>
          <cell r="N2867" t="str">
            <v>RESOLUCION</v>
          </cell>
          <cell r="O2867">
            <v>2967</v>
          </cell>
          <cell r="P2867">
            <v>43314</v>
          </cell>
          <cell r="Q2867" t="str">
            <v>AYUDA TEMPORAL A LAS FAMILIAS DE VARIAS LOCALIDADES, PARA RELOCALIZACIÓN DE HOGARES LOCALIZADOS EN ZONAS DE ALTO RIESGO NO MITIGABLE ID:2015-D227-00052, LOCALIDAD:04 SAN CRISTÓBAL, UPZ:51 LOS LIBERTADORES, SECTOR:SANTA TERESITA</v>
          </cell>
          <cell r="R2867">
            <v>2281062</v>
          </cell>
          <cell r="S2867">
            <v>0</v>
          </cell>
          <cell r="T2867">
            <v>0</v>
          </cell>
          <cell r="U2867">
            <v>2281062</v>
          </cell>
          <cell r="V2867">
            <v>380177</v>
          </cell>
        </row>
        <row r="2868">
          <cell r="J2868">
            <v>2569</v>
          </cell>
          <cell r="K2868">
            <v>43314</v>
          </cell>
          <cell r="L2868" t="str">
            <v>SILVIA ELENA NIñO VARGAS</v>
          </cell>
          <cell r="M2868">
            <v>31</v>
          </cell>
          <cell r="N2868" t="str">
            <v>RESOLUCION</v>
          </cell>
          <cell r="O2868">
            <v>2966</v>
          </cell>
          <cell r="P2868">
            <v>43314</v>
          </cell>
          <cell r="Q2868" t="str">
            <v>AYUDA TEMPORAL A LAS FAMILIAS DE VARIAS LOCALIDADES, PARA RELOCALIZACIÓN DE HOGARES LOCALIZADOS EN ZONAS DE ALTO RIESGO NO MITIGABLE ID:1999-19-2375, LOCALIDAD:19 CIUDAD BOLÍVAR, UPZ:67 LUCERO, SECTOR:LIMAS</v>
          </cell>
          <cell r="R2868">
            <v>2390202</v>
          </cell>
          <cell r="S2868">
            <v>0</v>
          </cell>
          <cell r="T2868">
            <v>0</v>
          </cell>
          <cell r="U2868">
            <v>2390202</v>
          </cell>
          <cell r="V2868">
            <v>398367</v>
          </cell>
        </row>
        <row r="2869">
          <cell r="J2869">
            <v>2570</v>
          </cell>
          <cell r="K2869">
            <v>43314</v>
          </cell>
          <cell r="L2869" t="str">
            <v>ADONAI  MOLANO MENDOZA</v>
          </cell>
          <cell r="M2869">
            <v>31</v>
          </cell>
          <cell r="N2869" t="str">
            <v>RESOLUCION</v>
          </cell>
          <cell r="O2869">
            <v>2965</v>
          </cell>
          <cell r="P2869">
            <v>43314</v>
          </cell>
          <cell r="Q2869" t="str">
            <v>AYUDA TEMPORAL A LAS FAMILIAS DE VARIAS LOCALIDADES, PARA RELOCALIZACIÓN DE HOGARES LOCALIZADOS EN ZONAS DE ALTO RIESGO NO MITIGABLE ID:2007-4-10136, LOCALIDAD:04 SAN CRISTÓBAL, UPZ:32 SAN BLAS</v>
          </cell>
          <cell r="R2869">
            <v>4448430</v>
          </cell>
          <cell r="S2869">
            <v>0</v>
          </cell>
          <cell r="T2869">
            <v>0</v>
          </cell>
          <cell r="U2869">
            <v>4448430</v>
          </cell>
          <cell r="V2869">
            <v>494270</v>
          </cell>
        </row>
        <row r="2870">
          <cell r="J2870">
            <v>2571</v>
          </cell>
          <cell r="K2870">
            <v>43314</v>
          </cell>
          <cell r="L2870" t="str">
            <v>MARIA ROSMIRA ROJAS DE CEBALLOS</v>
          </cell>
          <cell r="M2870">
            <v>31</v>
          </cell>
          <cell r="N2870" t="str">
            <v>RESOLUCION</v>
          </cell>
          <cell r="O2870">
            <v>3002</v>
          </cell>
          <cell r="P2870">
            <v>43314</v>
          </cell>
          <cell r="Q2870" t="str">
            <v>adquisición predial por Dto. 511 de 2010. LOCALIDAD: USME; BARRIO: SAN JUAN DE USME;ID: 2010-5-11488</v>
          </cell>
          <cell r="R2870">
            <v>42139350</v>
          </cell>
          <cell r="S2870">
            <v>0</v>
          </cell>
          <cell r="T2870">
            <v>0</v>
          </cell>
          <cell r="U2870">
            <v>42139350</v>
          </cell>
          <cell r="V2870">
            <v>0</v>
          </cell>
        </row>
        <row r="2871">
          <cell r="J2871">
            <v>2572</v>
          </cell>
          <cell r="K2871">
            <v>43314</v>
          </cell>
          <cell r="L2871" t="str">
            <v>FANNY MARCELA MORENO ACHURI</v>
          </cell>
          <cell r="M2871">
            <v>31</v>
          </cell>
          <cell r="N2871" t="str">
            <v>RESOLUCION</v>
          </cell>
          <cell r="O2871">
            <v>2964</v>
          </cell>
          <cell r="P2871">
            <v>43314</v>
          </cell>
          <cell r="Q2871" t="str">
            <v>AYUDA TEMPORAL A LAS FAMILIAS DE VARIAS LOCALIDADES, PARA RELOCALIZACIÓN DE HOGARES LOCALIZADOS EN ZONAS DE ALTO RIESGO NO MITIGABLE ID:2012-18-14326, LOCALIDAD:18 RAFAEL URIBE URIBE, UPZ:55 DIANA TURBAY</v>
          </cell>
          <cell r="R2871">
            <v>2244132</v>
          </cell>
          <cell r="S2871">
            <v>0</v>
          </cell>
          <cell r="T2871">
            <v>0</v>
          </cell>
          <cell r="U2871">
            <v>2244132</v>
          </cell>
          <cell r="V2871">
            <v>374022</v>
          </cell>
        </row>
        <row r="2872">
          <cell r="J2872">
            <v>2573</v>
          </cell>
          <cell r="K2872">
            <v>43314</v>
          </cell>
          <cell r="L2872" t="str">
            <v>HILDA MARIA ROJAS DE PEÑUELA</v>
          </cell>
          <cell r="M2872">
            <v>31</v>
          </cell>
          <cell r="N2872" t="str">
            <v>RESOLUCION</v>
          </cell>
          <cell r="O2872">
            <v>3033</v>
          </cell>
          <cell r="P2872">
            <v>43314</v>
          </cell>
          <cell r="Q2872" t="str">
            <v>VUR de la actual vigencia. La asignación se realiza para dar cumplimiento al fallo de acción popular 2002-00152- Suba Gavilanes. Dto 255 de 2013. LOCALIDAD: SUBA GAVILANES; BARRIO: SANTA CECILIA; ID: 2018-11-15196</v>
          </cell>
          <cell r="R2872">
            <v>39062100</v>
          </cell>
          <cell r="S2872">
            <v>0</v>
          </cell>
          <cell r="T2872">
            <v>0</v>
          </cell>
          <cell r="U2872">
            <v>39062100</v>
          </cell>
          <cell r="V2872">
            <v>0</v>
          </cell>
        </row>
        <row r="2873">
          <cell r="J2873">
            <v>2574</v>
          </cell>
          <cell r="K2873">
            <v>43314</v>
          </cell>
          <cell r="L2873" t="str">
            <v>ANA BEATRIZ PEÑA TOVAR</v>
          </cell>
          <cell r="M2873">
            <v>31</v>
          </cell>
          <cell r="N2873" t="str">
            <v>RESOLUCION</v>
          </cell>
          <cell r="O2873">
            <v>2985</v>
          </cell>
          <cell r="P2873">
            <v>43314</v>
          </cell>
          <cell r="Q2873" t="str">
            <v>AYUDA TEMPORAL A LAS FAMILIAS DE VARIAS LOCALIDADES, PARA RELOCALIZACIÓN DE HOGARES LOCALIZADOS EN ZONAS DE ALTO RIESGO NO MITIGABLE ID:2014-OTR-00905, LOCALIDAD:03 SANTA FE, UPZ:96 LOURDES, SECTOR:CASA 3</v>
          </cell>
          <cell r="R2873">
            <v>3400600</v>
          </cell>
          <cell r="S2873">
            <v>0</v>
          </cell>
          <cell r="T2873">
            <v>0</v>
          </cell>
          <cell r="U2873">
            <v>3400600</v>
          </cell>
          <cell r="V2873">
            <v>425075</v>
          </cell>
        </row>
        <row r="2874">
          <cell r="J2874">
            <v>2575</v>
          </cell>
          <cell r="K2874">
            <v>43314</v>
          </cell>
          <cell r="L2874" t="str">
            <v>PEDRO PABLO RINCON VELASQUEZ</v>
          </cell>
          <cell r="M2874">
            <v>31</v>
          </cell>
          <cell r="N2874" t="str">
            <v>RESOLUCION</v>
          </cell>
          <cell r="O2874">
            <v>2984</v>
          </cell>
          <cell r="P2874">
            <v>43314</v>
          </cell>
          <cell r="Q2874" t="str">
            <v>AYUDA TEMPORAL A LAS FAMILIAS DE VARIAS LOCALIDADES, PARA RELOCALIZACIÓN DE HOGARES LOCALIZADOS EN ZONAS DE ALTO RIESGO NO MITIGABLE ID:2012-T314-19, LOCALIDAD:04 SAN CRISTÓBAL, UPZ:50 LA GLORIA, SECTOR:</v>
          </cell>
          <cell r="R2874">
            <v>2590566</v>
          </cell>
          <cell r="S2874">
            <v>0</v>
          </cell>
          <cell r="T2874">
            <v>0</v>
          </cell>
          <cell r="U2874">
            <v>2590566</v>
          </cell>
          <cell r="V2874">
            <v>431761</v>
          </cell>
        </row>
        <row r="2875">
          <cell r="J2875">
            <v>2576</v>
          </cell>
          <cell r="K2875">
            <v>43314</v>
          </cell>
          <cell r="L2875" t="str">
            <v>DORIA MARIA FARFAN PEDROZA</v>
          </cell>
          <cell r="M2875">
            <v>31</v>
          </cell>
          <cell r="N2875" t="str">
            <v>RESOLUCION</v>
          </cell>
          <cell r="O2875">
            <v>2983</v>
          </cell>
          <cell r="P2875">
            <v>43314</v>
          </cell>
          <cell r="Q2875" t="str">
            <v>AYUDA TEMPORAL A LAS FAMILIAS DE VARIAS LOCALIDADES, PARA RELOCALIZACIÓN DE HOGARES LOCALIZADOS EN ZONAS DE ALTO RIESGO NO MITIGABLE ID:2010-4-11971, LOCALIDAD:04 SAN CRISTÓBAL, UPZ:34 20 DE JULIO, SECTOR:OLA INVERNAL 2010 FOPAE</v>
          </cell>
          <cell r="R2875">
            <v>2766440</v>
          </cell>
          <cell r="S2875">
            <v>0</v>
          </cell>
          <cell r="T2875">
            <v>0</v>
          </cell>
          <cell r="U2875">
            <v>2766440</v>
          </cell>
          <cell r="V2875">
            <v>553288</v>
          </cell>
        </row>
        <row r="2876">
          <cell r="J2876">
            <v>2577</v>
          </cell>
          <cell r="K2876">
            <v>43314</v>
          </cell>
          <cell r="L2876" t="str">
            <v>OVIDIO  GONZALEZ CHIBUQUE</v>
          </cell>
          <cell r="M2876">
            <v>31</v>
          </cell>
          <cell r="N2876" t="str">
            <v>RESOLUCION</v>
          </cell>
          <cell r="O2876">
            <v>2963</v>
          </cell>
          <cell r="P2876">
            <v>43314</v>
          </cell>
          <cell r="Q2876" t="str">
            <v>AYUDA TEMPORAL A LAS FAMILIAS DE VARIAS LOCALIDADES, PARA RELOCALIZACIÓN DE HOGARES LOCALIZADOS EN ZONAS DE ALTO RIESGO NO MITIGABLE ID:2009-4-11155, LOCALIDAD:04 SAN CRISTÓBAL, UPZ:50 LA GLORIA.</v>
          </cell>
          <cell r="R2876">
            <v>2765598</v>
          </cell>
          <cell r="S2876">
            <v>0</v>
          </cell>
          <cell r="T2876">
            <v>0</v>
          </cell>
          <cell r="U2876">
            <v>2765598</v>
          </cell>
          <cell r="V2876">
            <v>460933</v>
          </cell>
        </row>
        <row r="2877">
          <cell r="J2877">
            <v>2578</v>
          </cell>
          <cell r="K2877">
            <v>43314</v>
          </cell>
          <cell r="L2877" t="str">
            <v>JADIR LEONARDO RODRIGUEZ VELASQUEZ</v>
          </cell>
          <cell r="M2877">
            <v>31</v>
          </cell>
          <cell r="N2877" t="str">
            <v>RESOLUCION</v>
          </cell>
          <cell r="O2877">
            <v>2962</v>
          </cell>
          <cell r="P2877">
            <v>43314</v>
          </cell>
          <cell r="Q2877" t="str">
            <v>AYUDA TEMPORAL A LAS FAMILIAS DE VARIAS LOCALIDADES, PARA RELOCALIZACIÓN DE HOGARES LOCALIZADOS EN ZONAS DE ALTO RIESGO NO MITIGABLE ID:2015-OTR-01377, LOCALIDAD:11 SUBA, UPZ:71 TIBABUYES, SECTOR:GAVILANES</v>
          </cell>
          <cell r="R2877">
            <v>3014166</v>
          </cell>
          <cell r="S2877">
            <v>0</v>
          </cell>
          <cell r="T2877">
            <v>0</v>
          </cell>
          <cell r="U2877">
            <v>3014166</v>
          </cell>
          <cell r="V2877">
            <v>502361</v>
          </cell>
        </row>
        <row r="2878">
          <cell r="J2878">
            <v>2579</v>
          </cell>
          <cell r="K2878">
            <v>43314</v>
          </cell>
          <cell r="L2878" t="str">
            <v>JESUS ELIAS DURANGO</v>
          </cell>
          <cell r="M2878">
            <v>31</v>
          </cell>
          <cell r="N2878" t="str">
            <v>RESOLUCION</v>
          </cell>
          <cell r="O2878">
            <v>2961</v>
          </cell>
          <cell r="P2878">
            <v>43314</v>
          </cell>
          <cell r="Q2878" t="str">
            <v>AYUDA TEMPORAL A LAS FAMILIAS DE VARIAS LOCALIDADES, PARA RELOCALIZACIÓN DE HOGARES LOCALIZADOS EN ZONAS DE ALTO RIESGO NO MITIGABLE ID:2013-4-14650, LOCALIDAD:04 SAN CRISTÓBAL, UPZ:32 SAN BLAS.</v>
          </cell>
          <cell r="R2878">
            <v>4312456</v>
          </cell>
          <cell r="S2878">
            <v>0</v>
          </cell>
          <cell r="T2878">
            <v>0</v>
          </cell>
          <cell r="U2878">
            <v>4312456</v>
          </cell>
          <cell r="V2878">
            <v>539057</v>
          </cell>
        </row>
        <row r="2879">
          <cell r="J2879">
            <v>2580</v>
          </cell>
          <cell r="K2879">
            <v>43314</v>
          </cell>
          <cell r="L2879" t="str">
            <v>MIGUEL ALFREDO DAZA RAMIREZ</v>
          </cell>
          <cell r="M2879">
            <v>31</v>
          </cell>
          <cell r="N2879" t="str">
            <v>RESOLUCION</v>
          </cell>
          <cell r="O2879">
            <v>2960</v>
          </cell>
          <cell r="P2879">
            <v>43314</v>
          </cell>
          <cell r="Q2879" t="str">
            <v>AYUDA TEMPORAL A LAS FAMILIAS DE VARIAS LOCALIDADES, PARA RELOCALIZACIÓN DE HOGARES LOCALIZADOS EN ZONAS DE ALTO RIESGO NO MITIGABLE ID:2016-08-14871, LOCALIDAD:08 KENNEDY, UPZ:82 PATIO BONITO, SECTOR:PALMITAS</v>
          </cell>
          <cell r="R2879">
            <v>2692665</v>
          </cell>
          <cell r="S2879">
            <v>0</v>
          </cell>
          <cell r="T2879">
            <v>0</v>
          </cell>
          <cell r="U2879">
            <v>2692665</v>
          </cell>
          <cell r="V2879">
            <v>0</v>
          </cell>
        </row>
        <row r="2880">
          <cell r="J2880">
            <v>2581</v>
          </cell>
          <cell r="K2880">
            <v>43314</v>
          </cell>
          <cell r="L2880" t="str">
            <v>JOSE ALBEIRO CASTAÑO RIVERA</v>
          </cell>
          <cell r="M2880">
            <v>31</v>
          </cell>
          <cell r="N2880" t="str">
            <v>RESOLUCION</v>
          </cell>
          <cell r="O2880">
            <v>2959</v>
          </cell>
          <cell r="P2880">
            <v>43314</v>
          </cell>
          <cell r="Q2880" t="str">
            <v>AYUDA TEMPORAL A LAS FAMILIAS DE VARIAS LOCALIDADES, PARA RELOCALIZACIÓN DE HOGARES LOCALIZADOS EN ZONAS DE ALTO RIESGO NO MITIGABLE ID:2011-5-13024, LOCALIDAD:05 USME, UPZ:56 DANUBIO,</v>
          </cell>
          <cell r="R2880">
            <v>3663504</v>
          </cell>
          <cell r="S2880">
            <v>0</v>
          </cell>
          <cell r="T2880">
            <v>0</v>
          </cell>
          <cell r="U2880">
            <v>3663504</v>
          </cell>
          <cell r="V2880">
            <v>407056</v>
          </cell>
        </row>
        <row r="2881">
          <cell r="J2881">
            <v>2582</v>
          </cell>
          <cell r="K2881">
            <v>43314</v>
          </cell>
          <cell r="L2881" t="str">
            <v>AIDA LILA MENDIVELSO ALAPE</v>
          </cell>
          <cell r="M2881">
            <v>31</v>
          </cell>
          <cell r="N2881" t="str">
            <v>RESOLUCION</v>
          </cell>
          <cell r="O2881">
            <v>2957</v>
          </cell>
          <cell r="P2881">
            <v>43314</v>
          </cell>
          <cell r="Q2881" t="str">
            <v>AYUDA TEMPORAL A LAS FAMILIAS DE VARIAS LOCALIDADES, PARA RELOCALIZACIÓN DE HOGARES LOCALIZADOS EN ZONAS DE ALTO RIESGO NO MITIGABLE ID:2013-4-14655, LOCALIDAD:04 SAN CRISTÓBAL, UPZ:32 SAN BLAS</v>
          </cell>
          <cell r="R2881">
            <v>5273388</v>
          </cell>
          <cell r="S2881">
            <v>0</v>
          </cell>
          <cell r="T2881">
            <v>0</v>
          </cell>
          <cell r="U2881">
            <v>5273388</v>
          </cell>
          <cell r="V2881">
            <v>585932</v>
          </cell>
        </row>
        <row r="2882">
          <cell r="J2882">
            <v>2583</v>
          </cell>
          <cell r="K2882">
            <v>43314</v>
          </cell>
          <cell r="L2882" t="str">
            <v>LUZ MARINA VARGAS</v>
          </cell>
          <cell r="M2882">
            <v>31</v>
          </cell>
          <cell r="N2882" t="str">
            <v>RESOLUCION</v>
          </cell>
          <cell r="O2882">
            <v>3031</v>
          </cell>
          <cell r="P2882">
            <v>43314</v>
          </cell>
          <cell r="Q2882" t="str">
            <v>Adquisición predial por Dto. 511 de 2010. LOCALIDAD:USAQUEN; BARRIO:EL CODITO;ID: 2006-1-7979</v>
          </cell>
          <cell r="R2882">
            <v>20351100</v>
          </cell>
          <cell r="S2882">
            <v>0</v>
          </cell>
          <cell r="T2882">
            <v>0</v>
          </cell>
          <cell r="U2882">
            <v>20351100</v>
          </cell>
          <cell r="V2882">
            <v>0</v>
          </cell>
        </row>
        <row r="2883">
          <cell r="J2883">
            <v>2584</v>
          </cell>
          <cell r="K2883">
            <v>43314</v>
          </cell>
          <cell r="L2883" t="str">
            <v>LUIS FRANCISCO PULIDO GONZALEZ</v>
          </cell>
          <cell r="M2883">
            <v>31</v>
          </cell>
          <cell r="N2883" t="str">
            <v>RESOLUCION</v>
          </cell>
          <cell r="O2883">
            <v>3034</v>
          </cell>
          <cell r="P2883">
            <v>43314</v>
          </cell>
          <cell r="Q2883" t="str">
            <v>Adquisición predial por Dto. 511 de 2010. LOCALIDAD:CIUDAD BOLIVAR; BARRIO:PARAISO QUIBA; ID: 2013-Q04-00760</v>
          </cell>
          <cell r="R2883">
            <v>38051600</v>
          </cell>
          <cell r="S2883">
            <v>0</v>
          </cell>
          <cell r="T2883">
            <v>0</v>
          </cell>
          <cell r="U2883">
            <v>38051600</v>
          </cell>
          <cell r="V2883">
            <v>0</v>
          </cell>
        </row>
        <row r="2884">
          <cell r="J2884">
            <v>2585</v>
          </cell>
          <cell r="K2884">
            <v>43315</v>
          </cell>
          <cell r="L2884" t="str">
            <v>CARLOS JULIO BUITRAGO GORDILLO</v>
          </cell>
          <cell r="M2884">
            <v>31</v>
          </cell>
          <cell r="N2884" t="str">
            <v>RESOLUCION</v>
          </cell>
          <cell r="O2884">
            <v>2980</v>
          </cell>
          <cell r="P2884">
            <v>43315</v>
          </cell>
          <cell r="Q2884" t="str">
            <v>AYUDA TEMPORAL A LAS FAMILIAS DE VARIAS LOCALIDADES, PARA RELOCALIZACIÓN DE HOGARES LOCALIZADOS EN ZONAS DE ALTO RIESGO NO MITIGABLE ID:2013000509, LOCALIDAD:19 CIUDAD BOLÍVAR, UPZ:67 LUCERO, SECTOR:BRAZO DERECHO DE LIMAS</v>
          </cell>
          <cell r="R2884">
            <v>2437476</v>
          </cell>
          <cell r="S2884">
            <v>0</v>
          </cell>
          <cell r="T2884">
            <v>0</v>
          </cell>
          <cell r="U2884">
            <v>2437476</v>
          </cell>
          <cell r="V2884">
            <v>406246</v>
          </cell>
        </row>
        <row r="2885">
          <cell r="J2885">
            <v>2587</v>
          </cell>
          <cell r="K2885">
            <v>43315</v>
          </cell>
          <cell r="L2885" t="str">
            <v>LAURENCIO  REYES SANHABRIA</v>
          </cell>
          <cell r="M2885">
            <v>31</v>
          </cell>
          <cell r="N2885" t="str">
            <v>RESOLUCION</v>
          </cell>
          <cell r="O2885">
            <v>2982</v>
          </cell>
          <cell r="P2885">
            <v>43315</v>
          </cell>
          <cell r="Q2885" t="str">
            <v>AYUDA TEMPORAL A LAS FAMILIAS DE VARIAS LOCALIDADES, PARA RELOCALIZACIÓN DE HOGARES LOCALIZADOS EN ZONAS DE ALTO RIESGO NO MITIGABLE ID:2015-OTR-01477, LOCALIDAD:19 CIUDAD BOLÍVAR, UPZ:67 LUCERO, SECTOR:TABOR ALTALOMA</v>
          </cell>
          <cell r="R2885">
            <v>2706270</v>
          </cell>
          <cell r="S2885">
            <v>0</v>
          </cell>
          <cell r="T2885">
            <v>0</v>
          </cell>
          <cell r="U2885">
            <v>2706270</v>
          </cell>
          <cell r="V2885">
            <v>451045</v>
          </cell>
        </row>
        <row r="2886">
          <cell r="J2886">
            <v>2594</v>
          </cell>
          <cell r="K2886">
            <v>43315</v>
          </cell>
          <cell r="L2886" t="str">
            <v>CARLOS ALBERTO QUEMBA VARGAS</v>
          </cell>
          <cell r="M2886">
            <v>31</v>
          </cell>
          <cell r="N2886" t="str">
            <v>RESOLUCION</v>
          </cell>
          <cell r="O2886">
            <v>3046</v>
          </cell>
          <cell r="P2886">
            <v>43315</v>
          </cell>
          <cell r="Q2886" t="str">
            <v>AYUDA TEMPORAL A LAS FAMILIAS DE VARIAS LOCALIDADES, PARA RELOCALIZACIÓN DE HOGARES LOCALIZADOS EN ZONAS DE ALTO RIESGO NO MITIGABLE ID:2016-04-14890, LOCALIDAD: 04 SAN CRISTOBAL, UPZ: 32 SAN BLAS, SECTOR: TRIANGULO ALTO</v>
          </cell>
          <cell r="R2886">
            <v>2343726</v>
          </cell>
          <cell r="S2886">
            <v>0</v>
          </cell>
          <cell r="T2886">
            <v>0</v>
          </cell>
          <cell r="U2886">
            <v>2343726</v>
          </cell>
          <cell r="V2886">
            <v>390621</v>
          </cell>
        </row>
        <row r="2887">
          <cell r="J2887">
            <v>2598</v>
          </cell>
          <cell r="K2887">
            <v>43315</v>
          </cell>
          <cell r="L2887" t="str">
            <v>ANA LUCIA GONZALEZ PARRA</v>
          </cell>
          <cell r="M2887">
            <v>31</v>
          </cell>
          <cell r="N2887" t="str">
            <v>RESOLUCION</v>
          </cell>
          <cell r="O2887">
            <v>3035</v>
          </cell>
          <cell r="P2887">
            <v>43315</v>
          </cell>
          <cell r="Q2887" t="str">
            <v>VUR de la actual vigencia. La asignación se realiza para dar cumplimiento al fallo de acción popular 2002-00152- Suba Gavilanes. Dto 255 de 2013. LOCALIDAD: SUBA GAVILANES; BARRIO: BILVAO; ID: 2018-11-15258</v>
          </cell>
          <cell r="R2887">
            <v>39062100</v>
          </cell>
          <cell r="S2887">
            <v>0</v>
          </cell>
          <cell r="T2887">
            <v>0</v>
          </cell>
          <cell r="U2887">
            <v>39062100</v>
          </cell>
          <cell r="V2887">
            <v>0</v>
          </cell>
        </row>
        <row r="2888">
          <cell r="J2888">
            <v>2599</v>
          </cell>
          <cell r="K2888">
            <v>43315</v>
          </cell>
          <cell r="L2888" t="str">
            <v>MARIA ORFA ARISTIZABAL DE MONTES</v>
          </cell>
          <cell r="M2888">
            <v>31</v>
          </cell>
          <cell r="N2888" t="str">
            <v>RESOLUCION</v>
          </cell>
          <cell r="O2888">
            <v>3016</v>
          </cell>
          <cell r="P2888">
            <v>43315</v>
          </cell>
          <cell r="Q2888" t="str">
            <v>AYUDA TEMPORAL A LAS FAMILIAS DE VARIAS LOCALIDADES, PARA RELOCALIZACIÓN DE HOGARES LOCALIZADOS EN ZONAS DE ALTO RIESGO NO MITIGABLE ID:2012-19-14248, LOCALIDAD:19 CIUDAD BOLÍVAR, UPZ:67 LUCERO</v>
          </cell>
          <cell r="R2888">
            <v>3718096</v>
          </cell>
          <cell r="S2888">
            <v>0</v>
          </cell>
          <cell r="T2888">
            <v>0</v>
          </cell>
          <cell r="U2888">
            <v>3718096</v>
          </cell>
          <cell r="V2888">
            <v>464762</v>
          </cell>
        </row>
        <row r="2889">
          <cell r="J2889">
            <v>2601</v>
          </cell>
          <cell r="K2889">
            <v>43315</v>
          </cell>
          <cell r="L2889" t="str">
            <v>EDNA LICED CAPERA SERRANO</v>
          </cell>
          <cell r="M2889">
            <v>31</v>
          </cell>
          <cell r="N2889" t="str">
            <v>RESOLUCION</v>
          </cell>
          <cell r="O2889">
            <v>2976</v>
          </cell>
          <cell r="P2889">
            <v>43315</v>
          </cell>
          <cell r="Q2889" t="str">
            <v>AYUDA TEMPORAL A LAS FAMILIAS DE VARIAS LOCALIDADES, PARA RELOCALIZACIÓN DE HOGARES LOCALIZADOS EN ZONAS DE ALTO RIESGO NO MITIGABLE ID:2016-08-14900, LOCALIDAD:08 KENNEDY, UPZ:82 PATIO BONITO, SECTOR:PALMITAS</v>
          </cell>
          <cell r="R2889">
            <v>4131216</v>
          </cell>
          <cell r="S2889">
            <v>0</v>
          </cell>
          <cell r="T2889">
            <v>0</v>
          </cell>
          <cell r="U2889">
            <v>4131216</v>
          </cell>
          <cell r="V2889">
            <v>516402</v>
          </cell>
        </row>
        <row r="2890">
          <cell r="J2890">
            <v>2602</v>
          </cell>
          <cell r="K2890">
            <v>43315</v>
          </cell>
          <cell r="L2890" t="str">
            <v>JORGE ELIECER SILVA ORTEGA</v>
          </cell>
          <cell r="M2890">
            <v>31</v>
          </cell>
          <cell r="N2890" t="str">
            <v>RESOLUCION</v>
          </cell>
          <cell r="O2890">
            <v>2975</v>
          </cell>
          <cell r="P2890">
            <v>43315</v>
          </cell>
          <cell r="Q2890" t="str">
            <v>AYUDA TEMPORAL A LAS FAMILIAS DE VARIAS LOCALIDADES, PARA RELOCALIZACIÓN DE HOGARES LOCALIZADOS EN ZONAS DE ALTO RIESGO NO MITIGABLE ID:2011-19-13478, LOCALIDAD:19 CIUDAD BOLÍVAR, UPZ:68 EL TESORO</v>
          </cell>
          <cell r="R2890">
            <v>2031230</v>
          </cell>
          <cell r="S2890">
            <v>0</v>
          </cell>
          <cell r="T2890">
            <v>0</v>
          </cell>
          <cell r="U2890">
            <v>2031230</v>
          </cell>
          <cell r="V2890">
            <v>0</v>
          </cell>
        </row>
        <row r="2891">
          <cell r="J2891">
            <v>2603</v>
          </cell>
          <cell r="K2891">
            <v>43315</v>
          </cell>
          <cell r="L2891" t="str">
            <v>LUIS ALFREDO MARTINEZ</v>
          </cell>
          <cell r="M2891">
            <v>31</v>
          </cell>
          <cell r="N2891" t="str">
            <v>RESOLUCION</v>
          </cell>
          <cell r="O2891">
            <v>2974</v>
          </cell>
          <cell r="P2891">
            <v>43315</v>
          </cell>
          <cell r="Q2891" t="str">
            <v>AYUDA TEMPORAL A LAS FAMILIAS DE VARIAS LOCALIDADES, PARA RELOCALIZACIÓN DE HOGARES LOCALIZADOS EN ZONAS DE ALTO RIESGO NO MITIGABLE ID:2013000314, LOCALIDAD:19 CIUDAD BOLÍVAR, UPZ:67 LUCERO, SECTOR:PEÑA COLORADA</v>
          </cell>
          <cell r="R2891">
            <v>2859348</v>
          </cell>
          <cell r="S2891">
            <v>0</v>
          </cell>
          <cell r="T2891">
            <v>0</v>
          </cell>
          <cell r="U2891">
            <v>2859348</v>
          </cell>
          <cell r="V2891">
            <v>476558</v>
          </cell>
        </row>
        <row r="2892">
          <cell r="J2892">
            <v>2604</v>
          </cell>
          <cell r="K2892">
            <v>43315</v>
          </cell>
          <cell r="L2892" t="str">
            <v>CINDY PAOLA MARTINEZ ECHEVERRY</v>
          </cell>
          <cell r="M2892">
            <v>31</v>
          </cell>
          <cell r="N2892" t="str">
            <v>RESOLUCION</v>
          </cell>
          <cell r="O2892">
            <v>2973</v>
          </cell>
          <cell r="P2892">
            <v>43315</v>
          </cell>
          <cell r="Q2892" t="str">
            <v>AYUDA TEMPORAL A LAS FAMILIAS DE VARIAS LOCALIDADES, PARA RELOCALIZACIÓN DE HOGARES LOCALIZADOS EN ZONAS DE ALTO RIESGO NO MITIGABLE ID:2016-08-14805, LOCALIDAD:08 KENNEDY, UPZ:82 PATIO BONITO, SECTOR:PALMITAS</v>
          </cell>
          <cell r="R2892">
            <v>1829540</v>
          </cell>
          <cell r="S2892">
            <v>0</v>
          </cell>
          <cell r="T2892">
            <v>0</v>
          </cell>
          <cell r="U2892">
            <v>1829540</v>
          </cell>
          <cell r="V2892">
            <v>457385</v>
          </cell>
        </row>
        <row r="2893">
          <cell r="J2893">
            <v>2605</v>
          </cell>
          <cell r="K2893">
            <v>43315</v>
          </cell>
          <cell r="L2893" t="str">
            <v>HECTOR JULIO TOVAR AREVALO</v>
          </cell>
          <cell r="M2893">
            <v>31</v>
          </cell>
          <cell r="N2893" t="str">
            <v>RESOLUCION</v>
          </cell>
          <cell r="O2893">
            <v>2972</v>
          </cell>
          <cell r="P2893">
            <v>43315</v>
          </cell>
          <cell r="Q2893" t="str">
            <v>AYUDA TEMPORAL A LAS FAMILIAS DE VARIAS LOCALIDADES, PARA RELOCALIZACIÓN DE HOGARES LOCALIZADOS EN ZONAS DE ALTO RIESGO NO MITIGABLE ID:2015-Q03-01449, LOCALIDAD:19 CIUDAD BOLÍVAR, UPZ:66 SAN FRANCISCO, SECTOR:LIMAS</v>
          </cell>
          <cell r="R2893">
            <v>2706270</v>
          </cell>
          <cell r="S2893">
            <v>0</v>
          </cell>
          <cell r="T2893">
            <v>0</v>
          </cell>
          <cell r="U2893">
            <v>2706270</v>
          </cell>
          <cell r="V2893">
            <v>451045</v>
          </cell>
        </row>
        <row r="2894">
          <cell r="J2894">
            <v>2606</v>
          </cell>
          <cell r="K2894">
            <v>43315</v>
          </cell>
          <cell r="L2894" t="str">
            <v>ALBENIS  CARRILLO</v>
          </cell>
          <cell r="M2894">
            <v>31</v>
          </cell>
          <cell r="N2894" t="str">
            <v>RESOLUCION</v>
          </cell>
          <cell r="O2894">
            <v>2971</v>
          </cell>
          <cell r="P2894">
            <v>43315</v>
          </cell>
          <cell r="Q2894" t="str">
            <v>AYUDA TEMPORAL A LAS FAMILIAS DE VARIAS LOCALIDADES, PARA RELOCALIZACIÓN DE HOGARES LOCALIZADOS EN ZONAS DE ALTO RIESGO NO MITIGABLE ID:2011-4-12661, LOCALIDAD:04 SAN CRISTÓBAL, UPZ:32 SAN BLAS</v>
          </cell>
          <cell r="R2894">
            <v>2343726</v>
          </cell>
          <cell r="S2894">
            <v>0</v>
          </cell>
          <cell r="T2894">
            <v>0</v>
          </cell>
          <cell r="U2894">
            <v>2343726</v>
          </cell>
          <cell r="V2894">
            <v>390621</v>
          </cell>
        </row>
        <row r="2895">
          <cell r="J2895">
            <v>2607</v>
          </cell>
          <cell r="K2895">
            <v>43315</v>
          </cell>
          <cell r="L2895" t="str">
            <v>JHON EDUARDO CABALLERO URRIAGO</v>
          </cell>
          <cell r="M2895">
            <v>31</v>
          </cell>
          <cell r="N2895" t="str">
            <v>RESOLUCION</v>
          </cell>
          <cell r="O2895">
            <v>3045</v>
          </cell>
          <cell r="P2895">
            <v>43315</v>
          </cell>
          <cell r="Q2895" t="str">
            <v>AYUDA TEMPORAL A LAS FAMILIAS DE VARIAS LOCALIDADES, PARA RELOCALIZACIÓN DE HOGARES LOCALIZADOS EN ZONAS DE ALTO RIESGO NO MITIGABLE ID:2014-Q03-01081, LOCALIDAD:19 CIUDAD BOLÍVAR, UPZ:66 SAN FRANCISCO, SECTOR:LIMAS</v>
          </cell>
          <cell r="R2895">
            <v>2343726</v>
          </cell>
          <cell r="S2895">
            <v>0</v>
          </cell>
          <cell r="T2895">
            <v>0</v>
          </cell>
          <cell r="U2895">
            <v>2343726</v>
          </cell>
          <cell r="V2895">
            <v>390621</v>
          </cell>
        </row>
        <row r="2896">
          <cell r="J2896">
            <v>2608</v>
          </cell>
          <cell r="K2896">
            <v>43320</v>
          </cell>
          <cell r="L2896" t="str">
            <v>LEONARDO  VARELA</v>
          </cell>
          <cell r="M2896">
            <v>31</v>
          </cell>
          <cell r="N2896" t="str">
            <v>RESOLUCION</v>
          </cell>
          <cell r="O2896">
            <v>3032</v>
          </cell>
          <cell r="P2896">
            <v>43320</v>
          </cell>
          <cell r="Q2896" t="str">
            <v>VUR de la actual vigencia. La asignación se realiza para dar cumplimiento al fallo de acción popular 2002-00152- Suba Gavilanes. Dto 255 de 2013. LOCALIDAD: SUBA GAVILANES; BARRIO: SANTA CECILIA; ID: 2018-11-15173</v>
          </cell>
          <cell r="R2896">
            <v>39062100</v>
          </cell>
          <cell r="S2896">
            <v>0</v>
          </cell>
          <cell r="T2896">
            <v>0</v>
          </cell>
          <cell r="U2896">
            <v>39062100</v>
          </cell>
          <cell r="V2896">
            <v>0</v>
          </cell>
        </row>
        <row r="2897">
          <cell r="J2897">
            <v>2609</v>
          </cell>
          <cell r="K2897">
            <v>43320</v>
          </cell>
          <cell r="L2897" t="str">
            <v>LUZ ANDREA CASERES PEÑALOZA</v>
          </cell>
          <cell r="M2897">
            <v>31</v>
          </cell>
          <cell r="N2897" t="str">
            <v>RESOLUCION</v>
          </cell>
          <cell r="O2897">
            <v>3017</v>
          </cell>
          <cell r="P2897">
            <v>43315</v>
          </cell>
          <cell r="Q2897" t="str">
            <v>AYUDA TEMPORAL A LAS FAMILIAS DE VARIAS LOCALIDADES, PARA RELOCALIZACIÓN DE HOGARES LOCALIZADOS EN ZONAS DE ALTO RIESGO NO MITIGABLE ID:2016-08-14899, LOCALIDAD:08 KENNEDY, UPZ:82 PATIO BONITO, SECTOR:PALMITAS</v>
          </cell>
          <cell r="R2897">
            <v>3614814</v>
          </cell>
          <cell r="S2897">
            <v>0</v>
          </cell>
          <cell r="T2897">
            <v>0</v>
          </cell>
          <cell r="U2897">
            <v>3614814</v>
          </cell>
          <cell r="V2897">
            <v>0</v>
          </cell>
        </row>
        <row r="2898">
          <cell r="J2898">
            <v>2610</v>
          </cell>
          <cell r="K2898">
            <v>43320</v>
          </cell>
          <cell r="L2898" t="str">
            <v>LUIS ALFREDO RODRIGUEZ GAVILAN</v>
          </cell>
          <cell r="M2898">
            <v>31</v>
          </cell>
          <cell r="N2898" t="str">
            <v>RESOLUCION</v>
          </cell>
          <cell r="O2898">
            <v>3018</v>
          </cell>
          <cell r="P2898">
            <v>43320</v>
          </cell>
          <cell r="Q2898" t="str">
            <v>AYUDA TEMPORAL A LAS FAMILIAS DE VARIAS LOCALIDADES, PARA RELOCALIZACIÓN DE HOGARES LOCALIZADOS EN ZONAS DE ALTO RIESGO NO MITIGABLE ID:2015-OTR-01446, LOCALIDAD:02 CHAPINERO, UPZ:90 PARDO RUBIO</v>
          </cell>
          <cell r="R2898">
            <v>3017000</v>
          </cell>
          <cell r="S2898">
            <v>0</v>
          </cell>
          <cell r="T2898">
            <v>0</v>
          </cell>
          <cell r="U2898">
            <v>3017000</v>
          </cell>
          <cell r="V2898">
            <v>862000</v>
          </cell>
        </row>
        <row r="2899">
          <cell r="J2899">
            <v>2620</v>
          </cell>
          <cell r="K2899">
            <v>43325</v>
          </cell>
          <cell r="L2899" t="str">
            <v>ANGELA JACKELINE ACOSTA RAMIREZ</v>
          </cell>
          <cell r="M2899">
            <v>31</v>
          </cell>
          <cell r="N2899" t="str">
            <v>RESOLUCION</v>
          </cell>
          <cell r="O2899">
            <v>3074</v>
          </cell>
          <cell r="P2899">
            <v>43325</v>
          </cell>
          <cell r="Q2899" t="str">
            <v>AYUDA TEMPORAL A LAS FAMILIAS DE VARIAS LOCALIDADES, PARA RELOCALIZACIÓN DE HOGARES LOCALIZADOS EN ZONAS DE ALTO RIESGO NO MITIGABLE ID:2013-Q09-00118, LOCALIDAD:04 SAN CRISTÓBAL, UPZ:51 LOS LIBERTADORES, SECTOR:QUEBRADA VEREJONES</v>
          </cell>
          <cell r="R2899">
            <v>4136000</v>
          </cell>
          <cell r="S2899">
            <v>0</v>
          </cell>
          <cell r="T2899">
            <v>0</v>
          </cell>
          <cell r="U2899">
            <v>4136000</v>
          </cell>
          <cell r="V2899">
            <v>517000</v>
          </cell>
        </row>
        <row r="2900">
          <cell r="J2900">
            <v>2621</v>
          </cell>
          <cell r="K2900">
            <v>43325</v>
          </cell>
          <cell r="L2900" t="str">
            <v>TEODOLINDA  SANCHEZ DE GUZMAN</v>
          </cell>
          <cell r="M2900">
            <v>31</v>
          </cell>
          <cell r="N2900" t="str">
            <v>RESOLUCION</v>
          </cell>
          <cell r="O2900">
            <v>3076</v>
          </cell>
          <cell r="P2900">
            <v>43325</v>
          </cell>
          <cell r="Q2900" t="str">
            <v>AYUDA TEMPORAL A LAS FAMILIAS DE VARIAS LOCALIDADES, PARA LA RELOCALIZACIÓN DE HOGARES LOCALIZADOS EN ZONAS DE ALTO RIESGO NO MITIGABLE ID:2011-18-12393, LOCALIDAD:18 RAFAEL URIBE URIBE, UPZ:55 DIANA TURBAY, SECTOR:OLA INVERNAL 2010 FOPAE</v>
          </cell>
          <cell r="R2900">
            <v>3247223</v>
          </cell>
          <cell r="S2900">
            <v>0</v>
          </cell>
          <cell r="T2900">
            <v>0</v>
          </cell>
          <cell r="U2900">
            <v>3247223</v>
          </cell>
          <cell r="V2900">
            <v>463889</v>
          </cell>
        </row>
        <row r="2901">
          <cell r="J2901">
            <v>2622</v>
          </cell>
          <cell r="K2901">
            <v>43325</v>
          </cell>
          <cell r="L2901" t="str">
            <v>EVARISTO  HEREDIA CAMACHO</v>
          </cell>
          <cell r="M2901">
            <v>31</v>
          </cell>
          <cell r="N2901" t="str">
            <v>RESOLUCION</v>
          </cell>
          <cell r="O2901">
            <v>3077</v>
          </cell>
          <cell r="P2901">
            <v>43325</v>
          </cell>
          <cell r="Q2901" t="str">
            <v>AYUDA TEMPORAL A LAS FAMILIAS DE VARIAS LOCALIDADES, PARA RELOCALIZACIÓN DE HOGARES LOCALIZADOS EN ZONAS DE ALTO RIESGO NO MITIGABLE ID:2010-18-12318, LOCALIDAD:18 RAFAEL URIBE URIBE, UPZ:55 DIANA TURBAY, SECTOR:OLA INVERNAL 2010 FOPAE</v>
          </cell>
          <cell r="R2901">
            <v>3729152</v>
          </cell>
          <cell r="S2901">
            <v>0</v>
          </cell>
          <cell r="T2901">
            <v>0</v>
          </cell>
          <cell r="U2901">
            <v>3729152</v>
          </cell>
          <cell r="V2901">
            <v>932288</v>
          </cell>
        </row>
        <row r="2902">
          <cell r="J2902">
            <v>2623</v>
          </cell>
          <cell r="K2902">
            <v>43325</v>
          </cell>
          <cell r="L2902" t="str">
            <v>RICARDO  CASTAÑEDA CARDENAS</v>
          </cell>
          <cell r="M2902">
            <v>31</v>
          </cell>
          <cell r="N2902" t="str">
            <v>RESOLUCION</v>
          </cell>
          <cell r="O2902">
            <v>3078</v>
          </cell>
          <cell r="P2902">
            <v>43325</v>
          </cell>
          <cell r="Q2902" t="str">
            <v>AYUDA TEMPORAL A LAS FAMILIAS DE VARIAS LOCALIDADES, PARA RELOCALIZACIÓN DE HOGARES LOCALIZADOS EN ZONAS DE ALTO RIESGO NO MITIGABLE ID:2012-3-14494, LOCALIDAD:03 SANTA FE, UPZ:96 LOURDES</v>
          </cell>
          <cell r="R2902">
            <v>4426304</v>
          </cell>
          <cell r="S2902">
            <v>0</v>
          </cell>
          <cell r="T2902">
            <v>0</v>
          </cell>
          <cell r="U2902">
            <v>4426304</v>
          </cell>
          <cell r="V2902">
            <v>553288</v>
          </cell>
        </row>
        <row r="2903">
          <cell r="J2903">
            <v>2627</v>
          </cell>
          <cell r="K2903">
            <v>43325</v>
          </cell>
          <cell r="L2903" t="str">
            <v>JOSE ENRIQUE ESPEJO AGUILAR</v>
          </cell>
          <cell r="M2903">
            <v>31</v>
          </cell>
          <cell r="N2903" t="str">
            <v>RESOLUCION</v>
          </cell>
          <cell r="O2903">
            <v>3089</v>
          </cell>
          <cell r="P2903">
            <v>43325</v>
          </cell>
          <cell r="Q2903" t="str">
            <v>AYUDA TEMPORAL A LAS FAMILIAS DE VARIAS LOCALIDADES, PARA RELOCALIZACIÓN DE HOGARES LOCALIZADOS EN ZONAS DE ALTO RIESGO NO MITIGABLE ID:2003-19-5366, LOCALIDAD:19 CIUDAD BOLÍVAR, UPZ:69 ISMAEL PERDOMO, SECTOR:ALTOS DE LA ESTANCIA</v>
          </cell>
          <cell r="R2903">
            <v>2343726</v>
          </cell>
          <cell r="S2903">
            <v>0</v>
          </cell>
          <cell r="T2903">
            <v>0</v>
          </cell>
          <cell r="U2903">
            <v>2343726</v>
          </cell>
          <cell r="V2903">
            <v>390621</v>
          </cell>
        </row>
        <row r="2904">
          <cell r="J2904">
            <v>2628</v>
          </cell>
          <cell r="K2904">
            <v>43325</v>
          </cell>
          <cell r="L2904" t="str">
            <v>JOSEFINA  ROZO MONTES</v>
          </cell>
          <cell r="M2904">
            <v>31</v>
          </cell>
          <cell r="N2904" t="str">
            <v>RESOLUCION</v>
          </cell>
          <cell r="O2904">
            <v>3090</v>
          </cell>
          <cell r="P2904">
            <v>43325</v>
          </cell>
          <cell r="Q2904" t="str">
            <v>AYUDA TEMPORAL A LAS FAMILIAS DE VARIAS LOCALIDADES, PARA RELOCALIZACIÓN DE HOGARES LOCALIZADOS EN ZONAS DE ALTO RIESGO NO MITIGABLE ID:2015-Q03-03660, LOCALIDAD:19 CIUDAD BOLÍVAR, UPZ:67 LUCERO, SECTOR:LIMAS</v>
          </cell>
          <cell r="R2904">
            <v>3098410</v>
          </cell>
          <cell r="S2904">
            <v>0</v>
          </cell>
          <cell r="T2904">
            <v>0</v>
          </cell>
          <cell r="U2904">
            <v>3098410</v>
          </cell>
          <cell r="V2904">
            <v>442630</v>
          </cell>
        </row>
        <row r="2905">
          <cell r="J2905">
            <v>2629</v>
          </cell>
          <cell r="K2905">
            <v>43325</v>
          </cell>
          <cell r="L2905" t="str">
            <v>NURY YOLIMA ORJUELA PACHECO</v>
          </cell>
          <cell r="M2905">
            <v>31</v>
          </cell>
          <cell r="N2905" t="str">
            <v>RESOLUCION</v>
          </cell>
          <cell r="O2905">
            <v>3115</v>
          </cell>
          <cell r="P2905">
            <v>43325</v>
          </cell>
          <cell r="Q2905" t="str">
            <v>AYUDA TEMPORAL A LAS FAMILIAS DE VARIAS LOCALIDADES, PARA RELOCALIZACIÓN DE HOGARES LOCALIZADOS EN ZONAS DE ALTO RIESGO NO MITIGABLE ID:2016-08-14915, LOCALIDAD:08 KENNEDY, UPZ:82 PATIO BONITO, SECTOR:PALMITAS</v>
          </cell>
          <cell r="R2905">
            <v>3319728</v>
          </cell>
          <cell r="S2905">
            <v>0</v>
          </cell>
          <cell r="T2905">
            <v>0</v>
          </cell>
          <cell r="U2905">
            <v>3319728</v>
          </cell>
          <cell r="V2905">
            <v>553288</v>
          </cell>
        </row>
        <row r="2906">
          <cell r="J2906">
            <v>2630</v>
          </cell>
          <cell r="K2906">
            <v>43326</v>
          </cell>
          <cell r="L2906" t="str">
            <v>BERENICE  BALLESTEROS CARRION</v>
          </cell>
          <cell r="M2906">
            <v>31</v>
          </cell>
          <cell r="N2906" t="str">
            <v>RESOLUCION</v>
          </cell>
          <cell r="O2906">
            <v>3091</v>
          </cell>
          <cell r="P2906">
            <v>43326</v>
          </cell>
          <cell r="Q2906" t="str">
            <v>AYUDA TEMPORAL A LAS FAMILIAS DE VARIAS LOCALIDADES, PARA RELOCALIZACIÓN DE HOGARES LOCALIZADOS EN ZONAS DE ALTO RIESGO NO MITIGABLE ID:2014-Q03-01019, LOCALIDAD:19 CIUDAD BOLÍVAR, UPZ:66 SAN FRANCISCO, SECTOR:LIMAS</v>
          </cell>
          <cell r="R2906">
            <v>2437476</v>
          </cell>
          <cell r="S2906">
            <v>0</v>
          </cell>
          <cell r="T2906">
            <v>0</v>
          </cell>
          <cell r="U2906">
            <v>2437476</v>
          </cell>
          <cell r="V2906">
            <v>406246</v>
          </cell>
        </row>
        <row r="2907">
          <cell r="J2907">
            <v>2631</v>
          </cell>
          <cell r="K2907">
            <v>43326</v>
          </cell>
          <cell r="L2907" t="str">
            <v>JOHANA KARIN DURAN CLAVIJO</v>
          </cell>
          <cell r="M2907">
            <v>31</v>
          </cell>
          <cell r="N2907" t="str">
            <v>RESOLUCION</v>
          </cell>
          <cell r="O2907">
            <v>2981</v>
          </cell>
          <cell r="P2907">
            <v>43326</v>
          </cell>
          <cell r="Q2907" t="str">
            <v>AYUDA TEMPORAL A LAS FAMILIAS DE VARIAS LOCALIDADES, PARA RELOCALIZACIÓN DE HOGARES LOCALIZADOS EN ZONAS DE ALTO RIESGO NO MITIGABLE ID:2015-Q01-04312, LOCALIDAD:05 USME, UPZ:56 DANUBIO, SECTOR:HOYA DEL RAMO</v>
          </cell>
          <cell r="R2907">
            <v>2906220</v>
          </cell>
          <cell r="S2907">
            <v>0</v>
          </cell>
          <cell r="T2907">
            <v>0</v>
          </cell>
          <cell r="U2907">
            <v>2906220</v>
          </cell>
          <cell r="V2907">
            <v>484370</v>
          </cell>
        </row>
        <row r="2908">
          <cell r="J2908">
            <v>2632</v>
          </cell>
          <cell r="K2908">
            <v>43326</v>
          </cell>
          <cell r="L2908" t="str">
            <v>AURA ROSA BUITRAGO VARGAS</v>
          </cell>
          <cell r="M2908">
            <v>31</v>
          </cell>
          <cell r="N2908" t="str">
            <v>RESOLUCION</v>
          </cell>
          <cell r="O2908">
            <v>2979</v>
          </cell>
          <cell r="P2908">
            <v>43326</v>
          </cell>
          <cell r="Q2908" t="str">
            <v>AYUDA TEMPORAL A LAS FAMILIAS DE VARIAS LOCALIDADES, PARA RELOCALIZACIÓN DE HOGARES LOCALIZADOS EN ZONAS DE ALTO RIESGO NO MITIGABLE ID:2018-Q18-15501, LOCALIDAD:19 CIUDAD BOLÍVAR, UPZ: 70 JERUSALÉN, SECTOR:ZANJÓN MURALLA</v>
          </cell>
          <cell r="R2908">
            <v>3421842</v>
          </cell>
          <cell r="S2908">
            <v>0</v>
          </cell>
          <cell r="T2908">
            <v>0</v>
          </cell>
          <cell r="U2908">
            <v>3421842</v>
          </cell>
          <cell r="V2908">
            <v>570307</v>
          </cell>
        </row>
        <row r="2909">
          <cell r="J2909">
            <v>2633</v>
          </cell>
          <cell r="K2909">
            <v>43326</v>
          </cell>
          <cell r="L2909" t="str">
            <v>LUIS ALFONSO BOLAÑOS SAAVEDRA</v>
          </cell>
          <cell r="M2909">
            <v>31</v>
          </cell>
          <cell r="N2909" t="str">
            <v>RESOLUCION</v>
          </cell>
          <cell r="O2909">
            <v>2977</v>
          </cell>
          <cell r="P2909">
            <v>43326</v>
          </cell>
          <cell r="Q2909" t="str">
            <v>AYUDA TEMPORAL A LAS FAMILIAS DE VARIAS LOCALIDADES, PARA RELOCALIZACIÓN DE HOGARES LOCALIZADOS EN ZONAS DE ALTO RIESGO NO MITIGABLE ID:2016-Q04-14917, LOCALIDAD:19 CIUDAD BOLÍVAR, UPZ:67 LUCERO, SECTOR:PEÑA COLORADA</v>
          </cell>
          <cell r="R2909">
            <v>4874952</v>
          </cell>
          <cell r="S2909">
            <v>0</v>
          </cell>
          <cell r="T2909">
            <v>0</v>
          </cell>
          <cell r="U2909">
            <v>4874952</v>
          </cell>
          <cell r="V2909">
            <v>609369</v>
          </cell>
        </row>
        <row r="2910">
          <cell r="J2910">
            <v>2634</v>
          </cell>
          <cell r="K2910">
            <v>43326</v>
          </cell>
          <cell r="L2910" t="str">
            <v>MARIA DANIELA MORTIGO BOCANEGRA</v>
          </cell>
          <cell r="M2910">
            <v>31</v>
          </cell>
          <cell r="N2910" t="str">
            <v>RESOLUCION</v>
          </cell>
          <cell r="O2910">
            <v>3079</v>
          </cell>
          <cell r="P2910">
            <v>43326</v>
          </cell>
          <cell r="Q2910" t="str">
            <v>AYUDA TEMPORAL A LAS FAMILIAS DE VARIAS LOCALIDADES, PARA RELOCALIZACIÓN DE HOGARES LOCALIZADOS EN ZONAS DE ALTO RIESGO NO MITIGABLE ID:2011-18-13337, LOCALIDAD:18 RAFAEL URIBE URIBE, UPZ:54 MARRUECOS</v>
          </cell>
          <cell r="R2910">
            <v>3659080</v>
          </cell>
          <cell r="S2910">
            <v>0</v>
          </cell>
          <cell r="T2910">
            <v>0</v>
          </cell>
          <cell r="U2910">
            <v>3659080</v>
          </cell>
          <cell r="V2910">
            <v>457385</v>
          </cell>
        </row>
        <row r="2911">
          <cell r="J2911">
            <v>2635</v>
          </cell>
          <cell r="K2911">
            <v>43326</v>
          </cell>
          <cell r="L2911" t="str">
            <v>ROSA ELVIRA PAEZ CAMARGO</v>
          </cell>
          <cell r="M2911">
            <v>31</v>
          </cell>
          <cell r="N2911" t="str">
            <v>RESOLUCION</v>
          </cell>
          <cell r="O2911">
            <v>3080</v>
          </cell>
          <cell r="P2911">
            <v>43326</v>
          </cell>
          <cell r="Q2911" t="str">
            <v>AYUDA TEMPORAL A LAS FAMILIAS DE VARIAS LOCALIDADES, PARA RELOCALIZACIÓN DE HOGARES LOCALIZADOS EN ZONAS DE ALTO RIESGO NO MITIGABLE ID:2015-D227-00042, LOCALIDAD:04 SAN CRISTÓBAL, UPZ:51 LOS LIBERTADORES, SECTOR:SANTA TERESITA</v>
          </cell>
          <cell r="R2911">
            <v>4027933</v>
          </cell>
          <cell r="S2911">
            <v>0</v>
          </cell>
          <cell r="T2911">
            <v>0</v>
          </cell>
          <cell r="U2911">
            <v>4027933</v>
          </cell>
          <cell r="V2911">
            <v>0</v>
          </cell>
        </row>
        <row r="2912">
          <cell r="J2912">
            <v>2636</v>
          </cell>
          <cell r="K2912">
            <v>43326</v>
          </cell>
          <cell r="L2912" t="str">
            <v>MARTHA LUCIA CAMPUZANO ARANGO</v>
          </cell>
          <cell r="M2912">
            <v>31</v>
          </cell>
          <cell r="N2912" t="str">
            <v>RESOLUCION</v>
          </cell>
          <cell r="O2912">
            <v>3081</v>
          </cell>
          <cell r="P2912">
            <v>43326</v>
          </cell>
          <cell r="Q2912" t="str">
            <v>AYUDA TEMPORAL A LAS FAMILIAS DE VARIAS LOCALIDADES, PARA RELOCALIZACIÓN DE HOGARES LOCALIZADOS EN ZONAS DE ALTO RIESGO NO MITIGABLE ID:2013000527, LOCALIDAD:19 CIUDAD BOLÍVAR, UPZ:67 LUCERO, SECTOR:BRAZO DERECHO DE LIMAS</v>
          </cell>
          <cell r="R2912">
            <v>3124968</v>
          </cell>
          <cell r="S2912">
            <v>0</v>
          </cell>
          <cell r="T2912">
            <v>0</v>
          </cell>
          <cell r="U2912">
            <v>3124968</v>
          </cell>
          <cell r="V2912">
            <v>390621</v>
          </cell>
        </row>
        <row r="2913">
          <cell r="J2913">
            <v>2637</v>
          </cell>
          <cell r="K2913">
            <v>43326</v>
          </cell>
          <cell r="L2913" t="str">
            <v>DAGOBERTO  CABRERA GASCA</v>
          </cell>
          <cell r="M2913">
            <v>31</v>
          </cell>
          <cell r="N2913" t="str">
            <v>RESOLUCION</v>
          </cell>
          <cell r="O2913">
            <v>3082</v>
          </cell>
          <cell r="P2913">
            <v>43326</v>
          </cell>
          <cell r="Q2913" t="str">
            <v>AYUDA TEMPORAL A LAS FAMILIAS DE VARIAS LOCALIDADES, PARA RELOCALIZACIÓN DE HOGARES LOCALIZADOS EN ZONAS DE ALTO RIESGO NO MITIGABLE ID:2013000454, LOCALIDAD:19 CIUDAD BOLÍVAR, UPZ:67 LUCERO, SECTOR:PEÑA COLORADA</v>
          </cell>
          <cell r="R2913">
            <v>2109355</v>
          </cell>
          <cell r="S2913">
            <v>0</v>
          </cell>
          <cell r="T2913">
            <v>0</v>
          </cell>
          <cell r="U2913">
            <v>2109355</v>
          </cell>
          <cell r="V2913">
            <v>421871</v>
          </cell>
        </row>
        <row r="2914">
          <cell r="J2914">
            <v>2639</v>
          </cell>
          <cell r="K2914">
            <v>43326</v>
          </cell>
          <cell r="L2914" t="str">
            <v>HERNAN  PULIDO GALINDO</v>
          </cell>
          <cell r="M2914">
            <v>31</v>
          </cell>
          <cell r="N2914" t="str">
            <v>RESOLUCION</v>
          </cell>
          <cell r="O2914">
            <v>3083</v>
          </cell>
          <cell r="P2914">
            <v>43326</v>
          </cell>
          <cell r="Q2914" t="str">
            <v>AYUDA TEMPORAL A LAS FAMILIAS DE VARIAS LOCALIDADES, PARA RELOCALIZACIÓN DE HOGARES LOCALIZADOS EN ZONAS DE ALTO RIESGO NO MITIGABLE ID:2015-Q03-03337, LOCALIDAD:19 CIUDAD BOLÍVAR, UPZ:67 LUCERO, SECTOR:LIMAS</v>
          </cell>
          <cell r="R2914">
            <v>2706270</v>
          </cell>
          <cell r="S2914">
            <v>0</v>
          </cell>
          <cell r="T2914">
            <v>0</v>
          </cell>
          <cell r="U2914">
            <v>2706270</v>
          </cell>
          <cell r="V2914">
            <v>451045</v>
          </cell>
        </row>
        <row r="2915">
          <cell r="J2915">
            <v>2641</v>
          </cell>
          <cell r="K2915">
            <v>43326</v>
          </cell>
          <cell r="L2915" t="str">
            <v>MARIA ISMELDA REMICIO TAPIA</v>
          </cell>
          <cell r="M2915">
            <v>31</v>
          </cell>
          <cell r="N2915" t="str">
            <v>RESOLUCION</v>
          </cell>
          <cell r="O2915">
            <v>3084</v>
          </cell>
          <cell r="P2915">
            <v>43326</v>
          </cell>
          <cell r="Q2915" t="str">
            <v>AYUDA TEMPORAL A LAS FAMILIAS DE VARIAS LOCALIDADES, PARA RELOCALIZACIÓN DE HOGARES LOCALIZADOS EN ZONAS DE ALTO RIESGO NO MITIGABLE ID:2011-19-12959, LOCALIDAD:19 CIUDAD BOLÍVAR, UPZ:68 EL TESORO, SECTOR:QUEBRADA TROMPETA</v>
          </cell>
          <cell r="R2915">
            <v>2439360</v>
          </cell>
          <cell r="S2915">
            <v>0</v>
          </cell>
          <cell r="T2915">
            <v>0</v>
          </cell>
          <cell r="U2915">
            <v>2439360</v>
          </cell>
          <cell r="V2915">
            <v>406560</v>
          </cell>
        </row>
        <row r="2916">
          <cell r="J2916">
            <v>2642</v>
          </cell>
          <cell r="K2916">
            <v>43326</v>
          </cell>
          <cell r="L2916" t="str">
            <v>JOSE ANGEL TORRES SAGANOME</v>
          </cell>
          <cell r="M2916">
            <v>31</v>
          </cell>
          <cell r="N2916" t="str">
            <v>RESOLUCION</v>
          </cell>
          <cell r="O2916">
            <v>3085</v>
          </cell>
          <cell r="P2916">
            <v>43326</v>
          </cell>
          <cell r="Q2916" t="str">
            <v>AYUDA TEMPORAL A LAS FAMILIAS DE VARIAS LOCALIDADES, PARA RELOCALIZACIÓN DE HOGARES LOCALIZADOS EN ZONAS DE ALTO RIESGO NO MITIGABLE ID:2014-OTR-01149, LOCALIDAD:11 SUBA, UPZ:71 TIBABUYES, SECTOR:GAVILANES</v>
          </cell>
          <cell r="R2916">
            <v>3445274</v>
          </cell>
          <cell r="S2916">
            <v>0</v>
          </cell>
          <cell r="T2916">
            <v>0</v>
          </cell>
          <cell r="U2916">
            <v>3445274</v>
          </cell>
          <cell r="V2916">
            <v>492182</v>
          </cell>
        </row>
        <row r="2917">
          <cell r="J2917">
            <v>2643</v>
          </cell>
          <cell r="K2917">
            <v>43326</v>
          </cell>
          <cell r="L2917" t="str">
            <v>NANCY NEY DUCUARA</v>
          </cell>
          <cell r="M2917">
            <v>31</v>
          </cell>
          <cell r="N2917" t="str">
            <v>RESOLUCION</v>
          </cell>
          <cell r="O2917">
            <v>3088</v>
          </cell>
          <cell r="P2917">
            <v>43326</v>
          </cell>
          <cell r="Q2917" t="str">
            <v>AYUDA TEMPORAL A LAS FAMILIAS DE VARIAS LOCALIDADES, PARA RELOCALIZACIÓN DE HOGARES LOCALIZADOS EN ZONAS DE ALTO RIESGO NO MITIGABLE ID:2011-19-13757, LOCALIDAD:19 CIUDAD BOLÍVAR, UPZ:67 LUCERO</v>
          </cell>
          <cell r="R2917">
            <v>3342144</v>
          </cell>
          <cell r="S2917">
            <v>0</v>
          </cell>
          <cell r="T2917">
            <v>0</v>
          </cell>
          <cell r="U2917">
            <v>3342144</v>
          </cell>
          <cell r="V2917">
            <v>417768</v>
          </cell>
        </row>
        <row r="2918">
          <cell r="J2918">
            <v>2657</v>
          </cell>
          <cell r="K2918">
            <v>43327</v>
          </cell>
          <cell r="L2918" t="str">
            <v>CARLOS ALBERTO ORTIZ</v>
          </cell>
          <cell r="M2918">
            <v>31</v>
          </cell>
          <cell r="N2918" t="str">
            <v>RESOLUCION</v>
          </cell>
          <cell r="O2918">
            <v>2958</v>
          </cell>
          <cell r="P2918">
            <v>43327</v>
          </cell>
          <cell r="Q2918" t="str">
            <v>AYUDA TEMPORAL A LAS FAMILIAS DE VARIAS LOCALIDADES, PARA LA RELOCALIZACIÓN DE HOGARES LOCALIZADOS EN ZONAS DE ALTO RIESGO NO MITIGABLE ID: 2012-ALES-91, LOCALIDAD: 19 CIUDAD BOLIVAR,UPZ: 69 ISMAEL PERDOMO</v>
          </cell>
          <cell r="R2918">
            <v>4218710</v>
          </cell>
          <cell r="S2918">
            <v>0</v>
          </cell>
          <cell r="T2918">
            <v>0</v>
          </cell>
          <cell r="U2918">
            <v>4218710</v>
          </cell>
          <cell r="V2918">
            <v>421871</v>
          </cell>
        </row>
        <row r="2919">
          <cell r="J2919">
            <v>2658</v>
          </cell>
          <cell r="K2919">
            <v>43327</v>
          </cell>
          <cell r="L2919" t="str">
            <v>MERCEDES  CASTAÑEDA CARDENAS</v>
          </cell>
          <cell r="M2919">
            <v>31</v>
          </cell>
          <cell r="N2919" t="str">
            <v>RESOLUCION</v>
          </cell>
          <cell r="O2919">
            <v>3075</v>
          </cell>
          <cell r="P2919">
            <v>43327</v>
          </cell>
          <cell r="Q2919" t="str">
            <v>AYUDA TEMPORAL A LAS FAMILIAS DE VARIAS LOCALIDADES, PARA LA RELOCALIZACIÓN DE HOGARES LOCALIZADOS EN ZONAS DE ALTO RIESGO NO MITIGABLE ID:2012-3-14493, LOCALIDAD:03 SANTA FE, UPZ:96 LOURDES</v>
          </cell>
          <cell r="R2919">
            <v>2531226</v>
          </cell>
          <cell r="S2919">
            <v>0</v>
          </cell>
          <cell r="T2919">
            <v>0</v>
          </cell>
          <cell r="U2919">
            <v>2531226</v>
          </cell>
          <cell r="V2919">
            <v>421871</v>
          </cell>
        </row>
        <row r="2920">
          <cell r="J2920">
            <v>2668</v>
          </cell>
          <cell r="K2920">
            <v>43328</v>
          </cell>
          <cell r="L2920" t="str">
            <v>SANDRA MILENA LESMES RODRIGUEZ</v>
          </cell>
          <cell r="M2920">
            <v>31</v>
          </cell>
          <cell r="N2920" t="str">
            <v>RESOLUCION</v>
          </cell>
          <cell r="O2920">
            <v>3121</v>
          </cell>
          <cell r="P2920">
            <v>43328</v>
          </cell>
          <cell r="Q2920" t="str">
            <v>AYUDA TEMPORAL A LAS FAMILIAS DE VARIAS LOCALIDADES, PARA RELOCALIZACIÓN DE HOGARES LOCALIZADOS EN ZONAS DE ALTO RIESGO NO MITIGABLE ID:2011-19-12628, LOCALIDAD:19 CIUDAD BOLÍVAR, UPZ:68 EL TESORO, SECTOR:OLA INVERNAL 2010 FOPAE</v>
          </cell>
          <cell r="R2920">
            <v>2845920</v>
          </cell>
          <cell r="S2920">
            <v>0</v>
          </cell>
          <cell r="T2920">
            <v>0</v>
          </cell>
          <cell r="U2920">
            <v>2845920</v>
          </cell>
          <cell r="V2920">
            <v>0</v>
          </cell>
        </row>
        <row r="2921">
          <cell r="J2921">
            <v>2669</v>
          </cell>
          <cell r="K2921">
            <v>43328</v>
          </cell>
          <cell r="L2921" t="str">
            <v>YONY JAVIER CARO LEMUS</v>
          </cell>
          <cell r="M2921">
            <v>31</v>
          </cell>
          <cell r="N2921" t="str">
            <v>RESOLUCION</v>
          </cell>
          <cell r="O2921">
            <v>3130</v>
          </cell>
          <cell r="P2921">
            <v>43328</v>
          </cell>
          <cell r="Q2921" t="str">
            <v>AYUDA TEMPORAL A LAS FAMILIAS DE VARIAS LOCALIDADES, PARA RELOCALIZACIÓN DE HOGARES LOCALIZADOS EN ZONAS DE ALTO RIESGO NO MITIGABLE ID:2011-4-13533, LOCALIDAD:04 SAN CRISTÓBAL, UPZ:50 LA GLORIA</v>
          </cell>
          <cell r="R2921">
            <v>2783868</v>
          </cell>
          <cell r="S2921">
            <v>0</v>
          </cell>
          <cell r="T2921">
            <v>0</v>
          </cell>
          <cell r="U2921">
            <v>2783868</v>
          </cell>
          <cell r="V2921">
            <v>0</v>
          </cell>
        </row>
        <row r="2922">
          <cell r="J2922">
            <v>2679</v>
          </cell>
          <cell r="K2922">
            <v>43329</v>
          </cell>
          <cell r="L2922" t="str">
            <v>ROMELIO  RODRIGUEZ RODRIGUEZ</v>
          </cell>
          <cell r="M2922">
            <v>31</v>
          </cell>
          <cell r="N2922" t="str">
            <v>RESOLUCION</v>
          </cell>
          <cell r="O2922">
            <v>3150</v>
          </cell>
          <cell r="P2922">
            <v>43329</v>
          </cell>
          <cell r="Q2922" t="str">
            <v>adquisición predial por Dto. 511 de 2010.LOCALIDAD:CIUDAD BOLIVAR; BARRIO:VILLA GLORIA ID: 2014-Q21-00936</v>
          </cell>
          <cell r="R2922">
            <v>45084240</v>
          </cell>
          <cell r="S2922">
            <v>0</v>
          </cell>
          <cell r="T2922">
            <v>0</v>
          </cell>
          <cell r="U2922">
            <v>45084240</v>
          </cell>
          <cell r="V2922">
            <v>0</v>
          </cell>
        </row>
        <row r="2923">
          <cell r="J2923">
            <v>2695</v>
          </cell>
          <cell r="K2923">
            <v>43334</v>
          </cell>
          <cell r="L2923" t="str">
            <v>JOSE PASCUAL RISCANEVO</v>
          </cell>
          <cell r="M2923">
            <v>31</v>
          </cell>
          <cell r="N2923" t="str">
            <v>RESOLUCION</v>
          </cell>
          <cell r="O2923">
            <v>3151</v>
          </cell>
          <cell r="P2923">
            <v>43334</v>
          </cell>
          <cell r="Q2923" t="str">
            <v>adquisición predial por Dto. 511 de 2010.LOCALIDAD:SAN CRISTOBAL; BARRIO:VILLA DEL CERRO;ID: 2015-Q24-04224</v>
          </cell>
          <cell r="R2923">
            <v>65332300</v>
          </cell>
          <cell r="S2923">
            <v>0</v>
          </cell>
          <cell r="T2923">
            <v>0</v>
          </cell>
          <cell r="U2923">
            <v>65332300</v>
          </cell>
          <cell r="V2923">
            <v>0</v>
          </cell>
        </row>
        <row r="2924">
          <cell r="J2924">
            <v>2696</v>
          </cell>
          <cell r="K2924">
            <v>43334</v>
          </cell>
          <cell r="L2924" t="str">
            <v>MARIA MERCEDES PEDRAZA CASTELLANOS</v>
          </cell>
          <cell r="M2924">
            <v>31</v>
          </cell>
          <cell r="N2924" t="str">
            <v>RESOLUCION</v>
          </cell>
          <cell r="O2924">
            <v>3148</v>
          </cell>
          <cell r="P2924">
            <v>43334</v>
          </cell>
          <cell r="Q2924" t="str">
            <v>Adquisición predial Dto. 511 de 2010. LOCALIDAD: CIUDAD BOLIVAR; BARRIO: PARAISO QUIBA; ID: 2013-Q04-00281</v>
          </cell>
          <cell r="R2924">
            <v>18216000</v>
          </cell>
          <cell r="S2924">
            <v>0</v>
          </cell>
          <cell r="T2924">
            <v>0</v>
          </cell>
          <cell r="U2924">
            <v>18216000</v>
          </cell>
          <cell r="V2924">
            <v>0</v>
          </cell>
        </row>
        <row r="2925">
          <cell r="J2925">
            <v>2704</v>
          </cell>
          <cell r="K2925">
            <v>43334</v>
          </cell>
          <cell r="L2925" t="str">
            <v>JORGE HUMBERTO SILVA RAMIREZ</v>
          </cell>
          <cell r="M2925">
            <v>31</v>
          </cell>
          <cell r="N2925" t="str">
            <v>RESOLUCION</v>
          </cell>
          <cell r="O2925">
            <v>3149</v>
          </cell>
          <cell r="P2925">
            <v>43334</v>
          </cell>
          <cell r="Q2925" t="str">
            <v>VUR DE LA ACTUAL VIGENCIA.DTO 255 DE 2013. LOCALIDAD: CIUDAD BOLIVAR; BARRIO: LAS BRISAS; ID: 2015-Q18-04433</v>
          </cell>
          <cell r="R2925">
            <v>39062100</v>
          </cell>
          <cell r="S2925">
            <v>0</v>
          </cell>
          <cell r="T2925">
            <v>0</v>
          </cell>
          <cell r="U2925">
            <v>39062100</v>
          </cell>
          <cell r="V2925">
            <v>0</v>
          </cell>
        </row>
        <row r="2926">
          <cell r="J2926">
            <v>2738</v>
          </cell>
          <cell r="K2926">
            <v>43336</v>
          </cell>
          <cell r="L2926" t="str">
            <v>MARIA INES URIBE</v>
          </cell>
          <cell r="M2926">
            <v>31</v>
          </cell>
          <cell r="N2926" t="str">
            <v>RESOLUCION</v>
          </cell>
          <cell r="O2926">
            <v>3172</v>
          </cell>
          <cell r="P2926">
            <v>43336</v>
          </cell>
          <cell r="Q2926" t="str">
            <v>VUR de la actual vigencia. La asignación se realiza para dar cumplimiento al fallo de acción popular 2002-00152- Suba Gavilanes. Dto 255 de 2013. LOCALIDAD: SUBA GAVILANES; BARRIO: BILBAO; ID: 2018-11-15243</v>
          </cell>
          <cell r="R2926">
            <v>39062100</v>
          </cell>
          <cell r="S2926">
            <v>0</v>
          </cell>
          <cell r="T2926">
            <v>0</v>
          </cell>
          <cell r="U2926">
            <v>39062100</v>
          </cell>
          <cell r="V2926">
            <v>0</v>
          </cell>
        </row>
        <row r="2927">
          <cell r="J2927">
            <v>2757</v>
          </cell>
          <cell r="K2927">
            <v>43339</v>
          </cell>
          <cell r="L2927" t="str">
            <v>NELLY MARLEN PADILLA ACOSTA</v>
          </cell>
          <cell r="M2927">
            <v>31</v>
          </cell>
          <cell r="N2927" t="str">
            <v>RESOLUCION</v>
          </cell>
          <cell r="O2927">
            <v>3207</v>
          </cell>
          <cell r="P2927">
            <v>43339</v>
          </cell>
          <cell r="Q2927" t="str">
            <v>AYUDA TEMPORAL A LAS FAMILIAS DE VARIAS LOCALIDADES, PARA RELOCALIZACIÓN DE HOGARES LOCALIZADOS EN ZONAS DE ALTO RIESGO NO MITIGABLE ID:2015-D227-00061, LOCALIDAD:04 SAN CRISTÓBAL, UPZ:51 LOS LIBERTADORES, SECTOR:SANTA TERESITA</v>
          </cell>
          <cell r="R2927">
            <v>2977345</v>
          </cell>
          <cell r="S2927">
            <v>2977345</v>
          </cell>
          <cell r="T2927">
            <v>0</v>
          </cell>
          <cell r="U2927">
            <v>0</v>
          </cell>
          <cell r="V2927">
            <v>0</v>
          </cell>
        </row>
        <row r="2928">
          <cell r="J2928">
            <v>2758</v>
          </cell>
          <cell r="K2928">
            <v>43339</v>
          </cell>
          <cell r="L2928" t="str">
            <v>ANA RUBIELA CASTRO TOVAR</v>
          </cell>
          <cell r="M2928">
            <v>31</v>
          </cell>
          <cell r="N2928" t="str">
            <v>RESOLUCION</v>
          </cell>
          <cell r="O2928">
            <v>3206</v>
          </cell>
          <cell r="P2928">
            <v>43339</v>
          </cell>
          <cell r="Q2928" t="str">
            <v>AAYUDA TEMPORAL A LAS FAMILIAS DE VARIAS LOCALIDADES, PARA RELOCALIZACIÓN DE HOGARES LOCALIZADOS EN ZONAS DE ALTO RIESGO NO MITIGABLE ID:2007-19-9566, LOCALIDAD:19 CIUDAD BOLÍVAR, UPZ:69 ISMAEL PERDOMO</v>
          </cell>
          <cell r="R2928">
            <v>2158990</v>
          </cell>
          <cell r="S2928">
            <v>0</v>
          </cell>
          <cell r="T2928">
            <v>0</v>
          </cell>
          <cell r="U2928">
            <v>2158990</v>
          </cell>
          <cell r="V2928">
            <v>0</v>
          </cell>
        </row>
        <row r="2929">
          <cell r="J2929">
            <v>2759</v>
          </cell>
          <cell r="K2929">
            <v>43339</v>
          </cell>
          <cell r="L2929" t="str">
            <v>NELLY MARLEN PADILLA ACOSTA</v>
          </cell>
          <cell r="M2929">
            <v>31</v>
          </cell>
          <cell r="N2929" t="str">
            <v>RESOLUCION</v>
          </cell>
          <cell r="O2929">
            <v>3207</v>
          </cell>
          <cell r="P2929">
            <v>43339</v>
          </cell>
          <cell r="Q2929" t="str">
            <v>AYUDA TEMPORAL A LAS FAMILIAS DE VARIAS LOCALIDADES, PARA RELOCALIZACIÓN DE HOGARES LOCALIZADOS EN ZONAS DE ALTO RIESGO NO MITIGABLE ID:2015-D227-00061, LOCALIDAD:04 SAN CRISTÓBAL, UPZ:51 LOS LIBERTADORES, SECTOR:SANTA TERESITA</v>
          </cell>
          <cell r="R2929">
            <v>2977345</v>
          </cell>
          <cell r="S2929">
            <v>0</v>
          </cell>
          <cell r="T2929">
            <v>0</v>
          </cell>
          <cell r="U2929">
            <v>2977345</v>
          </cell>
          <cell r="V2929">
            <v>0</v>
          </cell>
        </row>
        <row r="2930">
          <cell r="J2930">
            <v>2760</v>
          </cell>
          <cell r="K2930">
            <v>43340</v>
          </cell>
          <cell r="L2930" t="str">
            <v>JOSE  GUISA NARANJO</v>
          </cell>
          <cell r="M2930">
            <v>31</v>
          </cell>
          <cell r="N2930" t="str">
            <v>RESOLUCION</v>
          </cell>
          <cell r="O2930">
            <v>3203</v>
          </cell>
          <cell r="P2930">
            <v>43340</v>
          </cell>
          <cell r="Q2930" t="str">
            <v>AYUDA TEMPORAL A LAS FAMILIAS DE VARIAS LOCALIDADES, PARA RELOCALIZACIÓN DE HOGARES LOCALIZADOS EN ZONAS DE ALTO RIESGO NO MITIGABLE ID:2012-18-14374, LOCALIDAD:18 RAFAEL URIBE URIBE, UPZ:55 DIANA TURBAY</v>
          </cell>
          <cell r="R2930">
            <v>3374968</v>
          </cell>
          <cell r="S2930">
            <v>0</v>
          </cell>
          <cell r="T2930">
            <v>0</v>
          </cell>
          <cell r="U2930">
            <v>3374968</v>
          </cell>
          <cell r="V2930">
            <v>0</v>
          </cell>
        </row>
        <row r="2931">
          <cell r="J2931">
            <v>2761</v>
          </cell>
          <cell r="K2931">
            <v>43340</v>
          </cell>
          <cell r="L2931" t="str">
            <v>VICTORIA EUGENIA BENITEZ BASTIDAS</v>
          </cell>
          <cell r="M2931">
            <v>31</v>
          </cell>
          <cell r="N2931" t="str">
            <v>RESOLUCION</v>
          </cell>
          <cell r="O2931">
            <v>3202</v>
          </cell>
          <cell r="P2931">
            <v>43340</v>
          </cell>
          <cell r="Q2931" t="str">
            <v>AYUDA TEMPORAL A LAS FAMILIAS DE VARIAS LOCALIDADES, PARA RELOCALIZACIÓN DE HOGARES LOCALIZADOS EN ZONAS DE ALTO RIESGO NO MITIGABLE ID:2012-19-14380, LOCALIDAD:19 CIUDAD BOLÍVAR, UPZ:68 EL TESORO</v>
          </cell>
          <cell r="R2931">
            <v>2642105</v>
          </cell>
          <cell r="S2931">
            <v>0</v>
          </cell>
          <cell r="T2931">
            <v>0</v>
          </cell>
          <cell r="U2931">
            <v>2642105</v>
          </cell>
          <cell r="V2931">
            <v>0</v>
          </cell>
        </row>
        <row r="2932">
          <cell r="J2932">
            <v>2762</v>
          </cell>
          <cell r="K2932">
            <v>43340</v>
          </cell>
          <cell r="L2932" t="str">
            <v>YEIMY ANDREA CHAUX VARGAS</v>
          </cell>
          <cell r="M2932">
            <v>31</v>
          </cell>
          <cell r="N2932" t="str">
            <v>RESOLUCION</v>
          </cell>
          <cell r="O2932">
            <v>3204</v>
          </cell>
          <cell r="P2932">
            <v>43340</v>
          </cell>
          <cell r="Q2932" t="str">
            <v>AYUDA TEMPORAL A LAS FAMILIAS DE VARIAS LOCALIDADES, PARA RELOCALIZACIÓN DE HOGARES LOCALIZADOS EN ZONAS DE ALTO RIESGO NO MITIGABLE ID:2016-08-00034, LOCALIDAD:08 KENNEDY, UPZ:45 CARVAJAL, SECTOR:GUADALUPE RIO TUNJUELO</v>
          </cell>
          <cell r="R2932">
            <v>2851535</v>
          </cell>
          <cell r="S2932">
            <v>0</v>
          </cell>
          <cell r="T2932">
            <v>0</v>
          </cell>
          <cell r="U2932">
            <v>2851535</v>
          </cell>
          <cell r="V2932">
            <v>0</v>
          </cell>
        </row>
        <row r="2933">
          <cell r="J2933">
            <v>2763</v>
          </cell>
          <cell r="K2933">
            <v>43340</v>
          </cell>
          <cell r="L2933" t="str">
            <v>MARGARITA  VALLEJO RINCON</v>
          </cell>
          <cell r="M2933">
            <v>31</v>
          </cell>
          <cell r="N2933" t="str">
            <v>RESOLUCION</v>
          </cell>
          <cell r="O2933">
            <v>3205</v>
          </cell>
          <cell r="P2933">
            <v>43340</v>
          </cell>
          <cell r="Q2933" t="str">
            <v>AYUDA TEMPORAL A LAS FAMILIAS DE VARIAS LOCALIDADES, PARA RELOCALIZACIÓN DE HOGARES LOCALIZADOS EN ZONAS DE ALTO RIESGO NO MITIGABLE ID:2015-Q03-03378, LOCALIDAD:19 CIUDAD BOLÍVAR, UPZ:67 LUCERO, SECTOR:LIMAS</v>
          </cell>
          <cell r="R2933">
            <v>2843722</v>
          </cell>
          <cell r="S2933">
            <v>0</v>
          </cell>
          <cell r="T2933">
            <v>0</v>
          </cell>
          <cell r="U2933">
            <v>2843722</v>
          </cell>
          <cell r="V2933">
            <v>0</v>
          </cell>
        </row>
        <row r="2934">
          <cell r="J2934">
            <v>1717</v>
          </cell>
          <cell r="K2934">
            <v>43195</v>
          </cell>
          <cell r="L2934" t="str">
            <v>POSITIVA COMPAÑIA DE SEGUROS SA</v>
          </cell>
          <cell r="M2934">
            <v>30</v>
          </cell>
          <cell r="N2934" t="str">
            <v>ORDEN DE PRESTACION DE SERVICIOS</v>
          </cell>
          <cell r="O2934">
            <v>4</v>
          </cell>
          <cell r="P2934">
            <v>43195</v>
          </cell>
          <cell r="Q2934"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ABRIL DE 2018</v>
          </cell>
          <cell r="R2934">
            <v>2660200</v>
          </cell>
          <cell r="S2934">
            <v>2660200</v>
          </cell>
          <cell r="T2934">
            <v>0</v>
          </cell>
          <cell r="U2934">
            <v>0</v>
          </cell>
          <cell r="V2934">
            <v>0</v>
          </cell>
        </row>
        <row r="2935">
          <cell r="J2935">
            <v>1028</v>
          </cell>
          <cell r="K2935">
            <v>43143</v>
          </cell>
          <cell r="L2935" t="str">
            <v>SUPERINTENDENCIA DE NOTARIADO Y REGISTRO</v>
          </cell>
          <cell r="M2935">
            <v>31</v>
          </cell>
          <cell r="N2935" t="str">
            <v>RESOLUCION</v>
          </cell>
          <cell r="O2935">
            <v>1127</v>
          </cell>
          <cell r="P2935">
            <v>43143</v>
          </cell>
          <cell r="Q2935"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35">
            <v>366900</v>
          </cell>
          <cell r="S2935">
            <v>0</v>
          </cell>
          <cell r="T2935">
            <v>0</v>
          </cell>
          <cell r="U2935">
            <v>366900</v>
          </cell>
          <cell r="V2935">
            <v>366900</v>
          </cell>
        </row>
        <row r="2936">
          <cell r="J2936">
            <v>1029</v>
          </cell>
          <cell r="K2936">
            <v>43143</v>
          </cell>
          <cell r="L2936" t="str">
            <v>DEPARTAMENTO DE CUNDINAMARCA - TESORERIA GENERAL</v>
          </cell>
          <cell r="M2936">
            <v>31</v>
          </cell>
          <cell r="N2936" t="str">
            <v>RESOLUCION</v>
          </cell>
          <cell r="O2936">
            <v>1127</v>
          </cell>
          <cell r="P2936">
            <v>43143</v>
          </cell>
          <cell r="Q2936"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36">
            <v>169300</v>
          </cell>
          <cell r="S2936">
            <v>0</v>
          </cell>
          <cell r="T2936">
            <v>0</v>
          </cell>
          <cell r="U2936">
            <v>169300</v>
          </cell>
          <cell r="V2936">
            <v>169300</v>
          </cell>
        </row>
        <row r="2937">
          <cell r="J2937">
            <v>1569</v>
          </cell>
          <cell r="K2937">
            <v>43173</v>
          </cell>
          <cell r="L2937" t="str">
            <v>HENRY EUGENIO LIZARAZO GONZALEZ</v>
          </cell>
          <cell r="M2937">
            <v>31</v>
          </cell>
          <cell r="N2937" t="str">
            <v>RESOLUCION</v>
          </cell>
          <cell r="O2937">
            <v>1526</v>
          </cell>
          <cell r="P2937">
            <v>43173</v>
          </cell>
          <cell r="Q2937" t="str">
            <v>SOLICITUD DE COPIAS DE ESCRITURA PÚBLICA 1453 DE 2017, ANTE LA NOTARIA 74 DEL CIRCULO DE BOGOTÁ, PARA FINIQUITAR EL PROCESO DE TRANSFERENCIA A TÍTULO GRATUITO QUE LA CAJA DE LA VIVIENDA POPULAR ADELANTA FRENTE ALGUNOS PREDIOS UBICADOS EN LA LOCALIDAD DE SAN CRISTÓBAL SUR, CIUDADELA SANTA ROSA, A NOMBRE DEL DEPARTAMENTO ADMINISTRATIVO DE LA DEFENSORÍA DEL ESPACIO PÚBLICO - DADEP.</v>
          </cell>
          <cell r="R2937">
            <v>300000</v>
          </cell>
          <cell r="S2937">
            <v>0</v>
          </cell>
          <cell r="T2937">
            <v>0</v>
          </cell>
          <cell r="U2937">
            <v>300000</v>
          </cell>
          <cell r="V2937">
            <v>300000</v>
          </cell>
        </row>
        <row r="2938">
          <cell r="J2938">
            <v>1708</v>
          </cell>
          <cell r="K2938">
            <v>43195</v>
          </cell>
          <cell r="L2938" t="str">
            <v>POSITIVA COMPAÑIA DE SEGUROS SA</v>
          </cell>
          <cell r="M2938">
            <v>30</v>
          </cell>
          <cell r="N2938" t="str">
            <v>ORDEN DE PRESTACION DE SERVICIOS</v>
          </cell>
          <cell r="O2938">
            <v>4</v>
          </cell>
          <cell r="P2938">
            <v>43195</v>
          </cell>
          <cell r="Q2938" t="str">
            <v>Pago de cotización al sistema general de riesgos laborales de las personas vinculadas a través de un contrato de prestación de servicios con la Caja de la Vivienda Popular que laboran en actividades de alto riesgo, según en el artículo 13 del decreto 723 de 2013.</v>
          </cell>
          <cell r="R2938">
            <v>1161100</v>
          </cell>
          <cell r="S2938">
            <v>1161100</v>
          </cell>
          <cell r="T2938">
            <v>0</v>
          </cell>
          <cell r="U2938">
            <v>0</v>
          </cell>
          <cell r="V2938">
            <v>0</v>
          </cell>
        </row>
        <row r="2939">
          <cell r="J2939">
            <v>1806</v>
          </cell>
          <cell r="K2939">
            <v>43207</v>
          </cell>
          <cell r="L2939" t="str">
            <v>HECTOR CARLOS FERNANDO HERRERA REYES</v>
          </cell>
          <cell r="M2939">
            <v>31</v>
          </cell>
          <cell r="N2939" t="str">
            <v>RESOLUCION</v>
          </cell>
          <cell r="O2939">
            <v>1868</v>
          </cell>
          <cell r="P2939">
            <v>43207</v>
          </cell>
          <cell r="Q2939" t="str">
            <v>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v>
          </cell>
          <cell r="R2939">
            <v>1500000</v>
          </cell>
          <cell r="S2939">
            <v>0</v>
          </cell>
          <cell r="T2939">
            <v>0</v>
          </cell>
          <cell r="U2939">
            <v>1500000</v>
          </cell>
          <cell r="V2939">
            <v>1500000</v>
          </cell>
        </row>
        <row r="2940">
          <cell r="J2940">
            <v>1840</v>
          </cell>
          <cell r="K2940">
            <v>43214</v>
          </cell>
          <cell r="L2940" t="str">
            <v>HENRY EUGENIO LIZARAZO GONZALEZ</v>
          </cell>
          <cell r="M2940">
            <v>31</v>
          </cell>
          <cell r="N2940" t="str">
            <v>RESOLUCION</v>
          </cell>
          <cell r="O2940">
            <v>1935</v>
          </cell>
          <cell r="P2940">
            <v>43214</v>
          </cell>
          <cell r="Q2940" t="str">
            <v>Sufragar los costos por concepto de gastos notariales e impuesto de registro en el proceso de escritura de desenglobe y cesión al DADEP del lote denominado equipamiento de la Urbanización Arboleda Santa Teresita ante la Notaría 34 del Círculo de Bogotá D.C.</v>
          </cell>
          <cell r="R2940">
            <v>1047000</v>
          </cell>
          <cell r="S2940">
            <v>0</v>
          </cell>
          <cell r="T2940">
            <v>0</v>
          </cell>
          <cell r="U2940">
            <v>1047000</v>
          </cell>
          <cell r="V2940">
            <v>1047000</v>
          </cell>
        </row>
        <row r="2941">
          <cell r="J2941">
            <v>1863</v>
          </cell>
          <cell r="K2941">
            <v>43227</v>
          </cell>
          <cell r="L2941" t="str">
            <v>HENRY EUGENIO LIZARAZO GONZALEZ</v>
          </cell>
          <cell r="M2941">
            <v>31</v>
          </cell>
          <cell r="N2941" t="str">
            <v>RESOLUCION</v>
          </cell>
          <cell r="O2941">
            <v>1932</v>
          </cell>
          <cell r="P2941">
            <v>43227</v>
          </cell>
          <cell r="Q2941" t="str">
            <v>Sufragar los costos por concepto de gastos notariales en el proceso de la escritura de de transferencia al DADEP de las zonas de cesion de Atahualpa ante la Notaría 24 del Círculo de Bogotá D.C</v>
          </cell>
          <cell r="R2941">
            <v>119276</v>
          </cell>
          <cell r="S2941">
            <v>0</v>
          </cell>
          <cell r="T2941">
            <v>0</v>
          </cell>
          <cell r="U2941">
            <v>119276</v>
          </cell>
          <cell r="V2941">
            <v>119276</v>
          </cell>
        </row>
        <row r="2942">
          <cell r="J2942">
            <v>1895</v>
          </cell>
          <cell r="K2942">
            <v>43230</v>
          </cell>
          <cell r="L2942" t="str">
            <v>SUPERINTENDENCIA DE NOTARIADO Y REGISTRO</v>
          </cell>
          <cell r="M2942">
            <v>31</v>
          </cell>
          <cell r="N2942" t="str">
            <v>RESOLUCION</v>
          </cell>
          <cell r="O2942">
            <v>2059</v>
          </cell>
          <cell r="P2942">
            <v>43230</v>
          </cell>
          <cell r="Q2942"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42">
            <v>1407900</v>
          </cell>
          <cell r="S2942">
            <v>0</v>
          </cell>
          <cell r="T2942">
            <v>0</v>
          </cell>
          <cell r="U2942">
            <v>1407900</v>
          </cell>
          <cell r="V2942">
            <v>1407900</v>
          </cell>
        </row>
        <row r="2943">
          <cell r="J2943">
            <v>1896</v>
          </cell>
          <cell r="K2943">
            <v>43230</v>
          </cell>
          <cell r="L2943" t="str">
            <v>DEPARTAMENTO DE CUNDINAMARCA - TESORERIA GENERAL</v>
          </cell>
          <cell r="M2943">
            <v>31</v>
          </cell>
          <cell r="N2943" t="str">
            <v>RESOLUCION</v>
          </cell>
          <cell r="O2943">
            <v>2059</v>
          </cell>
          <cell r="P2943">
            <v>43230</v>
          </cell>
          <cell r="Q2943"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43">
            <v>596400</v>
          </cell>
          <cell r="S2943">
            <v>0</v>
          </cell>
          <cell r="T2943">
            <v>0</v>
          </cell>
          <cell r="U2943">
            <v>596400</v>
          </cell>
          <cell r="V2943">
            <v>596400</v>
          </cell>
        </row>
        <row r="2944">
          <cell r="J2944">
            <v>1924</v>
          </cell>
          <cell r="K2944">
            <v>43241</v>
          </cell>
          <cell r="L2944" t="str">
            <v>LEIDY PAOLA FLOREZ GALEANO</v>
          </cell>
          <cell r="M2944">
            <v>31</v>
          </cell>
          <cell r="N2944" t="str">
            <v>RESOLUCION</v>
          </cell>
          <cell r="O2944">
            <v>2095</v>
          </cell>
          <cell r="P2944">
            <v>43241</v>
          </cell>
          <cell r="Q2944" t="str">
            <v>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v>
          </cell>
          <cell r="R2944">
            <v>350000</v>
          </cell>
          <cell r="S2944">
            <v>0</v>
          </cell>
          <cell r="T2944">
            <v>0</v>
          </cell>
          <cell r="U2944">
            <v>350000</v>
          </cell>
          <cell r="V2944">
            <v>350000</v>
          </cell>
        </row>
        <row r="2945">
          <cell r="J2945">
            <v>1938</v>
          </cell>
          <cell r="K2945">
            <v>43242</v>
          </cell>
          <cell r="L2945" t="str">
            <v>YAIR JOSUE LIZARAZO CALDERON</v>
          </cell>
          <cell r="M2945">
            <v>31</v>
          </cell>
          <cell r="N2945" t="str">
            <v>RESOLUCION</v>
          </cell>
          <cell r="O2945">
            <v>2099</v>
          </cell>
          <cell r="P2945">
            <v>43242</v>
          </cell>
          <cell r="Q2945"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45">
            <v>668000</v>
          </cell>
          <cell r="S2945">
            <v>0</v>
          </cell>
          <cell r="T2945">
            <v>0</v>
          </cell>
          <cell r="U2945">
            <v>668000</v>
          </cell>
          <cell r="V2945">
            <v>668000</v>
          </cell>
        </row>
        <row r="2946">
          <cell r="J2946">
            <v>2006</v>
          </cell>
          <cell r="K2946">
            <v>43258</v>
          </cell>
          <cell r="L2946" t="str">
            <v>HENRY EUGENIO LIZARAZO GONZALEZ</v>
          </cell>
          <cell r="M2946">
            <v>31</v>
          </cell>
          <cell r="N2946" t="str">
            <v>RESOLUCION</v>
          </cell>
          <cell r="O2946">
            <v>2186</v>
          </cell>
          <cell r="P2946">
            <v>43258</v>
          </cell>
          <cell r="Q2946" t="str">
            <v>Sufragar los costos por concepto de gastos notariales en el proceso de otorgamiento y autorización de la escritura aclaratoria y de ratificación de la EP No. 4364 de 2016, ante la Notaria 62 del circuito de Bogotá, a fin de realizar la transferencia al DADEP de la zona de cesión ubicada en el barrio Arborizadora Alta de la localidad de Ciudad Bolívar</v>
          </cell>
          <cell r="R2946">
            <v>95119</v>
          </cell>
          <cell r="S2946">
            <v>0</v>
          </cell>
          <cell r="T2946">
            <v>0</v>
          </cell>
          <cell r="U2946">
            <v>95119</v>
          </cell>
          <cell r="V2946">
            <v>95119</v>
          </cell>
        </row>
        <row r="2947">
          <cell r="J2947">
            <v>2015</v>
          </cell>
          <cell r="K2947">
            <v>43266</v>
          </cell>
          <cell r="L2947" t="str">
            <v>YAIR JOSUE LIZARAZO CALDERON</v>
          </cell>
          <cell r="M2947">
            <v>31</v>
          </cell>
          <cell r="N2947" t="str">
            <v>RESOLUCION</v>
          </cell>
          <cell r="O2947">
            <v>2258</v>
          </cell>
          <cell r="P2947">
            <v>43266</v>
          </cell>
          <cell r="Q2947" t="str">
            <v>Sufragar los gastos que se incurran para la radicación de la  demanda ante el Tribunal de Arbitramento, relacionada con el proceso arbitral que se adelantará por parte la CVP contra la sociedad comercial CONSTRUCCIONAR Y CIA LTDA, hoy DESARROLLOS INMOBILIARIOS ATAHUALPA II LTDA y la entonces Fiduciaria Tequendama, hoy Servitrust Sudameris, vocera del Patrimonio Autónomo Parques de Atahualpa.</v>
          </cell>
          <cell r="R2947">
            <v>1859356</v>
          </cell>
          <cell r="S2947">
            <v>0</v>
          </cell>
          <cell r="T2947">
            <v>0</v>
          </cell>
          <cell r="U2947">
            <v>1859356</v>
          </cell>
          <cell r="V2947">
            <v>1859356</v>
          </cell>
        </row>
        <row r="2948">
          <cell r="J2948">
            <v>2119</v>
          </cell>
          <cell r="K2948">
            <v>43273</v>
          </cell>
          <cell r="L2948" t="str">
            <v>SUPERINTENDENCIA DE NOTARIADO Y REGISTRO</v>
          </cell>
          <cell r="M2948">
            <v>31</v>
          </cell>
          <cell r="N2948" t="str">
            <v>RESOLUCION</v>
          </cell>
          <cell r="O2948">
            <v>2572</v>
          </cell>
          <cell r="P2948">
            <v>43273</v>
          </cell>
          <cell r="Q2948"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48">
            <v>1106300</v>
          </cell>
          <cell r="S2948">
            <v>0</v>
          </cell>
          <cell r="T2948">
            <v>0</v>
          </cell>
          <cell r="U2948">
            <v>1106300</v>
          </cell>
          <cell r="V2948">
            <v>1106300</v>
          </cell>
        </row>
        <row r="2949">
          <cell r="J2949">
            <v>2120</v>
          </cell>
          <cell r="K2949">
            <v>43273</v>
          </cell>
          <cell r="L2949" t="str">
            <v>DEPARTAMENTO DE CUNDINAMARCA - TESORERIA GENERAL</v>
          </cell>
          <cell r="M2949">
            <v>31</v>
          </cell>
          <cell r="N2949" t="str">
            <v>RESOLUCION</v>
          </cell>
          <cell r="O2949">
            <v>2572</v>
          </cell>
          <cell r="P2949">
            <v>43273</v>
          </cell>
          <cell r="Q2949"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49">
            <v>867800</v>
          </cell>
          <cell r="S2949">
            <v>0</v>
          </cell>
          <cell r="T2949">
            <v>0</v>
          </cell>
          <cell r="U2949">
            <v>867800</v>
          </cell>
          <cell r="V2949">
            <v>867800</v>
          </cell>
        </row>
        <row r="2950">
          <cell r="J2950">
            <v>2523</v>
          </cell>
          <cell r="K2950">
            <v>43305</v>
          </cell>
          <cell r="L2950" t="str">
            <v>YAIR JOSUE LIZARAZO CALDERON</v>
          </cell>
          <cell r="M2950">
            <v>31</v>
          </cell>
          <cell r="N2950" t="str">
            <v>RESOLUCION</v>
          </cell>
          <cell r="O2950">
            <v>2903</v>
          </cell>
          <cell r="P2950">
            <v>43305</v>
          </cell>
          <cell r="Q2950"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50">
            <v>120400</v>
          </cell>
          <cell r="S2950">
            <v>0</v>
          </cell>
          <cell r="T2950">
            <v>0</v>
          </cell>
          <cell r="U2950">
            <v>120400</v>
          </cell>
          <cell r="V2950">
            <v>120400</v>
          </cell>
        </row>
        <row r="2951">
          <cell r="J2951">
            <v>2524</v>
          </cell>
          <cell r="K2951">
            <v>43305</v>
          </cell>
          <cell r="L2951" t="str">
            <v>LEIDY PAOLA FLOREZ GALEANO</v>
          </cell>
          <cell r="M2951">
            <v>31</v>
          </cell>
          <cell r="N2951" t="str">
            <v>RESOLUCION</v>
          </cell>
          <cell r="O2951">
            <v>2915</v>
          </cell>
          <cell r="P2951">
            <v>43305</v>
          </cell>
          <cell r="Q2951" t="str">
            <v>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v>
          </cell>
          <cell r="R2951">
            <v>350000</v>
          </cell>
          <cell r="S2951">
            <v>0</v>
          </cell>
          <cell r="T2951">
            <v>0</v>
          </cell>
          <cell r="U2951">
            <v>350000</v>
          </cell>
          <cell r="V2951">
            <v>350000</v>
          </cell>
        </row>
        <row r="2952">
          <cell r="J2952">
            <v>2676</v>
          </cell>
          <cell r="K2952">
            <v>43329</v>
          </cell>
          <cell r="L2952" t="str">
            <v>DEPARTAMENTO DE CUNDINAMARCA - TESORERIA GENERAL</v>
          </cell>
          <cell r="M2952">
            <v>31</v>
          </cell>
          <cell r="N2952" t="str">
            <v>RESOLUCION</v>
          </cell>
          <cell r="O2952">
            <v>3146</v>
          </cell>
          <cell r="P2952">
            <v>43329</v>
          </cell>
          <cell r="Q2952"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52">
            <v>249000</v>
          </cell>
          <cell r="S2952">
            <v>0</v>
          </cell>
          <cell r="T2952">
            <v>0</v>
          </cell>
          <cell r="U2952">
            <v>249000</v>
          </cell>
          <cell r="V2952">
            <v>249000</v>
          </cell>
        </row>
        <row r="2953">
          <cell r="J2953">
            <v>2678</v>
          </cell>
          <cell r="K2953">
            <v>43329</v>
          </cell>
          <cell r="L2953" t="str">
            <v>SUPERINTENDENCIA DE NOTARIADO Y REGISTRO</v>
          </cell>
          <cell r="M2953">
            <v>31</v>
          </cell>
          <cell r="N2953" t="str">
            <v>RESOLUCION</v>
          </cell>
          <cell r="O2953">
            <v>3146</v>
          </cell>
          <cell r="P2953">
            <v>43329</v>
          </cell>
          <cell r="Q2953"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953">
            <v>463500</v>
          </cell>
          <cell r="S2953">
            <v>0</v>
          </cell>
          <cell r="T2953">
            <v>0</v>
          </cell>
          <cell r="U2953">
            <v>463500</v>
          </cell>
          <cell r="V2953">
            <v>463500</v>
          </cell>
        </row>
        <row r="2954">
          <cell r="J2954">
            <v>2703</v>
          </cell>
          <cell r="K2954">
            <v>43334</v>
          </cell>
          <cell r="L2954" t="str">
            <v>YAIR JOSUE LIZARAZO CALDERON</v>
          </cell>
          <cell r="M2954">
            <v>31</v>
          </cell>
          <cell r="N2954" t="str">
            <v>RESOLUCION</v>
          </cell>
          <cell r="O2954">
            <v>3164</v>
          </cell>
          <cell r="P2954">
            <v>43334</v>
          </cell>
          <cell r="Q2954" t="str">
            <v>Sufragar los costos de radicación y expedición de solicitud concepto de norma urbanística - Reglamento Colombiano de Construcción Sismo Resistente norma NSR ¿ 10, título k - numeral k.3.8.3 ¿ escaleras interiores k.3.8.3.3 (k.3.8.3.3 ¿ ancho mínimo). Para las Licencias de construcción números: LC 15-2-0901, LC 15-2-0902 del 2 de junio de 2015 para los proyectos (Arborizadora Baja Manzana 54 y manzana 55). y LC 16-2-0884 del 11 de julio de 2016 (Proyecto Urbanización Arboleda Santa Teresita), de propiedad de la Caja de la Vivienda Popular.</v>
          </cell>
          <cell r="R2954">
            <v>929678</v>
          </cell>
          <cell r="S2954">
            <v>0</v>
          </cell>
          <cell r="T2954">
            <v>0</v>
          </cell>
          <cell r="U2954">
            <v>929678</v>
          </cell>
          <cell r="V2954">
            <v>929678</v>
          </cell>
        </row>
        <row r="2955">
          <cell r="J2955">
            <v>2511</v>
          </cell>
          <cell r="K2955">
            <v>43300</v>
          </cell>
          <cell r="L2955" t="str">
            <v>GIOVANNI  QUIROGA BERMUDEZ</v>
          </cell>
          <cell r="M2955">
            <v>145</v>
          </cell>
          <cell r="N2955" t="str">
            <v>CONTRATO DE PRESTACION DE SERVICIOS PROFESIONALES</v>
          </cell>
          <cell r="O2955">
            <v>447</v>
          </cell>
          <cell r="P2955">
            <v>43300</v>
          </cell>
          <cell r="Q2955"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2955">
            <v>26265000</v>
          </cell>
          <cell r="S2955">
            <v>0</v>
          </cell>
          <cell r="T2955">
            <v>0</v>
          </cell>
          <cell r="U2955">
            <v>26265000</v>
          </cell>
          <cell r="V2955">
            <v>2101200</v>
          </cell>
        </row>
        <row r="2956">
          <cell r="J2956">
            <v>2590</v>
          </cell>
          <cell r="K2956">
            <v>43315</v>
          </cell>
          <cell r="L2956" t="str">
            <v>OSCAR JAVIER ZUÑIGA GOMEZ</v>
          </cell>
          <cell r="M2956">
            <v>145</v>
          </cell>
          <cell r="N2956" t="str">
            <v>CONTRATO DE PRESTACION DE SERVICIOS PROFESIONALES</v>
          </cell>
          <cell r="O2956">
            <v>481</v>
          </cell>
          <cell r="P2956">
            <v>43315</v>
          </cell>
          <cell r="Q2956" t="str">
            <v>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v>
          </cell>
          <cell r="R2956">
            <v>49000000</v>
          </cell>
          <cell r="S2956">
            <v>49000000</v>
          </cell>
          <cell r="T2956">
            <v>0</v>
          </cell>
          <cell r="U2956">
            <v>0</v>
          </cell>
          <cell r="V2956">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13"/>
  <sheetViews>
    <sheetView tabSelected="1" zoomScale="60" zoomScaleNormal="60" workbookViewId="0">
      <selection activeCell="H5" sqref="H5"/>
    </sheetView>
  </sheetViews>
  <sheetFormatPr baseColWidth="10" defaultRowHeight="15" x14ac:dyDescent="0.25"/>
  <cols>
    <col min="1" max="1" width="11.7109375" bestFit="1" customWidth="1"/>
    <col min="5" max="5" width="11.7109375" bestFit="1" customWidth="1"/>
    <col min="11" max="11" width="14" bestFit="1" customWidth="1"/>
    <col min="12" max="12" width="19.42578125" bestFit="1" customWidth="1"/>
    <col min="13" max="13" width="14" bestFit="1" customWidth="1"/>
    <col min="14" max="15" width="11.7109375" bestFit="1" customWidth="1"/>
    <col min="16" max="16" width="17" customWidth="1"/>
    <col min="17" max="17" width="21.7109375" bestFit="1" customWidth="1"/>
    <col min="18" max="18" width="11.7109375" bestFit="1" customWidth="1"/>
    <col min="19" max="19" width="22.28515625" bestFit="1" customWidth="1"/>
    <col min="20" max="20" width="14" bestFit="1" customWidth="1"/>
    <col min="21" max="21" width="12.85546875" bestFit="1" customWidth="1"/>
    <col min="22" max="22" width="11.7109375" bestFit="1" customWidth="1"/>
    <col min="23" max="23" width="14" bestFit="1" customWidth="1"/>
    <col min="24" max="25" width="12.85546875" bestFit="1" customWidth="1"/>
    <col min="26" max="26" width="22.28515625" bestFit="1" customWidth="1"/>
    <col min="27" max="28" width="11.7109375" bestFit="1" customWidth="1"/>
    <col min="29" max="29" width="18.7109375" bestFit="1" customWidth="1"/>
    <col min="30" max="30" width="22.28515625" bestFit="1" customWidth="1"/>
    <col min="31" max="31" width="18.7109375" bestFit="1" customWidth="1"/>
    <col min="32" max="32" width="11.7109375" bestFit="1" customWidth="1"/>
    <col min="33" max="33" width="17" bestFit="1" customWidth="1"/>
    <col min="34" max="34" width="22.28515625" bestFit="1" customWidth="1"/>
    <col min="35" max="36" width="11.7109375" bestFit="1" customWidth="1"/>
    <col min="37" max="37" width="17.140625" bestFit="1" customWidth="1"/>
    <col min="38" max="39" width="22.28515625" bestFit="1" customWidth="1"/>
    <col min="40" max="40" width="20.42578125" bestFit="1" customWidth="1"/>
    <col min="41" max="41" width="18.28515625" bestFit="1" customWidth="1"/>
    <col min="42" max="42" width="14.7109375" bestFit="1" customWidth="1"/>
    <col min="43" max="46" width="11.7109375" bestFit="1" customWidth="1"/>
  </cols>
  <sheetData>
    <row r="1" spans="1:49" s="215" customFormat="1" ht="16.5" customHeight="1" x14ac:dyDescent="0.25">
      <c r="A1" s="210"/>
      <c r="B1" s="210"/>
      <c r="C1" s="210"/>
      <c r="D1" s="211" t="s">
        <v>3786</v>
      </c>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3"/>
      <c r="AS1" s="214" t="s">
        <v>3787</v>
      </c>
      <c r="AT1" s="214"/>
      <c r="AU1" s="214"/>
      <c r="AV1" s="214"/>
    </row>
    <row r="2" spans="1:49" s="215" customFormat="1" ht="21" customHeight="1" x14ac:dyDescent="0.25">
      <c r="A2" s="210"/>
      <c r="B2" s="210"/>
      <c r="C2" s="210"/>
      <c r="D2" s="211"/>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3"/>
      <c r="AS2" s="214" t="s">
        <v>3788</v>
      </c>
      <c r="AT2" s="214"/>
      <c r="AU2" s="216" t="s">
        <v>3789</v>
      </c>
      <c r="AV2" s="216"/>
    </row>
    <row r="3" spans="1:49" s="215" customFormat="1" ht="37.5" customHeight="1" x14ac:dyDescent="0.25">
      <c r="A3" s="210"/>
      <c r="B3" s="210"/>
      <c r="C3" s="210"/>
      <c r="D3" s="217"/>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9"/>
      <c r="AS3" s="214" t="s">
        <v>3790</v>
      </c>
      <c r="AT3" s="214"/>
      <c r="AU3" s="214"/>
      <c r="AV3" s="214"/>
    </row>
    <row r="4" spans="1:49" ht="67.5" x14ac:dyDescent="0.25">
      <c r="A4" s="1" t="s">
        <v>0</v>
      </c>
      <c r="B4" s="1" t="s">
        <v>1</v>
      </c>
      <c r="C4" s="1" t="s">
        <v>2</v>
      </c>
      <c r="D4" s="1" t="s">
        <v>3</v>
      </c>
      <c r="E4" s="1" t="s">
        <v>4</v>
      </c>
      <c r="F4" s="1" t="s">
        <v>5</v>
      </c>
      <c r="G4" s="1" t="s">
        <v>6</v>
      </c>
      <c r="H4" s="1" t="s">
        <v>7</v>
      </c>
      <c r="I4" s="1" t="s">
        <v>8</v>
      </c>
      <c r="J4" s="1" t="s">
        <v>9</v>
      </c>
      <c r="K4" s="1" t="s">
        <v>10</v>
      </c>
      <c r="L4" s="1" t="s">
        <v>11</v>
      </c>
      <c r="M4" s="1" t="s">
        <v>12</v>
      </c>
      <c r="N4" s="1" t="s">
        <v>13</v>
      </c>
      <c r="O4" s="1" t="s">
        <v>14</v>
      </c>
      <c r="P4" s="1" t="s">
        <v>15</v>
      </c>
      <c r="Q4" s="1" t="s">
        <v>16</v>
      </c>
      <c r="R4" s="1" t="s">
        <v>17</v>
      </c>
      <c r="S4" s="1" t="s">
        <v>18</v>
      </c>
      <c r="T4" s="1" t="s">
        <v>19</v>
      </c>
      <c r="U4" s="1" t="s">
        <v>20</v>
      </c>
      <c r="V4" s="2" t="s">
        <v>21</v>
      </c>
      <c r="W4" s="1" t="s">
        <v>22</v>
      </c>
      <c r="X4" s="1" t="s">
        <v>23</v>
      </c>
      <c r="Y4" s="1" t="s">
        <v>24</v>
      </c>
      <c r="Z4" s="3" t="s">
        <v>25</v>
      </c>
      <c r="AA4" s="4" t="s">
        <v>26</v>
      </c>
      <c r="AB4" s="5" t="s">
        <v>27</v>
      </c>
      <c r="AC4" s="6" t="s">
        <v>28</v>
      </c>
      <c r="AD4" s="7" t="s">
        <v>29</v>
      </c>
      <c r="AE4" s="8" t="s">
        <v>30</v>
      </c>
      <c r="AF4" s="9" t="s">
        <v>31</v>
      </c>
      <c r="AG4" s="10" t="s">
        <v>32</v>
      </c>
      <c r="AH4" s="11" t="s">
        <v>33</v>
      </c>
      <c r="AI4" s="12" t="s">
        <v>34</v>
      </c>
      <c r="AJ4" s="10" t="s">
        <v>35</v>
      </c>
      <c r="AK4" s="8" t="s">
        <v>36</v>
      </c>
      <c r="AL4" s="11" t="s">
        <v>37</v>
      </c>
      <c r="AM4" s="11" t="s">
        <v>38</v>
      </c>
      <c r="AN4" s="13" t="s">
        <v>39</v>
      </c>
      <c r="AO4" s="13" t="s">
        <v>40</v>
      </c>
      <c r="AP4" s="8" t="s">
        <v>41</v>
      </c>
      <c r="AQ4" s="1" t="s">
        <v>42</v>
      </c>
      <c r="AR4" s="1" t="s">
        <v>43</v>
      </c>
      <c r="AS4" s="1" t="s">
        <v>44</v>
      </c>
      <c r="AT4" s="1" t="s">
        <v>45</v>
      </c>
      <c r="AU4" s="1" t="s">
        <v>46</v>
      </c>
      <c r="AV4" s="1" t="s">
        <v>47</v>
      </c>
    </row>
    <row r="5" spans="1:49" s="221" customFormat="1" ht="399" x14ac:dyDescent="0.25">
      <c r="A5" s="47">
        <v>1</v>
      </c>
      <c r="B5" s="47" t="s">
        <v>48</v>
      </c>
      <c r="C5" s="123" t="s">
        <v>49</v>
      </c>
      <c r="D5" s="63" t="s">
        <v>50</v>
      </c>
      <c r="E5" s="47" t="s">
        <v>51</v>
      </c>
      <c r="F5" s="63" t="s">
        <v>52</v>
      </c>
      <c r="G5" s="63" t="s">
        <v>53</v>
      </c>
      <c r="H5" s="124" t="s">
        <v>54</v>
      </c>
      <c r="I5" s="63" t="s">
        <v>55</v>
      </c>
      <c r="J5" s="63" t="s">
        <v>56</v>
      </c>
      <c r="K5" s="126">
        <v>801116</v>
      </c>
      <c r="L5" s="126" t="s">
        <v>57</v>
      </c>
      <c r="M5" s="47" t="s">
        <v>58</v>
      </c>
      <c r="N5" s="47" t="s">
        <v>59</v>
      </c>
      <c r="O5" s="125" t="s">
        <v>60</v>
      </c>
      <c r="P5" s="47" t="s">
        <v>61</v>
      </c>
      <c r="Q5" s="44">
        <v>6180000</v>
      </c>
      <c r="R5" s="45">
        <v>1</v>
      </c>
      <c r="S5" s="46">
        <f>37080000+1545000-1545000</f>
        <v>37080000</v>
      </c>
      <c r="T5" s="47" t="s">
        <v>62</v>
      </c>
      <c r="U5" s="48" t="s">
        <v>63</v>
      </c>
      <c r="V5" s="49" t="s">
        <v>64</v>
      </c>
      <c r="W5" s="48">
        <v>11.5</v>
      </c>
      <c r="X5" s="50" t="s">
        <v>65</v>
      </c>
      <c r="Y5" s="51">
        <v>43104</v>
      </c>
      <c r="Z5" s="52">
        <f>S5</f>
        <v>37080000</v>
      </c>
      <c r="AA5" s="50"/>
      <c r="AB5" s="50">
        <v>212</v>
      </c>
      <c r="AC5" s="53"/>
      <c r="AD5" s="44">
        <v>71070000</v>
      </c>
      <c r="AE5" s="54">
        <v>1545000</v>
      </c>
      <c r="AF5" s="50">
        <v>379</v>
      </c>
      <c r="AG5" s="50">
        <v>43124</v>
      </c>
      <c r="AH5" s="55">
        <v>37080000</v>
      </c>
      <c r="AI5" s="50" t="s">
        <v>66</v>
      </c>
      <c r="AJ5" s="50">
        <v>305</v>
      </c>
      <c r="AK5" s="64"/>
      <c r="AL5" s="55">
        <v>37080000</v>
      </c>
      <c r="AM5" s="69">
        <v>37080000</v>
      </c>
      <c r="AN5" s="69">
        <v>0</v>
      </c>
      <c r="AO5" s="58" t="s">
        <v>67</v>
      </c>
      <c r="AP5" s="70">
        <f>AE5</f>
        <v>1545000</v>
      </c>
      <c r="AQ5" s="58" t="s">
        <v>68</v>
      </c>
      <c r="AR5" s="60">
        <v>43339</v>
      </c>
      <c r="AS5" s="58" t="s">
        <v>69</v>
      </c>
      <c r="AT5" s="64"/>
      <c r="AU5" s="64"/>
      <c r="AV5" s="64"/>
      <c r="AW5" s="220"/>
    </row>
    <row r="6" spans="1:49" s="221" customFormat="1" ht="270.75" x14ac:dyDescent="0.25">
      <c r="A6" s="47">
        <v>2</v>
      </c>
      <c r="B6" s="47" t="s">
        <v>70</v>
      </c>
      <c r="C6" s="123" t="s">
        <v>49</v>
      </c>
      <c r="D6" s="63" t="s">
        <v>50</v>
      </c>
      <c r="E6" s="47" t="s">
        <v>51</v>
      </c>
      <c r="F6" s="63" t="s">
        <v>52</v>
      </c>
      <c r="G6" s="63" t="s">
        <v>53</v>
      </c>
      <c r="H6" s="124" t="s">
        <v>54</v>
      </c>
      <c r="I6" s="63" t="s">
        <v>55</v>
      </c>
      <c r="J6" s="63" t="s">
        <v>56</v>
      </c>
      <c r="K6" s="126">
        <v>801116</v>
      </c>
      <c r="L6" s="126" t="s">
        <v>57</v>
      </c>
      <c r="M6" s="47" t="s">
        <v>58</v>
      </c>
      <c r="N6" s="47" t="s">
        <v>59</v>
      </c>
      <c r="O6" s="125" t="s">
        <v>60</v>
      </c>
      <c r="P6" s="47" t="s">
        <v>71</v>
      </c>
      <c r="Q6" s="44">
        <v>3090000</v>
      </c>
      <c r="R6" s="45">
        <v>1</v>
      </c>
      <c r="S6" s="46">
        <f t="shared" ref="S6:S69" si="0">+Q6*R6*W6</f>
        <v>35535000</v>
      </c>
      <c r="T6" s="48" t="s">
        <v>62</v>
      </c>
      <c r="U6" s="48" t="s">
        <v>63</v>
      </c>
      <c r="V6" s="49" t="s">
        <v>64</v>
      </c>
      <c r="W6" s="48">
        <v>11.5</v>
      </c>
      <c r="X6" s="50" t="s">
        <v>72</v>
      </c>
      <c r="Y6" s="51">
        <v>43104</v>
      </c>
      <c r="Z6" s="52">
        <f t="shared" ref="Z6:Z69" si="1">S6</f>
        <v>35535000</v>
      </c>
      <c r="AA6" s="50"/>
      <c r="AB6" s="50">
        <v>214</v>
      </c>
      <c r="AC6" s="53">
        <v>43105</v>
      </c>
      <c r="AD6" s="44">
        <v>35535000</v>
      </c>
      <c r="AE6" s="70">
        <v>0</v>
      </c>
      <c r="AF6" s="50">
        <v>157</v>
      </c>
      <c r="AG6" s="50">
        <v>43118</v>
      </c>
      <c r="AH6" s="55">
        <v>35535000</v>
      </c>
      <c r="AI6" s="50" t="s">
        <v>73</v>
      </c>
      <c r="AJ6" s="50">
        <v>126</v>
      </c>
      <c r="AK6" s="64"/>
      <c r="AL6" s="55">
        <v>35535000</v>
      </c>
      <c r="AM6" s="69">
        <v>21218000</v>
      </c>
      <c r="AN6" s="69">
        <v>14317000</v>
      </c>
      <c r="AO6" s="58" t="s">
        <v>67</v>
      </c>
      <c r="AP6" s="64"/>
      <c r="AQ6" s="64"/>
      <c r="AR6" s="64"/>
      <c r="AS6" s="64"/>
      <c r="AT6" s="64"/>
      <c r="AU6" s="64"/>
      <c r="AV6" s="64"/>
      <c r="AW6" s="220"/>
    </row>
    <row r="7" spans="1:49" s="221" customFormat="1" ht="242.25" x14ac:dyDescent="0.25">
      <c r="A7" s="47">
        <v>3</v>
      </c>
      <c r="B7" s="47" t="s">
        <v>74</v>
      </c>
      <c r="C7" s="123" t="s">
        <v>49</v>
      </c>
      <c r="D7" s="63" t="s">
        <v>50</v>
      </c>
      <c r="E7" s="47" t="s">
        <v>51</v>
      </c>
      <c r="F7" s="63" t="s">
        <v>52</v>
      </c>
      <c r="G7" s="63" t="s">
        <v>53</v>
      </c>
      <c r="H7" s="124" t="s">
        <v>54</v>
      </c>
      <c r="I7" s="63" t="s">
        <v>55</v>
      </c>
      <c r="J7" s="63" t="s">
        <v>56</v>
      </c>
      <c r="K7" s="126">
        <v>801116</v>
      </c>
      <c r="L7" s="126" t="s">
        <v>57</v>
      </c>
      <c r="M7" s="47" t="s">
        <v>58</v>
      </c>
      <c r="N7" s="47" t="s">
        <v>59</v>
      </c>
      <c r="O7" s="125" t="s">
        <v>60</v>
      </c>
      <c r="P7" s="47" t="s">
        <v>75</v>
      </c>
      <c r="Q7" s="44">
        <v>3343930</v>
      </c>
      <c r="R7" s="47">
        <v>1</v>
      </c>
      <c r="S7" s="46">
        <f>+Q7*R7*W7-38455195</f>
        <v>0</v>
      </c>
      <c r="T7" s="48" t="s">
        <v>62</v>
      </c>
      <c r="U7" s="48" t="s">
        <v>63</v>
      </c>
      <c r="V7" s="49" t="s">
        <v>64</v>
      </c>
      <c r="W7" s="48">
        <v>11.5</v>
      </c>
      <c r="X7" s="48" t="s">
        <v>76</v>
      </c>
      <c r="Y7" s="60">
        <v>43104</v>
      </c>
      <c r="Z7" s="44">
        <f t="shared" si="1"/>
        <v>0</v>
      </c>
      <c r="AA7" s="64"/>
      <c r="AB7" s="50">
        <v>0</v>
      </c>
      <c r="AC7" s="60">
        <v>0</v>
      </c>
      <c r="AD7" s="44">
        <v>0</v>
      </c>
      <c r="AE7" s="64"/>
      <c r="AF7" s="50">
        <v>0</v>
      </c>
      <c r="AG7" s="50">
        <v>0</v>
      </c>
      <c r="AH7" s="55">
        <v>0</v>
      </c>
      <c r="AI7" s="50">
        <v>0</v>
      </c>
      <c r="AJ7" s="50">
        <v>0</v>
      </c>
      <c r="AK7" s="64"/>
      <c r="AL7" s="55">
        <v>0</v>
      </c>
      <c r="AM7" s="55">
        <v>0</v>
      </c>
      <c r="AN7" s="64"/>
      <c r="AO7" s="58" t="s">
        <v>67</v>
      </c>
      <c r="AP7" s="64"/>
      <c r="AQ7" s="58" t="s">
        <v>77</v>
      </c>
      <c r="AR7" s="61">
        <v>43150</v>
      </c>
      <c r="AS7" s="58" t="s">
        <v>78</v>
      </c>
      <c r="AT7" s="64"/>
      <c r="AU7" s="58" t="s">
        <v>79</v>
      </c>
      <c r="AV7" s="64"/>
      <c r="AW7" s="220"/>
    </row>
    <row r="8" spans="1:49" s="221" customFormat="1" ht="228" x14ac:dyDescent="0.25">
      <c r="A8" s="47">
        <v>4</v>
      </c>
      <c r="B8" s="47" t="s">
        <v>80</v>
      </c>
      <c r="C8" s="123" t="s">
        <v>49</v>
      </c>
      <c r="D8" s="63" t="s">
        <v>50</v>
      </c>
      <c r="E8" s="47" t="s">
        <v>51</v>
      </c>
      <c r="F8" s="63" t="s">
        <v>52</v>
      </c>
      <c r="G8" s="63" t="s">
        <v>53</v>
      </c>
      <c r="H8" s="124" t="s">
        <v>54</v>
      </c>
      <c r="I8" s="63" t="s">
        <v>55</v>
      </c>
      <c r="J8" s="63" t="s">
        <v>56</v>
      </c>
      <c r="K8" s="126">
        <v>801116</v>
      </c>
      <c r="L8" s="126" t="s">
        <v>57</v>
      </c>
      <c r="M8" s="47" t="s">
        <v>58</v>
      </c>
      <c r="N8" s="47" t="s">
        <v>59</v>
      </c>
      <c r="O8" s="125" t="s">
        <v>60</v>
      </c>
      <c r="P8" s="47" t="s">
        <v>81</v>
      </c>
      <c r="Q8" s="44">
        <v>2060000</v>
      </c>
      <c r="R8" s="45">
        <v>1</v>
      </c>
      <c r="S8" s="46">
        <f t="shared" si="0"/>
        <v>23690000</v>
      </c>
      <c r="T8" s="48" t="s">
        <v>62</v>
      </c>
      <c r="U8" s="48" t="s">
        <v>63</v>
      </c>
      <c r="V8" s="49" t="s">
        <v>64</v>
      </c>
      <c r="W8" s="48">
        <v>11.5</v>
      </c>
      <c r="X8" s="50" t="s">
        <v>82</v>
      </c>
      <c r="Y8" s="51">
        <v>43104</v>
      </c>
      <c r="Z8" s="52">
        <f t="shared" si="1"/>
        <v>23690000</v>
      </c>
      <c r="AA8" s="50"/>
      <c r="AB8" s="50">
        <v>219</v>
      </c>
      <c r="AC8" s="53">
        <v>43105</v>
      </c>
      <c r="AD8" s="44">
        <v>23690000</v>
      </c>
      <c r="AE8" s="70">
        <v>0</v>
      </c>
      <c r="AF8" s="50">
        <v>44</v>
      </c>
      <c r="AG8" s="50">
        <v>43116</v>
      </c>
      <c r="AH8" s="55">
        <v>23690000</v>
      </c>
      <c r="AI8" s="50" t="s">
        <v>83</v>
      </c>
      <c r="AJ8" s="50">
        <v>36</v>
      </c>
      <c r="AK8" s="64"/>
      <c r="AL8" s="55">
        <v>23690000</v>
      </c>
      <c r="AM8" s="69">
        <v>14420000</v>
      </c>
      <c r="AN8" s="69">
        <v>9270000</v>
      </c>
      <c r="AO8" s="58" t="s">
        <v>67</v>
      </c>
      <c r="AP8" s="64"/>
      <c r="AQ8" s="64"/>
      <c r="AR8" s="64"/>
      <c r="AS8" s="64"/>
      <c r="AT8" s="64"/>
      <c r="AU8" s="64"/>
      <c r="AV8" s="64"/>
      <c r="AW8" s="220"/>
    </row>
    <row r="9" spans="1:49" s="221" customFormat="1" ht="285" x14ac:dyDescent="0.25">
      <c r="A9" s="47">
        <v>5</v>
      </c>
      <c r="B9" s="47" t="s">
        <v>84</v>
      </c>
      <c r="C9" s="123" t="s">
        <v>49</v>
      </c>
      <c r="D9" s="63" t="s">
        <v>50</v>
      </c>
      <c r="E9" s="47" t="s">
        <v>51</v>
      </c>
      <c r="F9" s="63" t="s">
        <v>52</v>
      </c>
      <c r="G9" s="63" t="s">
        <v>53</v>
      </c>
      <c r="H9" s="124" t="s">
        <v>54</v>
      </c>
      <c r="I9" s="63" t="s">
        <v>55</v>
      </c>
      <c r="J9" s="63" t="s">
        <v>56</v>
      </c>
      <c r="K9" s="126">
        <v>801116</v>
      </c>
      <c r="L9" s="126" t="s">
        <v>57</v>
      </c>
      <c r="M9" s="47" t="s">
        <v>58</v>
      </c>
      <c r="N9" s="47" t="s">
        <v>59</v>
      </c>
      <c r="O9" s="125" t="s">
        <v>60</v>
      </c>
      <c r="P9" s="47" t="s">
        <v>85</v>
      </c>
      <c r="Q9" s="44">
        <v>3326900</v>
      </c>
      <c r="R9" s="45">
        <v>1</v>
      </c>
      <c r="S9" s="46">
        <f t="shared" si="0"/>
        <v>38259350</v>
      </c>
      <c r="T9" s="48" t="s">
        <v>62</v>
      </c>
      <c r="U9" s="48" t="s">
        <v>63</v>
      </c>
      <c r="V9" s="49" t="s">
        <v>64</v>
      </c>
      <c r="W9" s="48">
        <v>11.5</v>
      </c>
      <c r="X9" s="50" t="s">
        <v>86</v>
      </c>
      <c r="Y9" s="51">
        <v>43104</v>
      </c>
      <c r="Z9" s="52">
        <f t="shared" si="1"/>
        <v>38259350</v>
      </c>
      <c r="AA9" s="50"/>
      <c r="AB9" s="50">
        <v>221</v>
      </c>
      <c r="AC9" s="53">
        <v>43105</v>
      </c>
      <c r="AD9" s="44">
        <v>38259350</v>
      </c>
      <c r="AE9" s="70">
        <v>0</v>
      </c>
      <c r="AF9" s="50">
        <v>86</v>
      </c>
      <c r="AG9" s="50">
        <v>43116</v>
      </c>
      <c r="AH9" s="55">
        <v>38259350</v>
      </c>
      <c r="AI9" s="50" t="s">
        <v>87</v>
      </c>
      <c r="AJ9" s="50">
        <v>74</v>
      </c>
      <c r="AK9" s="64"/>
      <c r="AL9" s="55">
        <v>38259350</v>
      </c>
      <c r="AM9" s="69">
        <v>16523603</v>
      </c>
      <c r="AN9" s="69">
        <v>21735747</v>
      </c>
      <c r="AO9" s="58" t="s">
        <v>67</v>
      </c>
      <c r="AP9" s="64"/>
      <c r="AQ9" s="64"/>
      <c r="AR9" s="64"/>
      <c r="AS9" s="64"/>
      <c r="AT9" s="64"/>
      <c r="AU9" s="64"/>
      <c r="AV9" s="64"/>
      <c r="AW9" s="220"/>
    </row>
    <row r="10" spans="1:49" s="221" customFormat="1" ht="185.25" x14ac:dyDescent="0.25">
      <c r="A10" s="47">
        <v>6</v>
      </c>
      <c r="B10" s="47" t="s">
        <v>88</v>
      </c>
      <c r="C10" s="123" t="s">
        <v>49</v>
      </c>
      <c r="D10" s="63" t="s">
        <v>50</v>
      </c>
      <c r="E10" s="47" t="s">
        <v>89</v>
      </c>
      <c r="F10" s="63" t="s">
        <v>52</v>
      </c>
      <c r="G10" s="63" t="s">
        <v>53</v>
      </c>
      <c r="H10" s="124" t="s">
        <v>54</v>
      </c>
      <c r="I10" s="63" t="s">
        <v>55</v>
      </c>
      <c r="J10" s="63" t="s">
        <v>56</v>
      </c>
      <c r="K10" s="126">
        <v>801116</v>
      </c>
      <c r="L10" s="126" t="s">
        <v>57</v>
      </c>
      <c r="M10" s="47" t="s">
        <v>58</v>
      </c>
      <c r="N10" s="47" t="s">
        <v>59</v>
      </c>
      <c r="O10" s="125" t="s">
        <v>60</v>
      </c>
      <c r="P10" s="47" t="s">
        <v>90</v>
      </c>
      <c r="Q10" s="44">
        <v>3399000</v>
      </c>
      <c r="R10" s="45">
        <v>1</v>
      </c>
      <c r="S10" s="44">
        <f t="shared" si="0"/>
        <v>39088500</v>
      </c>
      <c r="T10" s="48" t="s">
        <v>62</v>
      </c>
      <c r="U10" s="48" t="s">
        <v>63</v>
      </c>
      <c r="V10" s="49" t="s">
        <v>64</v>
      </c>
      <c r="W10" s="48">
        <v>11.5</v>
      </c>
      <c r="X10" s="50" t="s">
        <v>91</v>
      </c>
      <c r="Y10" s="51">
        <v>43104</v>
      </c>
      <c r="Z10" s="52">
        <f t="shared" si="1"/>
        <v>39088500</v>
      </c>
      <c r="AA10" s="50"/>
      <c r="AB10" s="50">
        <v>222</v>
      </c>
      <c r="AC10" s="53">
        <v>43105</v>
      </c>
      <c r="AD10" s="44">
        <v>39088500</v>
      </c>
      <c r="AE10" s="70">
        <v>0</v>
      </c>
      <c r="AF10" s="50">
        <v>357</v>
      </c>
      <c r="AG10" s="50">
        <v>43123</v>
      </c>
      <c r="AH10" s="55">
        <v>39088500</v>
      </c>
      <c r="AI10" s="50" t="s">
        <v>92</v>
      </c>
      <c r="AJ10" s="50">
        <v>355</v>
      </c>
      <c r="AK10" s="64"/>
      <c r="AL10" s="55">
        <v>39088500</v>
      </c>
      <c r="AM10" s="69">
        <v>24472800</v>
      </c>
      <c r="AN10" s="69">
        <v>14615700</v>
      </c>
      <c r="AO10" s="58" t="s">
        <v>67</v>
      </c>
      <c r="AP10" s="64"/>
      <c r="AQ10" s="64"/>
      <c r="AR10" s="64"/>
      <c r="AS10" s="64"/>
      <c r="AT10" s="64"/>
      <c r="AU10" s="64"/>
      <c r="AV10" s="64"/>
      <c r="AW10" s="220"/>
    </row>
    <row r="11" spans="1:49" s="221" customFormat="1" ht="370.5" x14ac:dyDescent="0.25">
      <c r="A11" s="47">
        <v>7</v>
      </c>
      <c r="B11" s="47" t="s">
        <v>93</v>
      </c>
      <c r="C11" s="123" t="s">
        <v>49</v>
      </c>
      <c r="D11" s="63" t="s">
        <v>50</v>
      </c>
      <c r="E11" s="47" t="s">
        <v>51</v>
      </c>
      <c r="F11" s="63" t="s">
        <v>52</v>
      </c>
      <c r="G11" s="63" t="s">
        <v>53</v>
      </c>
      <c r="H11" s="124" t="s">
        <v>54</v>
      </c>
      <c r="I11" s="63" t="s">
        <v>55</v>
      </c>
      <c r="J11" s="63" t="s">
        <v>56</v>
      </c>
      <c r="K11" s="126">
        <v>801116</v>
      </c>
      <c r="L11" s="126" t="s">
        <v>57</v>
      </c>
      <c r="M11" s="47" t="s">
        <v>58</v>
      </c>
      <c r="N11" s="47" t="s">
        <v>59</v>
      </c>
      <c r="O11" s="125" t="s">
        <v>60</v>
      </c>
      <c r="P11" s="47" t="s">
        <v>94</v>
      </c>
      <c r="Q11" s="44">
        <v>7210000</v>
      </c>
      <c r="R11" s="45">
        <v>1</v>
      </c>
      <c r="S11" s="46">
        <f t="shared" si="0"/>
        <v>82915000</v>
      </c>
      <c r="T11" s="48" t="s">
        <v>62</v>
      </c>
      <c r="U11" s="48" t="s">
        <v>63</v>
      </c>
      <c r="V11" s="49" t="s">
        <v>64</v>
      </c>
      <c r="W11" s="48">
        <v>11.5</v>
      </c>
      <c r="X11" s="50" t="s">
        <v>95</v>
      </c>
      <c r="Y11" s="51">
        <v>43104</v>
      </c>
      <c r="Z11" s="52">
        <f t="shared" si="1"/>
        <v>82915000</v>
      </c>
      <c r="AA11" s="50"/>
      <c r="AB11" s="50">
        <v>225</v>
      </c>
      <c r="AC11" s="53">
        <v>43105</v>
      </c>
      <c r="AD11" s="44">
        <v>82915000</v>
      </c>
      <c r="AE11" s="70">
        <v>0</v>
      </c>
      <c r="AF11" s="50">
        <v>387</v>
      </c>
      <c r="AG11" s="50">
        <v>43124</v>
      </c>
      <c r="AH11" s="55">
        <v>82915000</v>
      </c>
      <c r="AI11" s="50" t="s">
        <v>96</v>
      </c>
      <c r="AJ11" s="50">
        <v>309</v>
      </c>
      <c r="AK11" s="64"/>
      <c r="AL11" s="55">
        <v>82915000</v>
      </c>
      <c r="AM11" s="69">
        <v>49749000</v>
      </c>
      <c r="AN11" s="69">
        <v>33166000</v>
      </c>
      <c r="AO11" s="58" t="s">
        <v>67</v>
      </c>
      <c r="AP11" s="64"/>
      <c r="AQ11" s="64"/>
      <c r="AR11" s="64"/>
      <c r="AS11" s="64"/>
      <c r="AT11" s="64"/>
      <c r="AU11" s="64"/>
      <c r="AV11" s="64"/>
      <c r="AW11" s="220"/>
    </row>
    <row r="12" spans="1:49" s="221" customFormat="1" ht="285" x14ac:dyDescent="0.25">
      <c r="A12" s="47">
        <v>8</v>
      </c>
      <c r="B12" s="47" t="s">
        <v>97</v>
      </c>
      <c r="C12" s="123" t="s">
        <v>49</v>
      </c>
      <c r="D12" s="63" t="s">
        <v>50</v>
      </c>
      <c r="E12" s="47" t="s">
        <v>89</v>
      </c>
      <c r="F12" s="63" t="s">
        <v>52</v>
      </c>
      <c r="G12" s="63" t="s">
        <v>53</v>
      </c>
      <c r="H12" s="124" t="s">
        <v>54</v>
      </c>
      <c r="I12" s="63" t="s">
        <v>55</v>
      </c>
      <c r="J12" s="63" t="s">
        <v>56</v>
      </c>
      <c r="K12" s="126">
        <v>801116</v>
      </c>
      <c r="L12" s="126" t="s">
        <v>57</v>
      </c>
      <c r="M12" s="47" t="s">
        <v>58</v>
      </c>
      <c r="N12" s="47" t="s">
        <v>59</v>
      </c>
      <c r="O12" s="125" t="s">
        <v>60</v>
      </c>
      <c r="P12" s="47" t="s">
        <v>98</v>
      </c>
      <c r="Q12" s="44">
        <v>3326900</v>
      </c>
      <c r="R12" s="45">
        <v>1</v>
      </c>
      <c r="S12" s="44">
        <f t="shared" si="0"/>
        <v>38259350</v>
      </c>
      <c r="T12" s="48" t="s">
        <v>62</v>
      </c>
      <c r="U12" s="48" t="s">
        <v>63</v>
      </c>
      <c r="V12" s="49" t="s">
        <v>64</v>
      </c>
      <c r="W12" s="48">
        <v>11.5</v>
      </c>
      <c r="X12" s="50" t="s">
        <v>99</v>
      </c>
      <c r="Y12" s="51">
        <v>43104</v>
      </c>
      <c r="Z12" s="52">
        <f t="shared" si="1"/>
        <v>38259350</v>
      </c>
      <c r="AA12" s="50"/>
      <c r="AB12" s="50">
        <v>226</v>
      </c>
      <c r="AC12" s="53">
        <v>43105</v>
      </c>
      <c r="AD12" s="44">
        <v>38259350</v>
      </c>
      <c r="AE12" s="70">
        <v>0</v>
      </c>
      <c r="AF12" s="50">
        <v>280</v>
      </c>
      <c r="AG12" s="50">
        <v>43122</v>
      </c>
      <c r="AH12" s="55">
        <v>38259350</v>
      </c>
      <c r="AI12" s="50" t="s">
        <v>100</v>
      </c>
      <c r="AJ12" s="50">
        <v>250</v>
      </c>
      <c r="AK12" s="64"/>
      <c r="AL12" s="55">
        <v>38259350</v>
      </c>
      <c r="AM12" s="69">
        <v>24286370</v>
      </c>
      <c r="AN12" s="69">
        <v>13972980</v>
      </c>
      <c r="AO12" s="58" t="s">
        <v>67</v>
      </c>
      <c r="AP12" s="64"/>
      <c r="AQ12" s="64"/>
      <c r="AR12" s="64"/>
      <c r="AS12" s="64"/>
      <c r="AT12" s="64"/>
      <c r="AU12" s="64"/>
      <c r="AV12" s="64"/>
      <c r="AW12" s="220"/>
    </row>
    <row r="13" spans="1:49" s="221" customFormat="1" ht="199.5" x14ac:dyDescent="0.25">
      <c r="A13" s="47">
        <v>9</v>
      </c>
      <c r="B13" s="47" t="s">
        <v>101</v>
      </c>
      <c r="C13" s="123" t="s">
        <v>49</v>
      </c>
      <c r="D13" s="63" t="s">
        <v>50</v>
      </c>
      <c r="E13" s="47" t="s">
        <v>51</v>
      </c>
      <c r="F13" s="63" t="s">
        <v>52</v>
      </c>
      <c r="G13" s="63" t="s">
        <v>53</v>
      </c>
      <c r="H13" s="124" t="s">
        <v>54</v>
      </c>
      <c r="I13" s="63" t="s">
        <v>55</v>
      </c>
      <c r="J13" s="63" t="s">
        <v>56</v>
      </c>
      <c r="K13" s="126">
        <v>801116</v>
      </c>
      <c r="L13" s="126" t="s">
        <v>57</v>
      </c>
      <c r="M13" s="47" t="s">
        <v>58</v>
      </c>
      <c r="N13" s="47" t="s">
        <v>59</v>
      </c>
      <c r="O13" s="125" t="s">
        <v>60</v>
      </c>
      <c r="P13" s="47" t="s">
        <v>102</v>
      </c>
      <c r="Q13" s="44">
        <v>4532000</v>
      </c>
      <c r="R13" s="45">
        <v>1</v>
      </c>
      <c r="S13" s="46">
        <f t="shared" si="0"/>
        <v>13596000</v>
      </c>
      <c r="T13" s="48" t="s">
        <v>62</v>
      </c>
      <c r="U13" s="48" t="s">
        <v>63</v>
      </c>
      <c r="V13" s="49" t="s">
        <v>64</v>
      </c>
      <c r="W13" s="48">
        <v>3</v>
      </c>
      <c r="X13" s="50" t="s">
        <v>103</v>
      </c>
      <c r="Y13" s="51">
        <v>43104</v>
      </c>
      <c r="Z13" s="52">
        <f t="shared" si="1"/>
        <v>13596000</v>
      </c>
      <c r="AA13" s="50"/>
      <c r="AB13" s="50">
        <v>228</v>
      </c>
      <c r="AC13" s="53">
        <v>43105</v>
      </c>
      <c r="AD13" s="44">
        <v>13596000</v>
      </c>
      <c r="AE13" s="70">
        <v>0</v>
      </c>
      <c r="AF13" s="50">
        <v>343</v>
      </c>
      <c r="AG13" s="50">
        <v>43123</v>
      </c>
      <c r="AH13" s="55">
        <v>13596000</v>
      </c>
      <c r="AI13" s="50" t="s">
        <v>104</v>
      </c>
      <c r="AJ13" s="50">
        <v>347</v>
      </c>
      <c r="AK13" s="64"/>
      <c r="AL13" s="55">
        <v>13596000</v>
      </c>
      <c r="AM13" s="69">
        <v>13596000</v>
      </c>
      <c r="AN13" s="69">
        <v>0</v>
      </c>
      <c r="AO13" s="58" t="s">
        <v>67</v>
      </c>
      <c r="AP13" s="64"/>
      <c r="AQ13" s="64"/>
      <c r="AR13" s="64"/>
      <c r="AS13" s="64"/>
      <c r="AT13" s="64"/>
      <c r="AU13" s="64"/>
      <c r="AV13" s="64"/>
      <c r="AW13" s="220"/>
    </row>
    <row r="14" spans="1:49" s="221" customFormat="1" ht="270.75" x14ac:dyDescent="0.25">
      <c r="A14" s="47">
        <v>10</v>
      </c>
      <c r="B14" s="47" t="s">
        <v>105</v>
      </c>
      <c r="C14" s="123" t="s">
        <v>49</v>
      </c>
      <c r="D14" s="63" t="s">
        <v>50</v>
      </c>
      <c r="E14" s="47" t="s">
        <v>89</v>
      </c>
      <c r="F14" s="63" t="s">
        <v>52</v>
      </c>
      <c r="G14" s="63" t="s">
        <v>53</v>
      </c>
      <c r="H14" s="124" t="s">
        <v>54</v>
      </c>
      <c r="I14" s="63" t="s">
        <v>55</v>
      </c>
      <c r="J14" s="63" t="s">
        <v>56</v>
      </c>
      <c r="K14" s="126">
        <v>801116</v>
      </c>
      <c r="L14" s="126" t="s">
        <v>57</v>
      </c>
      <c r="M14" s="47" t="s">
        <v>58</v>
      </c>
      <c r="N14" s="47" t="s">
        <v>59</v>
      </c>
      <c r="O14" s="125" t="s">
        <v>60</v>
      </c>
      <c r="P14" s="47" t="s">
        <v>106</v>
      </c>
      <c r="Q14" s="44">
        <v>1545000</v>
      </c>
      <c r="R14" s="45">
        <v>1</v>
      </c>
      <c r="S14" s="44">
        <f t="shared" si="0"/>
        <v>17767500</v>
      </c>
      <c r="T14" s="48" t="s">
        <v>62</v>
      </c>
      <c r="U14" s="48" t="s">
        <v>63</v>
      </c>
      <c r="V14" s="49" t="s">
        <v>64</v>
      </c>
      <c r="W14" s="48">
        <v>11.5</v>
      </c>
      <c r="X14" s="50" t="s">
        <v>107</v>
      </c>
      <c r="Y14" s="51">
        <v>43104</v>
      </c>
      <c r="Z14" s="52">
        <f t="shared" si="1"/>
        <v>17767500</v>
      </c>
      <c r="AA14" s="50"/>
      <c r="AB14" s="50">
        <v>177</v>
      </c>
      <c r="AC14" s="53">
        <v>43105</v>
      </c>
      <c r="AD14" s="44">
        <v>17767500</v>
      </c>
      <c r="AE14" s="70">
        <v>0</v>
      </c>
      <c r="AF14" s="50">
        <v>218</v>
      </c>
      <c r="AG14" s="50">
        <v>43118</v>
      </c>
      <c r="AH14" s="55">
        <v>17767500</v>
      </c>
      <c r="AI14" s="50" t="s">
        <v>108</v>
      </c>
      <c r="AJ14" s="50">
        <v>186</v>
      </c>
      <c r="AK14" s="64"/>
      <c r="AL14" s="55">
        <v>17767500</v>
      </c>
      <c r="AM14" s="69">
        <v>11433000</v>
      </c>
      <c r="AN14" s="69">
        <v>6334500</v>
      </c>
      <c r="AO14" s="58" t="s">
        <v>67</v>
      </c>
      <c r="AP14" s="64"/>
      <c r="AQ14" s="64"/>
      <c r="AR14" s="64"/>
      <c r="AS14" s="64"/>
      <c r="AT14" s="64"/>
      <c r="AU14" s="64"/>
      <c r="AV14" s="64"/>
      <c r="AW14" s="220"/>
    </row>
    <row r="15" spans="1:49" s="221" customFormat="1" ht="213.75" x14ac:dyDescent="0.25">
      <c r="A15" s="47">
        <v>11</v>
      </c>
      <c r="B15" s="47" t="s">
        <v>109</v>
      </c>
      <c r="C15" s="123" t="s">
        <v>49</v>
      </c>
      <c r="D15" s="63" t="s">
        <v>50</v>
      </c>
      <c r="E15" s="47" t="s">
        <v>89</v>
      </c>
      <c r="F15" s="63" t="s">
        <v>52</v>
      </c>
      <c r="G15" s="63" t="s">
        <v>53</v>
      </c>
      <c r="H15" s="124" t="s">
        <v>54</v>
      </c>
      <c r="I15" s="63" t="s">
        <v>55</v>
      </c>
      <c r="J15" s="63" t="s">
        <v>56</v>
      </c>
      <c r="K15" s="126">
        <v>801116</v>
      </c>
      <c r="L15" s="126" t="s">
        <v>57</v>
      </c>
      <c r="M15" s="47" t="s">
        <v>58</v>
      </c>
      <c r="N15" s="47" t="s">
        <v>59</v>
      </c>
      <c r="O15" s="125" t="s">
        <v>60</v>
      </c>
      <c r="P15" s="47" t="s">
        <v>110</v>
      </c>
      <c r="Q15" s="44">
        <v>3553500</v>
      </c>
      <c r="R15" s="45">
        <v>1</v>
      </c>
      <c r="S15" s="44">
        <f t="shared" si="0"/>
        <v>40865250</v>
      </c>
      <c r="T15" s="48" t="s">
        <v>62</v>
      </c>
      <c r="U15" s="48" t="s">
        <v>63</v>
      </c>
      <c r="V15" s="49" t="s">
        <v>64</v>
      </c>
      <c r="W15" s="48">
        <v>11.5</v>
      </c>
      <c r="X15" s="50" t="s">
        <v>111</v>
      </c>
      <c r="Y15" s="51">
        <v>43104</v>
      </c>
      <c r="Z15" s="52">
        <f t="shared" si="1"/>
        <v>40865250</v>
      </c>
      <c r="AA15" s="50"/>
      <c r="AB15" s="50">
        <v>180</v>
      </c>
      <c r="AC15" s="53">
        <v>43105</v>
      </c>
      <c r="AD15" s="44">
        <v>40865250</v>
      </c>
      <c r="AE15" s="70">
        <v>0</v>
      </c>
      <c r="AF15" s="50">
        <v>372</v>
      </c>
      <c r="AG15" s="50">
        <v>43124</v>
      </c>
      <c r="AH15" s="55">
        <v>40865250</v>
      </c>
      <c r="AI15" s="50" t="s">
        <v>112</v>
      </c>
      <c r="AJ15" s="50">
        <v>326</v>
      </c>
      <c r="AK15" s="64"/>
      <c r="AL15" s="55">
        <v>40865250</v>
      </c>
      <c r="AM15" s="69">
        <v>25585200</v>
      </c>
      <c r="AN15" s="69">
        <v>15280050</v>
      </c>
      <c r="AO15" s="58" t="s">
        <v>67</v>
      </c>
      <c r="AP15" s="64"/>
      <c r="AQ15" s="64"/>
      <c r="AR15" s="64"/>
      <c r="AS15" s="64"/>
      <c r="AT15" s="64"/>
      <c r="AU15" s="64"/>
      <c r="AV15" s="64"/>
      <c r="AW15" s="220"/>
    </row>
    <row r="16" spans="1:49" s="221" customFormat="1" ht="409.5" x14ac:dyDescent="0.25">
      <c r="A16" s="47">
        <v>12</v>
      </c>
      <c r="B16" s="47" t="s">
        <v>113</v>
      </c>
      <c r="C16" s="123" t="s">
        <v>49</v>
      </c>
      <c r="D16" s="63" t="s">
        <v>50</v>
      </c>
      <c r="E16" s="47" t="s">
        <v>89</v>
      </c>
      <c r="F16" s="63" t="s">
        <v>52</v>
      </c>
      <c r="G16" s="63" t="s">
        <v>53</v>
      </c>
      <c r="H16" s="124" t="s">
        <v>54</v>
      </c>
      <c r="I16" s="63" t="s">
        <v>55</v>
      </c>
      <c r="J16" s="63" t="s">
        <v>56</v>
      </c>
      <c r="K16" s="126">
        <v>801116</v>
      </c>
      <c r="L16" s="126" t="s">
        <v>57</v>
      </c>
      <c r="M16" s="47" t="s">
        <v>58</v>
      </c>
      <c r="N16" s="47" t="s">
        <v>59</v>
      </c>
      <c r="O16" s="125" t="s">
        <v>60</v>
      </c>
      <c r="P16" s="47" t="s">
        <v>114</v>
      </c>
      <c r="Q16" s="44">
        <v>6180000</v>
      </c>
      <c r="R16" s="45">
        <v>1</v>
      </c>
      <c r="S16" s="44">
        <f t="shared" si="0"/>
        <v>71070000</v>
      </c>
      <c r="T16" s="48" t="s">
        <v>62</v>
      </c>
      <c r="U16" s="48" t="s">
        <v>63</v>
      </c>
      <c r="V16" s="49" t="s">
        <v>64</v>
      </c>
      <c r="W16" s="48">
        <v>11.5</v>
      </c>
      <c r="X16" s="50" t="s">
        <v>115</v>
      </c>
      <c r="Y16" s="51">
        <v>43104</v>
      </c>
      <c r="Z16" s="52">
        <f t="shared" si="1"/>
        <v>71070000</v>
      </c>
      <c r="AA16" s="50"/>
      <c r="AB16" s="50">
        <v>184</v>
      </c>
      <c r="AC16" s="53">
        <v>43105</v>
      </c>
      <c r="AD16" s="44">
        <v>71070000</v>
      </c>
      <c r="AE16" s="70">
        <v>0</v>
      </c>
      <c r="AF16" s="50">
        <v>469</v>
      </c>
      <c r="AG16" s="50">
        <v>43126</v>
      </c>
      <c r="AH16" s="55">
        <v>71070000</v>
      </c>
      <c r="AI16" s="50" t="s">
        <v>116</v>
      </c>
      <c r="AJ16" s="50">
        <v>396</v>
      </c>
      <c r="AK16" s="64"/>
      <c r="AL16" s="55">
        <v>71070000</v>
      </c>
      <c r="AM16" s="69">
        <v>43672000</v>
      </c>
      <c r="AN16" s="69">
        <v>27398000</v>
      </c>
      <c r="AO16" s="58" t="s">
        <v>67</v>
      </c>
      <c r="AP16" s="64"/>
      <c r="AQ16" s="64"/>
      <c r="AR16" s="64"/>
      <c r="AS16" s="64"/>
      <c r="AT16" s="64"/>
      <c r="AU16" s="64"/>
      <c r="AV16" s="64"/>
      <c r="AW16" s="220"/>
    </row>
    <row r="17" spans="1:49" s="221" customFormat="1" ht="409.5" x14ac:dyDescent="0.25">
      <c r="A17" s="47">
        <v>13</v>
      </c>
      <c r="B17" s="47" t="s">
        <v>117</v>
      </c>
      <c r="C17" s="123" t="s">
        <v>49</v>
      </c>
      <c r="D17" s="63" t="s">
        <v>50</v>
      </c>
      <c r="E17" s="47" t="s">
        <v>51</v>
      </c>
      <c r="F17" s="63" t="s">
        <v>52</v>
      </c>
      <c r="G17" s="63" t="s">
        <v>53</v>
      </c>
      <c r="H17" s="124" t="s">
        <v>54</v>
      </c>
      <c r="I17" s="63" t="s">
        <v>55</v>
      </c>
      <c r="J17" s="63" t="s">
        <v>56</v>
      </c>
      <c r="K17" s="126">
        <v>801116</v>
      </c>
      <c r="L17" s="126" t="s">
        <v>57</v>
      </c>
      <c r="M17" s="47" t="s">
        <v>58</v>
      </c>
      <c r="N17" s="47" t="s">
        <v>59</v>
      </c>
      <c r="O17" s="125" t="s">
        <v>60</v>
      </c>
      <c r="P17" s="47" t="s">
        <v>118</v>
      </c>
      <c r="Q17" s="44">
        <v>11900000</v>
      </c>
      <c r="R17" s="45">
        <v>1</v>
      </c>
      <c r="S17" s="46">
        <f t="shared" si="0"/>
        <v>136850000</v>
      </c>
      <c r="T17" s="48" t="s">
        <v>62</v>
      </c>
      <c r="U17" s="48" t="s">
        <v>63</v>
      </c>
      <c r="V17" s="49" t="s">
        <v>64</v>
      </c>
      <c r="W17" s="48">
        <v>11.5</v>
      </c>
      <c r="X17" s="50" t="s">
        <v>119</v>
      </c>
      <c r="Y17" s="51">
        <v>43104</v>
      </c>
      <c r="Z17" s="52">
        <f t="shared" si="1"/>
        <v>136850000</v>
      </c>
      <c r="AA17" s="50"/>
      <c r="AB17" s="50">
        <v>187</v>
      </c>
      <c r="AC17" s="53">
        <v>43105</v>
      </c>
      <c r="AD17" s="44">
        <v>136850000</v>
      </c>
      <c r="AE17" s="70">
        <v>0</v>
      </c>
      <c r="AF17" s="50">
        <v>117</v>
      </c>
      <c r="AG17" s="50">
        <v>43117</v>
      </c>
      <c r="AH17" s="55">
        <v>136850000</v>
      </c>
      <c r="AI17" s="50" t="s">
        <v>120</v>
      </c>
      <c r="AJ17" s="50">
        <v>96</v>
      </c>
      <c r="AK17" s="64"/>
      <c r="AL17" s="55">
        <v>136850000</v>
      </c>
      <c r="AM17" s="69">
        <v>88853333</v>
      </c>
      <c r="AN17" s="69">
        <v>47996667</v>
      </c>
      <c r="AO17" s="58" t="s">
        <v>67</v>
      </c>
      <c r="AP17" s="64"/>
      <c r="AQ17" s="64"/>
      <c r="AR17" s="64"/>
      <c r="AS17" s="64"/>
      <c r="AT17" s="64"/>
      <c r="AU17" s="64"/>
      <c r="AV17" s="64"/>
      <c r="AW17" s="220"/>
    </row>
    <row r="18" spans="1:49" s="221" customFormat="1" ht="409.5" x14ac:dyDescent="0.25">
      <c r="A18" s="47">
        <v>14</v>
      </c>
      <c r="B18" s="47" t="s">
        <v>121</v>
      </c>
      <c r="C18" s="123" t="s">
        <v>49</v>
      </c>
      <c r="D18" s="63" t="s">
        <v>50</v>
      </c>
      <c r="E18" s="47" t="s">
        <v>89</v>
      </c>
      <c r="F18" s="63" t="s">
        <v>52</v>
      </c>
      <c r="G18" s="63" t="s">
        <v>53</v>
      </c>
      <c r="H18" s="124" t="s">
        <v>54</v>
      </c>
      <c r="I18" s="63" t="s">
        <v>55</v>
      </c>
      <c r="J18" s="63" t="s">
        <v>56</v>
      </c>
      <c r="K18" s="126">
        <v>801116</v>
      </c>
      <c r="L18" s="126" t="s">
        <v>57</v>
      </c>
      <c r="M18" s="47" t="s">
        <v>58</v>
      </c>
      <c r="N18" s="47" t="s">
        <v>59</v>
      </c>
      <c r="O18" s="125" t="s">
        <v>60</v>
      </c>
      <c r="P18" s="47" t="s">
        <v>122</v>
      </c>
      <c r="Q18" s="44">
        <v>5253000</v>
      </c>
      <c r="R18" s="45">
        <v>1</v>
      </c>
      <c r="S18" s="44">
        <f t="shared" si="0"/>
        <v>60409500</v>
      </c>
      <c r="T18" s="48" t="s">
        <v>62</v>
      </c>
      <c r="U18" s="48" t="s">
        <v>63</v>
      </c>
      <c r="V18" s="49" t="s">
        <v>64</v>
      </c>
      <c r="W18" s="48">
        <v>11.5</v>
      </c>
      <c r="X18" s="50" t="s">
        <v>123</v>
      </c>
      <c r="Y18" s="51">
        <v>43104</v>
      </c>
      <c r="Z18" s="52">
        <f t="shared" si="1"/>
        <v>60409500</v>
      </c>
      <c r="AA18" s="50"/>
      <c r="AB18" s="50">
        <v>218</v>
      </c>
      <c r="AC18" s="53">
        <v>43105</v>
      </c>
      <c r="AD18" s="44">
        <v>60409500</v>
      </c>
      <c r="AE18" s="70">
        <v>0</v>
      </c>
      <c r="AF18" s="50">
        <v>229</v>
      </c>
      <c r="AG18" s="50">
        <v>43118</v>
      </c>
      <c r="AH18" s="55">
        <v>60409500</v>
      </c>
      <c r="AI18" s="50" t="s">
        <v>124</v>
      </c>
      <c r="AJ18" s="50">
        <v>201</v>
      </c>
      <c r="AK18" s="64"/>
      <c r="AL18" s="55">
        <v>60409500</v>
      </c>
      <c r="AM18" s="69">
        <v>38872200</v>
      </c>
      <c r="AN18" s="69">
        <v>21537300</v>
      </c>
      <c r="AO18" s="58" t="s">
        <v>67</v>
      </c>
      <c r="AP18" s="64"/>
      <c r="AQ18" s="64"/>
      <c r="AR18" s="64"/>
      <c r="AS18" s="64"/>
      <c r="AT18" s="64"/>
      <c r="AU18" s="64"/>
      <c r="AV18" s="64"/>
      <c r="AW18" s="220"/>
    </row>
    <row r="19" spans="1:49" s="221" customFormat="1" ht="327.75" x14ac:dyDescent="0.25">
      <c r="A19" s="47">
        <v>15</v>
      </c>
      <c r="B19" s="47" t="s">
        <v>125</v>
      </c>
      <c r="C19" s="123" t="s">
        <v>49</v>
      </c>
      <c r="D19" s="63" t="s">
        <v>50</v>
      </c>
      <c r="E19" s="47" t="s">
        <v>89</v>
      </c>
      <c r="F19" s="63" t="s">
        <v>52</v>
      </c>
      <c r="G19" s="63" t="s">
        <v>53</v>
      </c>
      <c r="H19" s="124" t="s">
        <v>54</v>
      </c>
      <c r="I19" s="63" t="s">
        <v>55</v>
      </c>
      <c r="J19" s="63" t="s">
        <v>56</v>
      </c>
      <c r="K19" s="126">
        <v>801116</v>
      </c>
      <c r="L19" s="126" t="s">
        <v>57</v>
      </c>
      <c r="M19" s="47" t="s">
        <v>58</v>
      </c>
      <c r="N19" s="47" t="s">
        <v>59</v>
      </c>
      <c r="O19" s="125" t="s">
        <v>60</v>
      </c>
      <c r="P19" s="47" t="s">
        <v>126</v>
      </c>
      <c r="Q19" s="44">
        <v>4532000</v>
      </c>
      <c r="R19" s="45">
        <v>1</v>
      </c>
      <c r="S19" s="44">
        <f t="shared" si="0"/>
        <v>52118000</v>
      </c>
      <c r="T19" s="48" t="s">
        <v>62</v>
      </c>
      <c r="U19" s="48" t="s">
        <v>63</v>
      </c>
      <c r="V19" s="49" t="s">
        <v>64</v>
      </c>
      <c r="W19" s="48">
        <v>11.5</v>
      </c>
      <c r="X19" s="50" t="s">
        <v>127</v>
      </c>
      <c r="Y19" s="51">
        <v>43104</v>
      </c>
      <c r="Z19" s="52">
        <f t="shared" si="1"/>
        <v>52118000</v>
      </c>
      <c r="AA19" s="50"/>
      <c r="AB19" s="50">
        <v>224</v>
      </c>
      <c r="AC19" s="53">
        <v>43105</v>
      </c>
      <c r="AD19" s="44">
        <v>52118000</v>
      </c>
      <c r="AE19" s="70">
        <v>0</v>
      </c>
      <c r="AF19" s="50">
        <v>133</v>
      </c>
      <c r="AG19" s="50">
        <v>43117</v>
      </c>
      <c r="AH19" s="55">
        <v>52118000</v>
      </c>
      <c r="AI19" s="50" t="s">
        <v>128</v>
      </c>
      <c r="AJ19" s="50">
        <v>142</v>
      </c>
      <c r="AK19" s="64"/>
      <c r="AL19" s="55">
        <v>52118000</v>
      </c>
      <c r="AM19" s="69">
        <v>33687867</v>
      </c>
      <c r="AN19" s="69">
        <v>18430133</v>
      </c>
      <c r="AO19" s="58" t="s">
        <v>67</v>
      </c>
      <c r="AP19" s="64"/>
      <c r="AQ19" s="64"/>
      <c r="AR19" s="64"/>
      <c r="AS19" s="64"/>
      <c r="AT19" s="64"/>
      <c r="AU19" s="64"/>
      <c r="AV19" s="64"/>
      <c r="AW19" s="220"/>
    </row>
    <row r="20" spans="1:49" s="221" customFormat="1" ht="409.5" x14ac:dyDescent="0.25">
      <c r="A20" s="47">
        <v>16</v>
      </c>
      <c r="B20" s="47" t="s">
        <v>129</v>
      </c>
      <c r="C20" s="123" t="s">
        <v>49</v>
      </c>
      <c r="D20" s="63" t="s">
        <v>50</v>
      </c>
      <c r="E20" s="47" t="s">
        <v>51</v>
      </c>
      <c r="F20" s="63" t="s">
        <v>52</v>
      </c>
      <c r="G20" s="63" t="s">
        <v>53</v>
      </c>
      <c r="H20" s="124" t="s">
        <v>54</v>
      </c>
      <c r="I20" s="63" t="s">
        <v>55</v>
      </c>
      <c r="J20" s="63" t="s">
        <v>56</v>
      </c>
      <c r="K20" s="126">
        <v>801116</v>
      </c>
      <c r="L20" s="126" t="s">
        <v>57</v>
      </c>
      <c r="M20" s="47" t="s">
        <v>58</v>
      </c>
      <c r="N20" s="47" t="s">
        <v>59</v>
      </c>
      <c r="O20" s="125" t="s">
        <v>60</v>
      </c>
      <c r="P20" s="47" t="s">
        <v>130</v>
      </c>
      <c r="Q20" s="44">
        <v>12900000</v>
      </c>
      <c r="R20" s="45">
        <v>1</v>
      </c>
      <c r="S20" s="46">
        <f t="shared" si="0"/>
        <v>148350000</v>
      </c>
      <c r="T20" s="48" t="s">
        <v>62</v>
      </c>
      <c r="U20" s="48" t="s">
        <v>63</v>
      </c>
      <c r="V20" s="49" t="s">
        <v>64</v>
      </c>
      <c r="W20" s="48">
        <v>11.5</v>
      </c>
      <c r="X20" s="50" t="s">
        <v>131</v>
      </c>
      <c r="Y20" s="51">
        <v>43104</v>
      </c>
      <c r="Z20" s="52">
        <f t="shared" si="1"/>
        <v>148350000</v>
      </c>
      <c r="AA20" s="50"/>
      <c r="AB20" s="50">
        <v>227</v>
      </c>
      <c r="AC20" s="53">
        <v>43105</v>
      </c>
      <c r="AD20" s="44">
        <v>148350000</v>
      </c>
      <c r="AE20" s="70">
        <v>0</v>
      </c>
      <c r="AF20" s="50">
        <v>38</v>
      </c>
      <c r="AG20" s="50">
        <v>43116</v>
      </c>
      <c r="AH20" s="55">
        <v>148350000</v>
      </c>
      <c r="AI20" s="50" t="s">
        <v>132</v>
      </c>
      <c r="AJ20" s="50">
        <v>35</v>
      </c>
      <c r="AK20" s="64"/>
      <c r="AL20" s="55">
        <v>148350000</v>
      </c>
      <c r="AM20" s="69">
        <v>96320000</v>
      </c>
      <c r="AN20" s="69">
        <v>52030000</v>
      </c>
      <c r="AO20" s="58" t="s">
        <v>67</v>
      </c>
      <c r="AP20" s="64"/>
      <c r="AQ20" s="64"/>
      <c r="AR20" s="64"/>
      <c r="AS20" s="64"/>
      <c r="AT20" s="64"/>
      <c r="AU20" s="64"/>
      <c r="AV20" s="64"/>
      <c r="AW20" s="220"/>
    </row>
    <row r="21" spans="1:49" s="221" customFormat="1" ht="256.5" x14ac:dyDescent="0.25">
      <c r="A21" s="47">
        <v>17</v>
      </c>
      <c r="B21" s="47" t="s">
        <v>133</v>
      </c>
      <c r="C21" s="123" t="s">
        <v>49</v>
      </c>
      <c r="D21" s="63" t="s">
        <v>50</v>
      </c>
      <c r="E21" s="47" t="s">
        <v>89</v>
      </c>
      <c r="F21" s="63" t="s">
        <v>52</v>
      </c>
      <c r="G21" s="63" t="s">
        <v>53</v>
      </c>
      <c r="H21" s="124" t="s">
        <v>54</v>
      </c>
      <c r="I21" s="63" t="s">
        <v>55</v>
      </c>
      <c r="J21" s="63" t="s">
        <v>56</v>
      </c>
      <c r="K21" s="126">
        <v>801116</v>
      </c>
      <c r="L21" s="126" t="s">
        <v>57</v>
      </c>
      <c r="M21" s="47" t="s">
        <v>58</v>
      </c>
      <c r="N21" s="47" t="s">
        <v>59</v>
      </c>
      <c r="O21" s="125" t="s">
        <v>60</v>
      </c>
      <c r="P21" s="47" t="s">
        <v>134</v>
      </c>
      <c r="Q21" s="44">
        <v>4120000</v>
      </c>
      <c r="R21" s="45">
        <v>1</v>
      </c>
      <c r="S21" s="44">
        <f t="shared" si="0"/>
        <v>47380000</v>
      </c>
      <c r="T21" s="48" t="s">
        <v>62</v>
      </c>
      <c r="U21" s="48" t="s">
        <v>63</v>
      </c>
      <c r="V21" s="49" t="s">
        <v>64</v>
      </c>
      <c r="W21" s="48">
        <v>11.5</v>
      </c>
      <c r="X21" s="50" t="s">
        <v>135</v>
      </c>
      <c r="Y21" s="51">
        <v>43104</v>
      </c>
      <c r="Z21" s="52">
        <f t="shared" si="1"/>
        <v>47380000</v>
      </c>
      <c r="AA21" s="50"/>
      <c r="AB21" s="50">
        <v>229</v>
      </c>
      <c r="AC21" s="53">
        <v>43105</v>
      </c>
      <c r="AD21" s="44">
        <v>47380000</v>
      </c>
      <c r="AE21" s="70">
        <v>0</v>
      </c>
      <c r="AF21" s="50">
        <v>216</v>
      </c>
      <c r="AG21" s="50">
        <v>43118</v>
      </c>
      <c r="AH21" s="55">
        <v>47380000</v>
      </c>
      <c r="AI21" s="50" t="s">
        <v>136</v>
      </c>
      <c r="AJ21" s="50">
        <v>175</v>
      </c>
      <c r="AK21" s="64">
        <v>175</v>
      </c>
      <c r="AL21" s="55">
        <v>47380000</v>
      </c>
      <c r="AM21" s="69">
        <v>30488000</v>
      </c>
      <c r="AN21" s="69">
        <v>16892000</v>
      </c>
      <c r="AO21" s="58" t="s">
        <v>67</v>
      </c>
      <c r="AP21" s="64"/>
      <c r="AQ21" s="64"/>
      <c r="AR21" s="64"/>
      <c r="AS21" s="64"/>
      <c r="AT21" s="64"/>
      <c r="AU21" s="64"/>
      <c r="AV21" s="64"/>
      <c r="AW21" s="220"/>
    </row>
    <row r="22" spans="1:49" s="221" customFormat="1" ht="409.5" x14ac:dyDescent="0.25">
      <c r="A22" s="47">
        <v>18</v>
      </c>
      <c r="B22" s="47" t="s">
        <v>137</v>
      </c>
      <c r="C22" s="123" t="s">
        <v>49</v>
      </c>
      <c r="D22" s="63" t="s">
        <v>50</v>
      </c>
      <c r="E22" s="47" t="s">
        <v>89</v>
      </c>
      <c r="F22" s="63" t="s">
        <v>52</v>
      </c>
      <c r="G22" s="63" t="s">
        <v>53</v>
      </c>
      <c r="H22" s="124" t="s">
        <v>54</v>
      </c>
      <c r="I22" s="63" t="s">
        <v>55</v>
      </c>
      <c r="J22" s="63" t="s">
        <v>56</v>
      </c>
      <c r="K22" s="126">
        <v>801116</v>
      </c>
      <c r="L22" s="126" t="s">
        <v>57</v>
      </c>
      <c r="M22" s="47" t="s">
        <v>58</v>
      </c>
      <c r="N22" s="47" t="s">
        <v>59</v>
      </c>
      <c r="O22" s="125" t="s">
        <v>60</v>
      </c>
      <c r="P22" s="47" t="s">
        <v>138</v>
      </c>
      <c r="Q22" s="44">
        <v>5665000</v>
      </c>
      <c r="R22" s="45">
        <v>1</v>
      </c>
      <c r="S22" s="44">
        <f t="shared" si="0"/>
        <v>65147500</v>
      </c>
      <c r="T22" s="48" t="s">
        <v>62</v>
      </c>
      <c r="U22" s="48" t="s">
        <v>63</v>
      </c>
      <c r="V22" s="49" t="s">
        <v>64</v>
      </c>
      <c r="W22" s="48">
        <v>11.5</v>
      </c>
      <c r="X22" s="50" t="s">
        <v>139</v>
      </c>
      <c r="Y22" s="51">
        <v>43104</v>
      </c>
      <c r="Z22" s="52">
        <f t="shared" si="1"/>
        <v>65147500</v>
      </c>
      <c r="AA22" s="50"/>
      <c r="AB22" s="50">
        <v>231</v>
      </c>
      <c r="AC22" s="53">
        <v>43105</v>
      </c>
      <c r="AD22" s="44">
        <v>65147500</v>
      </c>
      <c r="AE22" s="70">
        <v>0</v>
      </c>
      <c r="AF22" s="50">
        <v>88</v>
      </c>
      <c r="AG22" s="50">
        <v>43116</v>
      </c>
      <c r="AH22" s="55">
        <v>65147500</v>
      </c>
      <c r="AI22" s="50" t="s">
        <v>140</v>
      </c>
      <c r="AJ22" s="50">
        <v>73</v>
      </c>
      <c r="AK22" s="64"/>
      <c r="AL22" s="55">
        <v>65147500</v>
      </c>
      <c r="AM22" s="69">
        <v>42298667</v>
      </c>
      <c r="AN22" s="69">
        <v>22848833</v>
      </c>
      <c r="AO22" s="58" t="s">
        <v>67</v>
      </c>
      <c r="AP22" s="64"/>
      <c r="AQ22" s="64"/>
      <c r="AR22" s="64"/>
      <c r="AS22" s="64"/>
      <c r="AT22" s="64"/>
      <c r="AU22" s="64"/>
      <c r="AV22" s="64"/>
      <c r="AW22" s="220"/>
    </row>
    <row r="23" spans="1:49" s="221" customFormat="1" ht="370.5" x14ac:dyDescent="0.25">
      <c r="A23" s="47">
        <v>19</v>
      </c>
      <c r="B23" s="47" t="s">
        <v>141</v>
      </c>
      <c r="C23" s="123" t="s">
        <v>49</v>
      </c>
      <c r="D23" s="63" t="s">
        <v>50</v>
      </c>
      <c r="E23" s="47" t="s">
        <v>89</v>
      </c>
      <c r="F23" s="63" t="s">
        <v>52</v>
      </c>
      <c r="G23" s="63" t="s">
        <v>53</v>
      </c>
      <c r="H23" s="124" t="s">
        <v>54</v>
      </c>
      <c r="I23" s="63" t="s">
        <v>55</v>
      </c>
      <c r="J23" s="63" t="s">
        <v>56</v>
      </c>
      <c r="K23" s="126">
        <v>801116</v>
      </c>
      <c r="L23" s="126" t="s">
        <v>57</v>
      </c>
      <c r="M23" s="47" t="s">
        <v>58</v>
      </c>
      <c r="N23" s="47" t="s">
        <v>59</v>
      </c>
      <c r="O23" s="125" t="s">
        <v>60</v>
      </c>
      <c r="P23" s="47" t="s">
        <v>142</v>
      </c>
      <c r="Q23" s="44">
        <v>5253000</v>
      </c>
      <c r="R23" s="45">
        <v>1</v>
      </c>
      <c r="S23" s="44">
        <f t="shared" si="0"/>
        <v>60409500</v>
      </c>
      <c r="T23" s="48" t="s">
        <v>62</v>
      </c>
      <c r="U23" s="48" t="s">
        <v>63</v>
      </c>
      <c r="V23" s="49" t="s">
        <v>64</v>
      </c>
      <c r="W23" s="48">
        <v>11.5</v>
      </c>
      <c r="X23" s="50" t="s">
        <v>143</v>
      </c>
      <c r="Y23" s="51">
        <v>43104</v>
      </c>
      <c r="Z23" s="52">
        <f t="shared" si="1"/>
        <v>60409500</v>
      </c>
      <c r="AA23" s="50"/>
      <c r="AB23" s="50">
        <v>233</v>
      </c>
      <c r="AC23" s="53">
        <v>43105</v>
      </c>
      <c r="AD23" s="44">
        <v>60409500</v>
      </c>
      <c r="AE23" s="70">
        <v>0</v>
      </c>
      <c r="AF23" s="50">
        <v>95</v>
      </c>
      <c r="AG23" s="50">
        <v>43116</v>
      </c>
      <c r="AH23" s="55">
        <v>60409500</v>
      </c>
      <c r="AI23" s="50" t="s">
        <v>144</v>
      </c>
      <c r="AJ23" s="50">
        <v>72</v>
      </c>
      <c r="AK23" s="64"/>
      <c r="AL23" s="55">
        <v>60409500</v>
      </c>
      <c r="AM23" s="69">
        <v>39222400</v>
      </c>
      <c r="AN23" s="69">
        <v>21187100</v>
      </c>
      <c r="AO23" s="58" t="s">
        <v>67</v>
      </c>
      <c r="AP23" s="64"/>
      <c r="AQ23" s="64"/>
      <c r="AR23" s="64"/>
      <c r="AS23" s="64"/>
      <c r="AT23" s="64"/>
      <c r="AU23" s="64"/>
      <c r="AV23" s="64"/>
      <c r="AW23" s="220"/>
    </row>
    <row r="24" spans="1:49" s="221" customFormat="1" ht="213.75" x14ac:dyDescent="0.25">
      <c r="A24" s="47">
        <v>20</v>
      </c>
      <c r="B24" s="47" t="s">
        <v>145</v>
      </c>
      <c r="C24" s="123" t="s">
        <v>49</v>
      </c>
      <c r="D24" s="63" t="s">
        <v>50</v>
      </c>
      <c r="E24" s="47" t="s">
        <v>89</v>
      </c>
      <c r="F24" s="63" t="s">
        <v>52</v>
      </c>
      <c r="G24" s="63" t="s">
        <v>53</v>
      </c>
      <c r="H24" s="124" t="s">
        <v>54</v>
      </c>
      <c r="I24" s="63" t="s">
        <v>55</v>
      </c>
      <c r="J24" s="63" t="s">
        <v>56</v>
      </c>
      <c r="K24" s="126">
        <v>801116</v>
      </c>
      <c r="L24" s="126" t="s">
        <v>57</v>
      </c>
      <c r="M24" s="47" t="s">
        <v>58</v>
      </c>
      <c r="N24" s="47" t="s">
        <v>59</v>
      </c>
      <c r="O24" s="125" t="s">
        <v>60</v>
      </c>
      <c r="P24" s="47" t="s">
        <v>110</v>
      </c>
      <c r="Q24" s="44">
        <v>3553500</v>
      </c>
      <c r="R24" s="45">
        <v>1</v>
      </c>
      <c r="S24" s="44">
        <f t="shared" si="0"/>
        <v>40865250</v>
      </c>
      <c r="T24" s="48" t="s">
        <v>62</v>
      </c>
      <c r="U24" s="48" t="s">
        <v>63</v>
      </c>
      <c r="V24" s="49" t="s">
        <v>64</v>
      </c>
      <c r="W24" s="48">
        <v>11.5</v>
      </c>
      <c r="X24" s="50" t="s">
        <v>146</v>
      </c>
      <c r="Y24" s="51">
        <v>43104</v>
      </c>
      <c r="Z24" s="52">
        <f t="shared" si="1"/>
        <v>40865250</v>
      </c>
      <c r="AA24" s="50"/>
      <c r="AB24" s="50">
        <v>243</v>
      </c>
      <c r="AC24" s="53">
        <v>43105</v>
      </c>
      <c r="AD24" s="44">
        <v>40865250</v>
      </c>
      <c r="AE24" s="70">
        <v>0</v>
      </c>
      <c r="AF24" s="50">
        <v>255</v>
      </c>
      <c r="AG24" s="50">
        <v>43119</v>
      </c>
      <c r="AH24" s="55">
        <v>40865250</v>
      </c>
      <c r="AI24" s="50" t="s">
        <v>147</v>
      </c>
      <c r="AJ24" s="50">
        <v>231</v>
      </c>
      <c r="AK24" s="64"/>
      <c r="AL24" s="55">
        <v>40865250</v>
      </c>
      <c r="AM24" s="69">
        <v>25940550</v>
      </c>
      <c r="AN24" s="69">
        <v>14924700</v>
      </c>
      <c r="AO24" s="58" t="s">
        <v>67</v>
      </c>
      <c r="AP24" s="64"/>
      <c r="AQ24" s="64"/>
      <c r="AR24" s="64"/>
      <c r="AS24" s="64"/>
      <c r="AT24" s="64"/>
      <c r="AU24" s="64"/>
      <c r="AV24" s="64"/>
      <c r="AW24" s="220"/>
    </row>
    <row r="25" spans="1:49" s="221" customFormat="1" ht="370.5" x14ac:dyDescent="0.25">
      <c r="A25" s="47">
        <v>21</v>
      </c>
      <c r="B25" s="47" t="s">
        <v>148</v>
      </c>
      <c r="C25" s="123" t="s">
        <v>49</v>
      </c>
      <c r="D25" s="63" t="s">
        <v>50</v>
      </c>
      <c r="E25" s="47" t="s">
        <v>89</v>
      </c>
      <c r="F25" s="63" t="s">
        <v>52</v>
      </c>
      <c r="G25" s="63" t="s">
        <v>53</v>
      </c>
      <c r="H25" s="124" t="s">
        <v>54</v>
      </c>
      <c r="I25" s="63" t="s">
        <v>55</v>
      </c>
      <c r="J25" s="63" t="s">
        <v>56</v>
      </c>
      <c r="K25" s="126">
        <v>801116</v>
      </c>
      <c r="L25" s="126" t="s">
        <v>57</v>
      </c>
      <c r="M25" s="47" t="s">
        <v>58</v>
      </c>
      <c r="N25" s="47" t="s">
        <v>59</v>
      </c>
      <c r="O25" s="125" t="s">
        <v>60</v>
      </c>
      <c r="P25" s="47" t="s">
        <v>94</v>
      </c>
      <c r="Q25" s="44">
        <v>5665000</v>
      </c>
      <c r="R25" s="47">
        <v>1</v>
      </c>
      <c r="S25" s="44">
        <f>+Q25*R25*W25-65147500</f>
        <v>0</v>
      </c>
      <c r="T25" s="48" t="s">
        <v>62</v>
      </c>
      <c r="U25" s="48" t="s">
        <v>63</v>
      </c>
      <c r="V25" s="49" t="s">
        <v>64</v>
      </c>
      <c r="W25" s="48">
        <v>11.5</v>
      </c>
      <c r="X25" s="48" t="s">
        <v>149</v>
      </c>
      <c r="Y25" s="60">
        <v>43104</v>
      </c>
      <c r="Z25" s="44">
        <f t="shared" si="1"/>
        <v>0</v>
      </c>
      <c r="AA25" s="64"/>
      <c r="AB25" s="50">
        <v>0</v>
      </c>
      <c r="AC25" s="60">
        <v>43105</v>
      </c>
      <c r="AD25" s="50">
        <v>0</v>
      </c>
      <c r="AE25" s="64"/>
      <c r="AF25" s="50">
        <v>0</v>
      </c>
      <c r="AG25" s="50">
        <v>0</v>
      </c>
      <c r="AH25" s="55">
        <v>0</v>
      </c>
      <c r="AI25" s="50">
        <v>0</v>
      </c>
      <c r="AJ25" s="50">
        <v>0</v>
      </c>
      <c r="AK25" s="64"/>
      <c r="AL25" s="55">
        <v>0</v>
      </c>
      <c r="AM25" s="55">
        <v>0</v>
      </c>
      <c r="AN25" s="64"/>
      <c r="AO25" s="58" t="s">
        <v>67</v>
      </c>
      <c r="AP25" s="64"/>
      <c r="AQ25" s="58" t="s">
        <v>150</v>
      </c>
      <c r="AR25" s="61">
        <v>43150</v>
      </c>
      <c r="AS25" s="58" t="s">
        <v>78</v>
      </c>
      <c r="AT25" s="64"/>
      <c r="AU25" s="58" t="s">
        <v>79</v>
      </c>
      <c r="AV25" s="64"/>
      <c r="AW25" s="220"/>
    </row>
    <row r="26" spans="1:49" s="221" customFormat="1" ht="409.5" x14ac:dyDescent="0.25">
      <c r="A26" s="47">
        <v>22</v>
      </c>
      <c r="B26" s="47" t="s">
        <v>151</v>
      </c>
      <c r="C26" s="123" t="s">
        <v>49</v>
      </c>
      <c r="D26" s="63" t="s">
        <v>50</v>
      </c>
      <c r="E26" s="47" t="s">
        <v>89</v>
      </c>
      <c r="F26" s="63" t="s">
        <v>52</v>
      </c>
      <c r="G26" s="63" t="s">
        <v>53</v>
      </c>
      <c r="H26" s="124" t="s">
        <v>54</v>
      </c>
      <c r="I26" s="63" t="s">
        <v>55</v>
      </c>
      <c r="J26" s="63" t="s">
        <v>56</v>
      </c>
      <c r="K26" s="126">
        <v>801116</v>
      </c>
      <c r="L26" s="126" t="s">
        <v>57</v>
      </c>
      <c r="M26" s="47" t="s">
        <v>58</v>
      </c>
      <c r="N26" s="47" t="s">
        <v>59</v>
      </c>
      <c r="O26" s="125" t="s">
        <v>60</v>
      </c>
      <c r="P26" s="47" t="s">
        <v>152</v>
      </c>
      <c r="Q26" s="44">
        <v>3553500</v>
      </c>
      <c r="R26" s="45">
        <v>1</v>
      </c>
      <c r="S26" s="44">
        <f t="shared" si="0"/>
        <v>31981500</v>
      </c>
      <c r="T26" s="48" t="s">
        <v>62</v>
      </c>
      <c r="U26" s="48" t="s">
        <v>63</v>
      </c>
      <c r="V26" s="49" t="s">
        <v>64</v>
      </c>
      <c r="W26" s="48">
        <v>9</v>
      </c>
      <c r="X26" s="50" t="s">
        <v>153</v>
      </c>
      <c r="Y26" s="51">
        <v>43104</v>
      </c>
      <c r="Z26" s="52">
        <f t="shared" si="1"/>
        <v>31981500</v>
      </c>
      <c r="AA26" s="50"/>
      <c r="AB26" s="50">
        <v>240</v>
      </c>
      <c r="AC26" s="53">
        <v>43105</v>
      </c>
      <c r="AD26" s="44">
        <v>31981500</v>
      </c>
      <c r="AE26" s="70">
        <v>0</v>
      </c>
      <c r="AF26" s="50">
        <v>301</v>
      </c>
      <c r="AG26" s="50">
        <v>43122</v>
      </c>
      <c r="AH26" s="55">
        <v>31981500</v>
      </c>
      <c r="AI26" s="50" t="s">
        <v>154</v>
      </c>
      <c r="AJ26" s="50">
        <v>266</v>
      </c>
      <c r="AK26" s="64"/>
      <c r="AL26" s="55">
        <v>31981500</v>
      </c>
      <c r="AM26" s="69">
        <v>25822100</v>
      </c>
      <c r="AN26" s="69">
        <v>6159400</v>
      </c>
      <c r="AO26" s="58" t="s">
        <v>67</v>
      </c>
      <c r="AP26" s="64"/>
      <c r="AQ26" s="64"/>
      <c r="AR26" s="64"/>
      <c r="AS26" s="64"/>
      <c r="AT26" s="64"/>
      <c r="AU26" s="64"/>
      <c r="AV26" s="64"/>
      <c r="AW26" s="220"/>
    </row>
    <row r="27" spans="1:49" s="221" customFormat="1" ht="384.75" x14ac:dyDescent="0.25">
      <c r="A27" s="47">
        <v>23</v>
      </c>
      <c r="B27" s="47" t="s">
        <v>155</v>
      </c>
      <c r="C27" s="123" t="s">
        <v>49</v>
      </c>
      <c r="D27" s="63" t="s">
        <v>50</v>
      </c>
      <c r="E27" s="47" t="s">
        <v>51</v>
      </c>
      <c r="F27" s="63" t="s">
        <v>52</v>
      </c>
      <c r="G27" s="63" t="s">
        <v>53</v>
      </c>
      <c r="H27" s="124" t="s">
        <v>54</v>
      </c>
      <c r="I27" s="63" t="s">
        <v>55</v>
      </c>
      <c r="J27" s="63" t="s">
        <v>56</v>
      </c>
      <c r="K27" s="126">
        <v>801116</v>
      </c>
      <c r="L27" s="126" t="s">
        <v>57</v>
      </c>
      <c r="M27" s="47" t="s">
        <v>58</v>
      </c>
      <c r="N27" s="47" t="s">
        <v>59</v>
      </c>
      <c r="O27" s="125" t="s">
        <v>60</v>
      </c>
      <c r="P27" s="47" t="s">
        <v>156</v>
      </c>
      <c r="Q27" s="44">
        <v>8240000</v>
      </c>
      <c r="R27" s="45">
        <v>1</v>
      </c>
      <c r="S27" s="46">
        <f t="shared" si="0"/>
        <v>94760000</v>
      </c>
      <c r="T27" s="48" t="s">
        <v>62</v>
      </c>
      <c r="U27" s="48" t="s">
        <v>63</v>
      </c>
      <c r="V27" s="49" t="s">
        <v>64</v>
      </c>
      <c r="W27" s="48">
        <v>11.5</v>
      </c>
      <c r="X27" s="50" t="s">
        <v>157</v>
      </c>
      <c r="Y27" s="51">
        <v>43104</v>
      </c>
      <c r="Z27" s="52">
        <f t="shared" si="1"/>
        <v>94760000</v>
      </c>
      <c r="AA27" s="50"/>
      <c r="AB27" s="50">
        <v>241</v>
      </c>
      <c r="AC27" s="53">
        <v>43105</v>
      </c>
      <c r="AD27" s="44">
        <v>94760000</v>
      </c>
      <c r="AE27" s="70">
        <v>0</v>
      </c>
      <c r="AF27" s="50">
        <v>136</v>
      </c>
      <c r="AG27" s="50">
        <v>43117</v>
      </c>
      <c r="AH27" s="55">
        <v>94760000</v>
      </c>
      <c r="AI27" s="50" t="s">
        <v>158</v>
      </c>
      <c r="AJ27" s="50">
        <v>114</v>
      </c>
      <c r="AK27" s="64"/>
      <c r="AL27" s="55">
        <v>94760000</v>
      </c>
      <c r="AM27" s="69">
        <v>61250666</v>
      </c>
      <c r="AN27" s="69">
        <v>33509334</v>
      </c>
      <c r="AO27" s="58" t="s">
        <v>67</v>
      </c>
      <c r="AP27" s="64"/>
      <c r="AQ27" s="64"/>
      <c r="AR27" s="64"/>
      <c r="AS27" s="64"/>
      <c r="AT27" s="64"/>
      <c r="AU27" s="64"/>
      <c r="AV27" s="64"/>
      <c r="AW27" s="220"/>
    </row>
    <row r="28" spans="1:49" s="221" customFormat="1" ht="399" x14ac:dyDescent="0.25">
      <c r="A28" s="47">
        <v>24</v>
      </c>
      <c r="B28" s="47" t="s">
        <v>159</v>
      </c>
      <c r="C28" s="123" t="s">
        <v>49</v>
      </c>
      <c r="D28" s="63" t="s">
        <v>50</v>
      </c>
      <c r="E28" s="47" t="s">
        <v>89</v>
      </c>
      <c r="F28" s="63" t="s">
        <v>52</v>
      </c>
      <c r="G28" s="63" t="s">
        <v>53</v>
      </c>
      <c r="H28" s="124" t="s">
        <v>54</v>
      </c>
      <c r="I28" s="63" t="s">
        <v>55</v>
      </c>
      <c r="J28" s="63" t="s">
        <v>56</v>
      </c>
      <c r="K28" s="126">
        <v>801116</v>
      </c>
      <c r="L28" s="126" t="s">
        <v>57</v>
      </c>
      <c r="M28" s="47" t="s">
        <v>58</v>
      </c>
      <c r="N28" s="47" t="s">
        <v>59</v>
      </c>
      <c r="O28" s="125" t="s">
        <v>60</v>
      </c>
      <c r="P28" s="47" t="s">
        <v>160</v>
      </c>
      <c r="Q28" s="44">
        <v>7210000</v>
      </c>
      <c r="R28" s="45">
        <v>1</v>
      </c>
      <c r="S28" s="44">
        <f t="shared" si="0"/>
        <v>82915000</v>
      </c>
      <c r="T28" s="48" t="s">
        <v>62</v>
      </c>
      <c r="U28" s="48" t="s">
        <v>63</v>
      </c>
      <c r="V28" s="49" t="s">
        <v>64</v>
      </c>
      <c r="W28" s="48">
        <v>11.5</v>
      </c>
      <c r="X28" s="50" t="s">
        <v>161</v>
      </c>
      <c r="Y28" s="51">
        <v>43104</v>
      </c>
      <c r="Z28" s="52">
        <f t="shared" si="1"/>
        <v>82915000</v>
      </c>
      <c r="AA28" s="50"/>
      <c r="AB28" s="50">
        <v>242</v>
      </c>
      <c r="AC28" s="53">
        <v>43105</v>
      </c>
      <c r="AD28" s="44">
        <v>82915000</v>
      </c>
      <c r="AE28" s="70">
        <v>0</v>
      </c>
      <c r="AF28" s="50">
        <v>138</v>
      </c>
      <c r="AG28" s="50">
        <v>43117</v>
      </c>
      <c r="AH28" s="55">
        <v>82915000</v>
      </c>
      <c r="AI28" s="50" t="s">
        <v>162</v>
      </c>
      <c r="AJ28" s="50">
        <v>115</v>
      </c>
      <c r="AK28" s="64"/>
      <c r="AL28" s="55">
        <v>82915000</v>
      </c>
      <c r="AM28" s="69">
        <v>53594333</v>
      </c>
      <c r="AN28" s="69">
        <v>29320667</v>
      </c>
      <c r="AO28" s="58" t="s">
        <v>67</v>
      </c>
      <c r="AP28" s="64"/>
      <c r="AQ28" s="64"/>
      <c r="AR28" s="64"/>
      <c r="AS28" s="64"/>
      <c r="AT28" s="64"/>
      <c r="AU28" s="64"/>
      <c r="AV28" s="64"/>
      <c r="AW28" s="220"/>
    </row>
    <row r="29" spans="1:49" s="221" customFormat="1" ht="270.75" x14ac:dyDescent="0.25">
      <c r="A29" s="47">
        <v>25</v>
      </c>
      <c r="B29" s="47" t="s">
        <v>163</v>
      </c>
      <c r="C29" s="123" t="s">
        <v>49</v>
      </c>
      <c r="D29" s="63" t="s">
        <v>50</v>
      </c>
      <c r="E29" s="47" t="s">
        <v>89</v>
      </c>
      <c r="F29" s="63" t="s">
        <v>52</v>
      </c>
      <c r="G29" s="63" t="s">
        <v>53</v>
      </c>
      <c r="H29" s="124" t="s">
        <v>54</v>
      </c>
      <c r="I29" s="63" t="s">
        <v>55</v>
      </c>
      <c r="J29" s="63" t="s">
        <v>56</v>
      </c>
      <c r="K29" s="126">
        <v>801116</v>
      </c>
      <c r="L29" s="126" t="s">
        <v>57</v>
      </c>
      <c r="M29" s="47" t="s">
        <v>58</v>
      </c>
      <c r="N29" s="47" t="s">
        <v>59</v>
      </c>
      <c r="O29" s="125" t="s">
        <v>60</v>
      </c>
      <c r="P29" s="47" t="s">
        <v>164</v>
      </c>
      <c r="Q29" s="44">
        <v>3326900</v>
      </c>
      <c r="R29" s="45">
        <v>1</v>
      </c>
      <c r="S29" s="44">
        <f t="shared" si="0"/>
        <v>38259350</v>
      </c>
      <c r="T29" s="48" t="s">
        <v>62</v>
      </c>
      <c r="U29" s="48" t="s">
        <v>63</v>
      </c>
      <c r="V29" s="49" t="s">
        <v>64</v>
      </c>
      <c r="W29" s="48">
        <v>11.5</v>
      </c>
      <c r="X29" s="50" t="s">
        <v>165</v>
      </c>
      <c r="Y29" s="51">
        <v>43104</v>
      </c>
      <c r="Z29" s="52">
        <f t="shared" si="1"/>
        <v>38259350</v>
      </c>
      <c r="AA29" s="50"/>
      <c r="AB29" s="50">
        <v>244</v>
      </c>
      <c r="AC29" s="53">
        <v>43105</v>
      </c>
      <c r="AD29" s="44">
        <v>38259350</v>
      </c>
      <c r="AE29" s="70">
        <v>0</v>
      </c>
      <c r="AF29" s="50">
        <v>84</v>
      </c>
      <c r="AG29" s="50">
        <v>43116</v>
      </c>
      <c r="AH29" s="55">
        <v>38259350</v>
      </c>
      <c r="AI29" s="50" t="s">
        <v>166</v>
      </c>
      <c r="AJ29" s="50">
        <v>82</v>
      </c>
      <c r="AK29" s="64"/>
      <c r="AL29" s="55">
        <v>38259350</v>
      </c>
      <c r="AM29" s="69">
        <v>24840854</v>
      </c>
      <c r="AN29" s="69">
        <v>13418496</v>
      </c>
      <c r="AO29" s="58" t="s">
        <v>67</v>
      </c>
      <c r="AP29" s="64"/>
      <c r="AQ29" s="64"/>
      <c r="AR29" s="64"/>
      <c r="AS29" s="64"/>
      <c r="AT29" s="64"/>
      <c r="AU29" s="64"/>
      <c r="AV29" s="64"/>
      <c r="AW29" s="220"/>
    </row>
    <row r="30" spans="1:49" s="221" customFormat="1" ht="213.75" x14ac:dyDescent="0.25">
      <c r="A30" s="47">
        <v>26</v>
      </c>
      <c r="B30" s="47" t="s">
        <v>167</v>
      </c>
      <c r="C30" s="123" t="s">
        <v>49</v>
      </c>
      <c r="D30" s="63" t="s">
        <v>50</v>
      </c>
      <c r="E30" s="47" t="s">
        <v>89</v>
      </c>
      <c r="F30" s="63" t="s">
        <v>52</v>
      </c>
      <c r="G30" s="63" t="s">
        <v>53</v>
      </c>
      <c r="H30" s="124" t="s">
        <v>54</v>
      </c>
      <c r="I30" s="63" t="s">
        <v>55</v>
      </c>
      <c r="J30" s="63" t="s">
        <v>56</v>
      </c>
      <c r="K30" s="126">
        <v>801116</v>
      </c>
      <c r="L30" s="126" t="s">
        <v>57</v>
      </c>
      <c r="M30" s="47" t="s">
        <v>58</v>
      </c>
      <c r="N30" s="47" t="s">
        <v>59</v>
      </c>
      <c r="O30" s="125" t="s">
        <v>60</v>
      </c>
      <c r="P30" s="47" t="s">
        <v>110</v>
      </c>
      <c r="Q30" s="44">
        <v>3553500</v>
      </c>
      <c r="R30" s="45">
        <v>1</v>
      </c>
      <c r="S30" s="44">
        <f t="shared" si="0"/>
        <v>40865250</v>
      </c>
      <c r="T30" s="48" t="s">
        <v>168</v>
      </c>
      <c r="U30" s="48" t="s">
        <v>63</v>
      </c>
      <c r="V30" s="49" t="s">
        <v>64</v>
      </c>
      <c r="W30" s="48">
        <v>11.5</v>
      </c>
      <c r="X30" s="50" t="s">
        <v>169</v>
      </c>
      <c r="Y30" s="51">
        <v>43104</v>
      </c>
      <c r="Z30" s="52">
        <f t="shared" si="1"/>
        <v>40865250</v>
      </c>
      <c r="AA30" s="50"/>
      <c r="AB30" s="50">
        <v>245</v>
      </c>
      <c r="AC30" s="53">
        <v>43105</v>
      </c>
      <c r="AD30" s="44">
        <v>40865250</v>
      </c>
      <c r="AE30" s="70">
        <v>0</v>
      </c>
      <c r="AF30" s="50">
        <v>234</v>
      </c>
      <c r="AG30" s="50">
        <v>43119</v>
      </c>
      <c r="AH30" s="55">
        <v>40865250</v>
      </c>
      <c r="AI30" s="50" t="s">
        <v>170</v>
      </c>
      <c r="AJ30" s="50">
        <v>210</v>
      </c>
      <c r="AK30" s="64"/>
      <c r="AL30" s="55">
        <v>40865250</v>
      </c>
      <c r="AM30" s="69">
        <v>26295900</v>
      </c>
      <c r="AN30" s="69">
        <v>14569350</v>
      </c>
      <c r="AO30" s="58" t="s">
        <v>67</v>
      </c>
      <c r="AP30" s="64"/>
      <c r="AQ30" s="64"/>
      <c r="AR30" s="64"/>
      <c r="AS30" s="64"/>
      <c r="AT30" s="64"/>
      <c r="AU30" s="64"/>
      <c r="AV30" s="64"/>
      <c r="AW30" s="220"/>
    </row>
    <row r="31" spans="1:49" s="221" customFormat="1" ht="199.5" x14ac:dyDescent="0.25">
      <c r="A31" s="47">
        <v>27</v>
      </c>
      <c r="B31" s="47" t="s">
        <v>171</v>
      </c>
      <c r="C31" s="123" t="s">
        <v>49</v>
      </c>
      <c r="D31" s="63" t="s">
        <v>50</v>
      </c>
      <c r="E31" s="47" t="s">
        <v>51</v>
      </c>
      <c r="F31" s="63" t="s">
        <v>52</v>
      </c>
      <c r="G31" s="63" t="s">
        <v>53</v>
      </c>
      <c r="H31" s="124" t="s">
        <v>54</v>
      </c>
      <c r="I31" s="63" t="s">
        <v>55</v>
      </c>
      <c r="J31" s="63" t="s">
        <v>56</v>
      </c>
      <c r="K31" s="126">
        <v>801116</v>
      </c>
      <c r="L31" s="126" t="s">
        <v>57</v>
      </c>
      <c r="M31" s="47" t="s">
        <v>58</v>
      </c>
      <c r="N31" s="47" t="s">
        <v>59</v>
      </c>
      <c r="O31" s="125" t="s">
        <v>60</v>
      </c>
      <c r="P31" s="47" t="s">
        <v>172</v>
      </c>
      <c r="Q31" s="44">
        <v>7210000</v>
      </c>
      <c r="R31" s="45">
        <v>1</v>
      </c>
      <c r="S31" s="46">
        <f t="shared" si="0"/>
        <v>82915000</v>
      </c>
      <c r="T31" s="48" t="s">
        <v>168</v>
      </c>
      <c r="U31" s="48" t="s">
        <v>63</v>
      </c>
      <c r="V31" s="49" t="s">
        <v>64</v>
      </c>
      <c r="W31" s="48">
        <v>11.5</v>
      </c>
      <c r="X31" s="50" t="s">
        <v>173</v>
      </c>
      <c r="Y31" s="51">
        <v>43104</v>
      </c>
      <c r="Z31" s="52">
        <f t="shared" si="1"/>
        <v>82915000</v>
      </c>
      <c r="AA31" s="50"/>
      <c r="AB31" s="50">
        <v>246</v>
      </c>
      <c r="AC31" s="53">
        <v>43105</v>
      </c>
      <c r="AD31" s="44">
        <v>82915000</v>
      </c>
      <c r="AE31" s="70">
        <v>0</v>
      </c>
      <c r="AF31" s="50">
        <v>297</v>
      </c>
      <c r="AG31" s="50">
        <v>43122</v>
      </c>
      <c r="AH31" s="55">
        <v>82915000</v>
      </c>
      <c r="AI31" s="50" t="s">
        <v>174</v>
      </c>
      <c r="AJ31" s="50">
        <v>270</v>
      </c>
      <c r="AK31" s="64"/>
      <c r="AL31" s="55">
        <v>82915000</v>
      </c>
      <c r="AM31" s="69">
        <v>52392667</v>
      </c>
      <c r="AN31" s="69">
        <v>30522333</v>
      </c>
      <c r="AO31" s="58" t="s">
        <v>67</v>
      </c>
      <c r="AP31" s="64"/>
      <c r="AQ31" s="64"/>
      <c r="AR31" s="64"/>
      <c r="AS31" s="64"/>
      <c r="AT31" s="64"/>
      <c r="AU31" s="64"/>
      <c r="AV31" s="64"/>
      <c r="AW31" s="220"/>
    </row>
    <row r="32" spans="1:49" s="221" customFormat="1" ht="370.5" x14ac:dyDescent="0.25">
      <c r="A32" s="47">
        <v>28</v>
      </c>
      <c r="B32" s="47" t="s">
        <v>175</v>
      </c>
      <c r="C32" s="123" t="s">
        <v>49</v>
      </c>
      <c r="D32" s="63" t="s">
        <v>50</v>
      </c>
      <c r="E32" s="47" t="s">
        <v>89</v>
      </c>
      <c r="F32" s="63" t="s">
        <v>52</v>
      </c>
      <c r="G32" s="63" t="s">
        <v>53</v>
      </c>
      <c r="H32" s="124" t="s">
        <v>54</v>
      </c>
      <c r="I32" s="63" t="s">
        <v>55</v>
      </c>
      <c r="J32" s="63" t="s">
        <v>56</v>
      </c>
      <c r="K32" s="126">
        <v>801116</v>
      </c>
      <c r="L32" s="126" t="s">
        <v>57</v>
      </c>
      <c r="M32" s="47" t="s">
        <v>58</v>
      </c>
      <c r="N32" s="47" t="s">
        <v>59</v>
      </c>
      <c r="O32" s="125" t="s">
        <v>60</v>
      </c>
      <c r="P32" s="47" t="s">
        <v>142</v>
      </c>
      <c r="Q32" s="44">
        <v>5253000</v>
      </c>
      <c r="R32" s="45">
        <v>1</v>
      </c>
      <c r="S32" s="44">
        <f t="shared" si="0"/>
        <v>60409500</v>
      </c>
      <c r="T32" s="48" t="s">
        <v>168</v>
      </c>
      <c r="U32" s="48" t="s">
        <v>63</v>
      </c>
      <c r="V32" s="49" t="s">
        <v>64</v>
      </c>
      <c r="W32" s="48">
        <v>11.5</v>
      </c>
      <c r="X32" s="50" t="s">
        <v>176</v>
      </c>
      <c r="Y32" s="51">
        <v>43104</v>
      </c>
      <c r="Z32" s="52">
        <f t="shared" si="1"/>
        <v>60409500</v>
      </c>
      <c r="AA32" s="50"/>
      <c r="AB32" s="50">
        <v>247</v>
      </c>
      <c r="AC32" s="53">
        <v>43105</v>
      </c>
      <c r="AD32" s="44">
        <v>60409500</v>
      </c>
      <c r="AE32" s="70">
        <v>0</v>
      </c>
      <c r="AF32" s="50">
        <v>253</v>
      </c>
      <c r="AG32" s="50">
        <v>43119</v>
      </c>
      <c r="AH32" s="55">
        <v>60409500</v>
      </c>
      <c r="AI32" s="50" t="s">
        <v>177</v>
      </c>
      <c r="AJ32" s="50">
        <v>202</v>
      </c>
      <c r="AK32" s="64"/>
      <c r="AL32" s="55">
        <v>60409500</v>
      </c>
      <c r="AM32" s="69">
        <v>38872200</v>
      </c>
      <c r="AN32" s="69">
        <v>21537300</v>
      </c>
      <c r="AO32" s="58" t="s">
        <v>67</v>
      </c>
      <c r="AP32" s="64"/>
      <c r="AQ32" s="64"/>
      <c r="AR32" s="64"/>
      <c r="AS32" s="64"/>
      <c r="AT32" s="64"/>
      <c r="AU32" s="64"/>
      <c r="AV32" s="64"/>
      <c r="AW32" s="220"/>
    </row>
    <row r="33" spans="1:49" s="221" customFormat="1" ht="327.75" x14ac:dyDescent="0.25">
      <c r="A33" s="47">
        <v>29</v>
      </c>
      <c r="B33" s="47" t="s">
        <v>178</v>
      </c>
      <c r="C33" s="123" t="s">
        <v>49</v>
      </c>
      <c r="D33" s="63" t="s">
        <v>50</v>
      </c>
      <c r="E33" s="47" t="s">
        <v>89</v>
      </c>
      <c r="F33" s="63" t="s">
        <v>52</v>
      </c>
      <c r="G33" s="63" t="s">
        <v>53</v>
      </c>
      <c r="H33" s="124" t="s">
        <v>54</v>
      </c>
      <c r="I33" s="63" t="s">
        <v>55</v>
      </c>
      <c r="J33" s="63" t="s">
        <v>56</v>
      </c>
      <c r="K33" s="126">
        <v>801116</v>
      </c>
      <c r="L33" s="126" t="s">
        <v>57</v>
      </c>
      <c r="M33" s="47" t="s">
        <v>58</v>
      </c>
      <c r="N33" s="47" t="s">
        <v>59</v>
      </c>
      <c r="O33" s="125" t="s">
        <v>60</v>
      </c>
      <c r="P33" s="47" t="s">
        <v>179</v>
      </c>
      <c r="Q33" s="44">
        <v>8240000</v>
      </c>
      <c r="R33" s="45">
        <v>1</v>
      </c>
      <c r="S33" s="44">
        <f t="shared" si="0"/>
        <v>94760000</v>
      </c>
      <c r="T33" s="48" t="s">
        <v>168</v>
      </c>
      <c r="U33" s="48" t="s">
        <v>63</v>
      </c>
      <c r="V33" s="49" t="s">
        <v>64</v>
      </c>
      <c r="W33" s="48">
        <v>11.5</v>
      </c>
      <c r="X33" s="50" t="s">
        <v>180</v>
      </c>
      <c r="Y33" s="51">
        <v>43104</v>
      </c>
      <c r="Z33" s="52">
        <f t="shared" si="1"/>
        <v>94760000</v>
      </c>
      <c r="AA33" s="50"/>
      <c r="AB33" s="50">
        <v>248</v>
      </c>
      <c r="AC33" s="53">
        <v>43105</v>
      </c>
      <c r="AD33" s="44">
        <v>94760000</v>
      </c>
      <c r="AE33" s="70">
        <v>0</v>
      </c>
      <c r="AF33" s="50">
        <v>207</v>
      </c>
      <c r="AG33" s="50">
        <v>43118</v>
      </c>
      <c r="AH33" s="55">
        <v>94760000</v>
      </c>
      <c r="AI33" s="50" t="s">
        <v>181</v>
      </c>
      <c r="AJ33" s="50">
        <v>172</v>
      </c>
      <c r="AK33" s="64"/>
      <c r="AL33" s="55">
        <v>94760000</v>
      </c>
      <c r="AM33" s="69">
        <v>60976000</v>
      </c>
      <c r="AN33" s="69">
        <v>33784000</v>
      </c>
      <c r="AO33" s="58" t="s">
        <v>67</v>
      </c>
      <c r="AP33" s="64"/>
      <c r="AQ33" s="64"/>
      <c r="AR33" s="64"/>
      <c r="AS33" s="64"/>
      <c r="AT33" s="64"/>
      <c r="AU33" s="64"/>
      <c r="AV33" s="64"/>
      <c r="AW33" s="220"/>
    </row>
    <row r="34" spans="1:49" s="221" customFormat="1" ht="228" x14ac:dyDescent="0.25">
      <c r="A34" s="47">
        <v>30</v>
      </c>
      <c r="B34" s="47" t="s">
        <v>182</v>
      </c>
      <c r="C34" s="123" t="s">
        <v>49</v>
      </c>
      <c r="D34" s="63" t="s">
        <v>50</v>
      </c>
      <c r="E34" s="47" t="s">
        <v>51</v>
      </c>
      <c r="F34" s="63" t="s">
        <v>52</v>
      </c>
      <c r="G34" s="63" t="s">
        <v>53</v>
      </c>
      <c r="H34" s="124" t="s">
        <v>54</v>
      </c>
      <c r="I34" s="63" t="s">
        <v>55</v>
      </c>
      <c r="J34" s="63" t="s">
        <v>56</v>
      </c>
      <c r="K34" s="126">
        <v>801116</v>
      </c>
      <c r="L34" s="126" t="s">
        <v>57</v>
      </c>
      <c r="M34" s="47" t="s">
        <v>58</v>
      </c>
      <c r="N34" s="47" t="s">
        <v>59</v>
      </c>
      <c r="O34" s="125" t="s">
        <v>60</v>
      </c>
      <c r="P34" s="47" t="s">
        <v>183</v>
      </c>
      <c r="Q34" s="44">
        <v>7210000</v>
      </c>
      <c r="R34" s="45">
        <v>1</v>
      </c>
      <c r="S34" s="46">
        <f t="shared" si="0"/>
        <v>82915000</v>
      </c>
      <c r="T34" s="48" t="s">
        <v>168</v>
      </c>
      <c r="U34" s="48" t="s">
        <v>63</v>
      </c>
      <c r="V34" s="49" t="s">
        <v>64</v>
      </c>
      <c r="W34" s="48">
        <v>11.5</v>
      </c>
      <c r="X34" s="50" t="s">
        <v>184</v>
      </c>
      <c r="Y34" s="51">
        <v>43104</v>
      </c>
      <c r="Z34" s="52">
        <f t="shared" si="1"/>
        <v>82915000</v>
      </c>
      <c r="AA34" s="50"/>
      <c r="AB34" s="50">
        <v>249</v>
      </c>
      <c r="AC34" s="53">
        <v>43105</v>
      </c>
      <c r="AD34" s="44">
        <v>82915000</v>
      </c>
      <c r="AE34" s="70">
        <v>0</v>
      </c>
      <c r="AF34" s="50">
        <v>246</v>
      </c>
      <c r="AG34" s="50">
        <v>43119</v>
      </c>
      <c r="AH34" s="55">
        <v>82915000</v>
      </c>
      <c r="AI34" s="50" t="s">
        <v>185</v>
      </c>
      <c r="AJ34" s="50">
        <v>215</v>
      </c>
      <c r="AK34" s="64"/>
      <c r="AL34" s="55">
        <v>82915000</v>
      </c>
      <c r="AM34" s="69">
        <v>53354000</v>
      </c>
      <c r="AN34" s="69">
        <v>29561000</v>
      </c>
      <c r="AO34" s="58" t="s">
        <v>67</v>
      </c>
      <c r="AP34" s="64"/>
      <c r="AQ34" s="64"/>
      <c r="AR34" s="64"/>
      <c r="AS34" s="64"/>
      <c r="AT34" s="64"/>
      <c r="AU34" s="64"/>
      <c r="AV34" s="64"/>
      <c r="AW34" s="220"/>
    </row>
    <row r="35" spans="1:49" s="221" customFormat="1" ht="256.5" x14ac:dyDescent="0.25">
      <c r="A35" s="47">
        <v>31</v>
      </c>
      <c r="B35" s="47" t="s">
        <v>186</v>
      </c>
      <c r="C35" s="123" t="s">
        <v>49</v>
      </c>
      <c r="D35" s="63" t="s">
        <v>50</v>
      </c>
      <c r="E35" s="47" t="s">
        <v>89</v>
      </c>
      <c r="F35" s="63" t="s">
        <v>52</v>
      </c>
      <c r="G35" s="63" t="s">
        <v>53</v>
      </c>
      <c r="H35" s="124" t="s">
        <v>54</v>
      </c>
      <c r="I35" s="63" t="s">
        <v>55</v>
      </c>
      <c r="J35" s="63" t="s">
        <v>56</v>
      </c>
      <c r="K35" s="126">
        <v>801116</v>
      </c>
      <c r="L35" s="126" t="s">
        <v>57</v>
      </c>
      <c r="M35" s="47" t="s">
        <v>58</v>
      </c>
      <c r="N35" s="47" t="s">
        <v>59</v>
      </c>
      <c r="O35" s="125" t="s">
        <v>60</v>
      </c>
      <c r="P35" s="47" t="s">
        <v>187</v>
      </c>
      <c r="Q35" s="44">
        <v>5665000</v>
      </c>
      <c r="R35" s="45">
        <v>1</v>
      </c>
      <c r="S35" s="44">
        <f t="shared" si="0"/>
        <v>65147500</v>
      </c>
      <c r="T35" s="48" t="s">
        <v>168</v>
      </c>
      <c r="U35" s="48" t="s">
        <v>63</v>
      </c>
      <c r="V35" s="49" t="s">
        <v>64</v>
      </c>
      <c r="W35" s="48">
        <v>11.5</v>
      </c>
      <c r="X35" s="50" t="s">
        <v>188</v>
      </c>
      <c r="Y35" s="51">
        <v>43104</v>
      </c>
      <c r="Z35" s="52">
        <f t="shared" si="1"/>
        <v>65147500</v>
      </c>
      <c r="AA35" s="50"/>
      <c r="AB35" s="50">
        <v>250</v>
      </c>
      <c r="AC35" s="53">
        <v>43105</v>
      </c>
      <c r="AD35" s="44">
        <v>65147500</v>
      </c>
      <c r="AE35" s="70">
        <v>0</v>
      </c>
      <c r="AF35" s="50">
        <v>361</v>
      </c>
      <c r="AG35" s="50">
        <v>43123</v>
      </c>
      <c r="AH35" s="55">
        <v>30402167</v>
      </c>
      <c r="AI35" s="50" t="s">
        <v>189</v>
      </c>
      <c r="AJ35" s="50">
        <v>302</v>
      </c>
      <c r="AK35" s="64"/>
      <c r="AL35" s="55">
        <v>30402167</v>
      </c>
      <c r="AM35" s="69">
        <v>30402167</v>
      </c>
      <c r="AN35" s="69">
        <v>0</v>
      </c>
      <c r="AO35" s="58" t="s">
        <v>67</v>
      </c>
      <c r="AP35" s="64"/>
      <c r="AQ35" s="64"/>
      <c r="AR35" s="64"/>
      <c r="AS35" s="64"/>
      <c r="AT35" s="64"/>
      <c r="AU35" s="64"/>
      <c r="AV35" s="64"/>
      <c r="AW35" s="220"/>
    </row>
    <row r="36" spans="1:49" s="221" customFormat="1" ht="370.5" x14ac:dyDescent="0.25">
      <c r="A36" s="47">
        <v>32</v>
      </c>
      <c r="B36" s="47" t="s">
        <v>190</v>
      </c>
      <c r="C36" s="123" t="s">
        <v>49</v>
      </c>
      <c r="D36" s="63" t="s">
        <v>50</v>
      </c>
      <c r="E36" s="47" t="s">
        <v>89</v>
      </c>
      <c r="F36" s="63" t="s">
        <v>52</v>
      </c>
      <c r="G36" s="63" t="s">
        <v>53</v>
      </c>
      <c r="H36" s="124" t="s">
        <v>54</v>
      </c>
      <c r="I36" s="63" t="s">
        <v>55</v>
      </c>
      <c r="J36" s="63" t="s">
        <v>56</v>
      </c>
      <c r="K36" s="126">
        <v>801116</v>
      </c>
      <c r="L36" s="126" t="s">
        <v>57</v>
      </c>
      <c r="M36" s="47" t="s">
        <v>58</v>
      </c>
      <c r="N36" s="47" t="s">
        <v>59</v>
      </c>
      <c r="O36" s="125" t="s">
        <v>60</v>
      </c>
      <c r="P36" s="47" t="s">
        <v>94</v>
      </c>
      <c r="Q36" s="44">
        <v>5665000</v>
      </c>
      <c r="R36" s="45">
        <v>1</v>
      </c>
      <c r="S36" s="44">
        <f t="shared" si="0"/>
        <v>65147500</v>
      </c>
      <c r="T36" s="48" t="s">
        <v>168</v>
      </c>
      <c r="U36" s="48" t="s">
        <v>63</v>
      </c>
      <c r="V36" s="49" t="s">
        <v>64</v>
      </c>
      <c r="W36" s="48">
        <v>11.5</v>
      </c>
      <c r="X36" s="50" t="s">
        <v>191</v>
      </c>
      <c r="Y36" s="51">
        <v>43104</v>
      </c>
      <c r="Z36" s="52">
        <f t="shared" si="1"/>
        <v>65147500</v>
      </c>
      <c r="AA36" s="50"/>
      <c r="AB36" s="50">
        <v>251</v>
      </c>
      <c r="AC36" s="53">
        <v>43105</v>
      </c>
      <c r="AD36" s="44">
        <v>65147500</v>
      </c>
      <c r="AE36" s="70">
        <v>0</v>
      </c>
      <c r="AF36" s="50">
        <v>215</v>
      </c>
      <c r="AG36" s="50">
        <v>43118</v>
      </c>
      <c r="AH36" s="55">
        <v>65147500</v>
      </c>
      <c r="AI36" s="50" t="s">
        <v>192</v>
      </c>
      <c r="AJ36" s="50">
        <v>176</v>
      </c>
      <c r="AK36" s="64"/>
      <c r="AL36" s="55">
        <v>65147500</v>
      </c>
      <c r="AM36" s="69">
        <v>41921000</v>
      </c>
      <c r="AN36" s="69">
        <v>23226500</v>
      </c>
      <c r="AO36" s="58" t="s">
        <v>67</v>
      </c>
      <c r="AP36" s="64"/>
      <c r="AQ36" s="64"/>
      <c r="AR36" s="64"/>
      <c r="AS36" s="64"/>
      <c r="AT36" s="64"/>
      <c r="AU36" s="64"/>
      <c r="AV36" s="64"/>
      <c r="AW36" s="220"/>
    </row>
    <row r="37" spans="1:49" s="221" customFormat="1" ht="409.5" x14ac:dyDescent="0.25">
      <c r="A37" s="47">
        <v>33</v>
      </c>
      <c r="B37" s="47" t="s">
        <v>193</v>
      </c>
      <c r="C37" s="123" t="s">
        <v>49</v>
      </c>
      <c r="D37" s="63" t="s">
        <v>50</v>
      </c>
      <c r="E37" s="47" t="s">
        <v>89</v>
      </c>
      <c r="F37" s="63" t="s">
        <v>52</v>
      </c>
      <c r="G37" s="63" t="s">
        <v>53</v>
      </c>
      <c r="H37" s="124" t="s">
        <v>54</v>
      </c>
      <c r="I37" s="63" t="s">
        <v>55</v>
      </c>
      <c r="J37" s="63" t="s">
        <v>56</v>
      </c>
      <c r="K37" s="126">
        <v>801116</v>
      </c>
      <c r="L37" s="126" t="s">
        <v>57</v>
      </c>
      <c r="M37" s="47" t="s">
        <v>58</v>
      </c>
      <c r="N37" s="47" t="s">
        <v>59</v>
      </c>
      <c r="O37" s="125" t="s">
        <v>60</v>
      </c>
      <c r="P37" s="47" t="s">
        <v>194</v>
      </c>
      <c r="Q37" s="44">
        <v>7210000</v>
      </c>
      <c r="R37" s="45">
        <v>1</v>
      </c>
      <c r="S37" s="44">
        <f t="shared" si="0"/>
        <v>82915000</v>
      </c>
      <c r="T37" s="48" t="s">
        <v>168</v>
      </c>
      <c r="U37" s="48" t="s">
        <v>63</v>
      </c>
      <c r="V37" s="49" t="s">
        <v>64</v>
      </c>
      <c r="W37" s="48">
        <v>11.5</v>
      </c>
      <c r="X37" s="50" t="s">
        <v>195</v>
      </c>
      <c r="Y37" s="51">
        <v>43104</v>
      </c>
      <c r="Z37" s="52">
        <f t="shared" si="1"/>
        <v>82915000</v>
      </c>
      <c r="AA37" s="50"/>
      <c r="AB37" s="50">
        <v>252</v>
      </c>
      <c r="AC37" s="53">
        <v>43105</v>
      </c>
      <c r="AD37" s="44">
        <v>82915000</v>
      </c>
      <c r="AE37" s="70">
        <v>0</v>
      </c>
      <c r="AF37" s="50">
        <v>264</v>
      </c>
      <c r="AG37" s="50">
        <v>43119</v>
      </c>
      <c r="AH37" s="55">
        <v>82915000</v>
      </c>
      <c r="AI37" s="50" t="s">
        <v>196</v>
      </c>
      <c r="AJ37" s="50">
        <v>230</v>
      </c>
      <c r="AK37" s="64"/>
      <c r="AL37" s="55">
        <v>82915000</v>
      </c>
      <c r="AM37" s="69">
        <v>52633000</v>
      </c>
      <c r="AN37" s="69">
        <v>30282000</v>
      </c>
      <c r="AO37" s="58" t="s">
        <v>67</v>
      </c>
      <c r="AP37" s="64"/>
      <c r="AQ37" s="64"/>
      <c r="AR37" s="64"/>
      <c r="AS37" s="64"/>
      <c r="AT37" s="64"/>
      <c r="AU37" s="64"/>
      <c r="AV37" s="64"/>
      <c r="AW37" s="220"/>
    </row>
    <row r="38" spans="1:49" s="221" customFormat="1" ht="256.5" x14ac:dyDescent="0.25">
      <c r="A38" s="47">
        <v>34</v>
      </c>
      <c r="B38" s="47" t="s">
        <v>197</v>
      </c>
      <c r="C38" s="123" t="s">
        <v>49</v>
      </c>
      <c r="D38" s="63" t="s">
        <v>50</v>
      </c>
      <c r="E38" s="47" t="s">
        <v>89</v>
      </c>
      <c r="F38" s="63" t="s">
        <v>52</v>
      </c>
      <c r="G38" s="63" t="s">
        <v>53</v>
      </c>
      <c r="H38" s="124" t="s">
        <v>54</v>
      </c>
      <c r="I38" s="63" t="s">
        <v>55</v>
      </c>
      <c r="J38" s="63" t="s">
        <v>56</v>
      </c>
      <c r="K38" s="126">
        <v>801116</v>
      </c>
      <c r="L38" s="126" t="s">
        <v>57</v>
      </c>
      <c r="M38" s="47" t="s">
        <v>58</v>
      </c>
      <c r="N38" s="47" t="s">
        <v>59</v>
      </c>
      <c r="O38" s="125" t="s">
        <v>60</v>
      </c>
      <c r="P38" s="47" t="s">
        <v>198</v>
      </c>
      <c r="Q38" s="44">
        <v>8240000</v>
      </c>
      <c r="R38" s="45">
        <v>1</v>
      </c>
      <c r="S38" s="44">
        <f t="shared" si="0"/>
        <v>94760000</v>
      </c>
      <c r="T38" s="48" t="s">
        <v>168</v>
      </c>
      <c r="U38" s="48" t="s">
        <v>63</v>
      </c>
      <c r="V38" s="49" t="s">
        <v>64</v>
      </c>
      <c r="W38" s="48">
        <v>11.5</v>
      </c>
      <c r="X38" s="50" t="s">
        <v>199</v>
      </c>
      <c r="Y38" s="51">
        <v>43104</v>
      </c>
      <c r="Z38" s="52">
        <f t="shared" si="1"/>
        <v>94760000</v>
      </c>
      <c r="AA38" s="50"/>
      <c r="AB38" s="50">
        <v>253</v>
      </c>
      <c r="AC38" s="53">
        <v>43105</v>
      </c>
      <c r="AD38" s="44">
        <v>94760000</v>
      </c>
      <c r="AE38" s="70">
        <v>0</v>
      </c>
      <c r="AF38" s="50">
        <v>258</v>
      </c>
      <c r="AG38" s="50">
        <v>43119</v>
      </c>
      <c r="AH38" s="55">
        <v>94760000</v>
      </c>
      <c r="AI38" s="50" t="s">
        <v>200</v>
      </c>
      <c r="AJ38" s="50">
        <v>232</v>
      </c>
      <c r="AK38" s="64"/>
      <c r="AL38" s="55">
        <v>94760000</v>
      </c>
      <c r="AM38" s="69">
        <v>60152000</v>
      </c>
      <c r="AN38" s="69">
        <v>34608000</v>
      </c>
      <c r="AO38" s="58" t="s">
        <v>67</v>
      </c>
      <c r="AP38" s="64"/>
      <c r="AQ38" s="64"/>
      <c r="AR38" s="64"/>
      <c r="AS38" s="64"/>
      <c r="AT38" s="64"/>
      <c r="AU38" s="64"/>
      <c r="AV38" s="64"/>
      <c r="AW38" s="220"/>
    </row>
    <row r="39" spans="1:49" s="221" customFormat="1" ht="256.5" x14ac:dyDescent="0.25">
      <c r="A39" s="47">
        <v>35</v>
      </c>
      <c r="B39" s="47" t="s">
        <v>201</v>
      </c>
      <c r="C39" s="123" t="s">
        <v>49</v>
      </c>
      <c r="D39" s="63" t="s">
        <v>50</v>
      </c>
      <c r="E39" s="47" t="s">
        <v>89</v>
      </c>
      <c r="F39" s="63" t="s">
        <v>52</v>
      </c>
      <c r="G39" s="63" t="s">
        <v>53</v>
      </c>
      <c r="H39" s="124" t="s">
        <v>54</v>
      </c>
      <c r="I39" s="63" t="s">
        <v>55</v>
      </c>
      <c r="J39" s="63" t="s">
        <v>56</v>
      </c>
      <c r="K39" s="126">
        <v>801116</v>
      </c>
      <c r="L39" s="126" t="s">
        <v>57</v>
      </c>
      <c r="M39" s="47" t="s">
        <v>58</v>
      </c>
      <c r="N39" s="47" t="s">
        <v>59</v>
      </c>
      <c r="O39" s="125" t="s">
        <v>60</v>
      </c>
      <c r="P39" s="47" t="s">
        <v>187</v>
      </c>
      <c r="Q39" s="44">
        <v>5665000</v>
      </c>
      <c r="R39" s="45">
        <v>1</v>
      </c>
      <c r="S39" s="44">
        <f t="shared" si="0"/>
        <v>65147500</v>
      </c>
      <c r="T39" s="48" t="s">
        <v>168</v>
      </c>
      <c r="U39" s="48" t="s">
        <v>63</v>
      </c>
      <c r="V39" s="49" t="s">
        <v>64</v>
      </c>
      <c r="W39" s="48">
        <v>11.5</v>
      </c>
      <c r="X39" s="50" t="s">
        <v>202</v>
      </c>
      <c r="Y39" s="51">
        <v>43104</v>
      </c>
      <c r="Z39" s="52">
        <f t="shared" si="1"/>
        <v>65147500</v>
      </c>
      <c r="AA39" s="50"/>
      <c r="AB39" s="50">
        <v>254</v>
      </c>
      <c r="AC39" s="53">
        <v>43105</v>
      </c>
      <c r="AD39" s="44">
        <v>65147500</v>
      </c>
      <c r="AE39" s="70">
        <v>0</v>
      </c>
      <c r="AF39" s="50">
        <v>250</v>
      </c>
      <c r="AG39" s="50">
        <v>43119</v>
      </c>
      <c r="AH39" s="55">
        <v>65147500</v>
      </c>
      <c r="AI39" s="50" t="s">
        <v>203</v>
      </c>
      <c r="AJ39" s="50">
        <v>205</v>
      </c>
      <c r="AK39" s="64"/>
      <c r="AL39" s="55">
        <v>65147500</v>
      </c>
      <c r="AM39" s="69">
        <v>41921000</v>
      </c>
      <c r="AN39" s="69">
        <v>23226500</v>
      </c>
      <c r="AO39" s="58" t="s">
        <v>67</v>
      </c>
      <c r="AP39" s="64"/>
      <c r="AQ39" s="64"/>
      <c r="AR39" s="64"/>
      <c r="AS39" s="64"/>
      <c r="AT39" s="64"/>
      <c r="AU39" s="64"/>
      <c r="AV39" s="64"/>
      <c r="AW39" s="220"/>
    </row>
    <row r="40" spans="1:49" s="221" customFormat="1" ht="370.5" x14ac:dyDescent="0.25">
      <c r="A40" s="47">
        <v>36</v>
      </c>
      <c r="B40" s="47" t="s">
        <v>204</v>
      </c>
      <c r="C40" s="123" t="s">
        <v>49</v>
      </c>
      <c r="D40" s="63" t="s">
        <v>50</v>
      </c>
      <c r="E40" s="47" t="s">
        <v>89</v>
      </c>
      <c r="F40" s="63" t="s">
        <v>52</v>
      </c>
      <c r="G40" s="63" t="s">
        <v>53</v>
      </c>
      <c r="H40" s="124" t="s">
        <v>54</v>
      </c>
      <c r="I40" s="63" t="s">
        <v>55</v>
      </c>
      <c r="J40" s="63" t="s">
        <v>56</v>
      </c>
      <c r="K40" s="126">
        <v>801116</v>
      </c>
      <c r="L40" s="126" t="s">
        <v>57</v>
      </c>
      <c r="M40" s="47" t="s">
        <v>58</v>
      </c>
      <c r="N40" s="47" t="s">
        <v>59</v>
      </c>
      <c r="O40" s="125" t="s">
        <v>60</v>
      </c>
      <c r="P40" s="47" t="s">
        <v>205</v>
      </c>
      <c r="Q40" s="44">
        <v>4532000</v>
      </c>
      <c r="R40" s="45">
        <v>1</v>
      </c>
      <c r="S40" s="44">
        <f t="shared" si="0"/>
        <v>52118000</v>
      </c>
      <c r="T40" s="48" t="s">
        <v>168</v>
      </c>
      <c r="U40" s="48" t="s">
        <v>63</v>
      </c>
      <c r="V40" s="49" t="s">
        <v>64</v>
      </c>
      <c r="W40" s="48">
        <v>11.5</v>
      </c>
      <c r="X40" s="50" t="s">
        <v>206</v>
      </c>
      <c r="Y40" s="51">
        <v>43104</v>
      </c>
      <c r="Z40" s="52">
        <f t="shared" si="1"/>
        <v>52118000</v>
      </c>
      <c r="AA40" s="50"/>
      <c r="AB40" s="50">
        <v>255</v>
      </c>
      <c r="AC40" s="53">
        <v>43105</v>
      </c>
      <c r="AD40" s="44">
        <v>52118000</v>
      </c>
      <c r="AE40" s="70">
        <v>0</v>
      </c>
      <c r="AF40" s="50">
        <v>206</v>
      </c>
      <c r="AG40" s="50">
        <v>43118</v>
      </c>
      <c r="AH40" s="55">
        <v>52118000</v>
      </c>
      <c r="AI40" s="50" t="s">
        <v>207</v>
      </c>
      <c r="AJ40" s="50">
        <v>173</v>
      </c>
      <c r="AK40" s="64"/>
      <c r="AL40" s="55">
        <v>52118000</v>
      </c>
      <c r="AM40" s="69">
        <v>33536800</v>
      </c>
      <c r="AN40" s="69">
        <v>18581200</v>
      </c>
      <c r="AO40" s="58" t="s">
        <v>67</v>
      </c>
      <c r="AP40" s="64"/>
      <c r="AQ40" s="64"/>
      <c r="AR40" s="64"/>
      <c r="AS40" s="64"/>
      <c r="AT40" s="64"/>
      <c r="AU40" s="64"/>
      <c r="AV40" s="64"/>
      <c r="AW40" s="220"/>
    </row>
    <row r="41" spans="1:49" s="221" customFormat="1" ht="399" x14ac:dyDescent="0.25">
      <c r="A41" s="47">
        <v>37</v>
      </c>
      <c r="B41" s="47" t="s">
        <v>208</v>
      </c>
      <c r="C41" s="123" t="s">
        <v>49</v>
      </c>
      <c r="D41" s="63" t="s">
        <v>50</v>
      </c>
      <c r="E41" s="47" t="s">
        <v>89</v>
      </c>
      <c r="F41" s="63" t="s">
        <v>52</v>
      </c>
      <c r="G41" s="63" t="s">
        <v>53</v>
      </c>
      <c r="H41" s="124" t="s">
        <v>54</v>
      </c>
      <c r="I41" s="63" t="s">
        <v>55</v>
      </c>
      <c r="J41" s="63" t="s">
        <v>56</v>
      </c>
      <c r="K41" s="126">
        <v>801116</v>
      </c>
      <c r="L41" s="126" t="s">
        <v>57</v>
      </c>
      <c r="M41" s="47" t="s">
        <v>58</v>
      </c>
      <c r="N41" s="47" t="s">
        <v>59</v>
      </c>
      <c r="O41" s="125" t="s">
        <v>60</v>
      </c>
      <c r="P41" s="47" t="s">
        <v>209</v>
      </c>
      <c r="Q41" s="44">
        <v>6180000</v>
      </c>
      <c r="R41" s="45">
        <v>1</v>
      </c>
      <c r="S41" s="44">
        <f t="shared" si="0"/>
        <v>71070000</v>
      </c>
      <c r="T41" s="48" t="s">
        <v>168</v>
      </c>
      <c r="U41" s="48" t="s">
        <v>63</v>
      </c>
      <c r="V41" s="49" t="s">
        <v>64</v>
      </c>
      <c r="W41" s="48">
        <v>11.5</v>
      </c>
      <c r="X41" s="50" t="s">
        <v>210</v>
      </c>
      <c r="Y41" s="51">
        <v>43104</v>
      </c>
      <c r="Z41" s="52">
        <f t="shared" si="1"/>
        <v>71070000</v>
      </c>
      <c r="AA41" s="50"/>
      <c r="AB41" s="50">
        <v>256</v>
      </c>
      <c r="AC41" s="53">
        <v>43105</v>
      </c>
      <c r="AD41" s="44">
        <v>71070000</v>
      </c>
      <c r="AE41" s="70">
        <v>0</v>
      </c>
      <c r="AF41" s="50">
        <v>155</v>
      </c>
      <c r="AG41" s="50">
        <v>43118</v>
      </c>
      <c r="AH41" s="55">
        <v>71070000</v>
      </c>
      <c r="AI41" s="50" t="s">
        <v>211</v>
      </c>
      <c r="AJ41" s="50">
        <v>159</v>
      </c>
      <c r="AK41" s="64"/>
      <c r="AL41" s="55">
        <v>71070000</v>
      </c>
      <c r="AM41" s="69">
        <v>45938000</v>
      </c>
      <c r="AN41" s="69">
        <v>25132000</v>
      </c>
      <c r="AO41" s="58" t="s">
        <v>67</v>
      </c>
      <c r="AP41" s="64"/>
      <c r="AQ41" s="64"/>
      <c r="AR41" s="64"/>
      <c r="AS41" s="64"/>
      <c r="AT41" s="64"/>
      <c r="AU41" s="64"/>
      <c r="AV41" s="64"/>
      <c r="AW41" s="220"/>
    </row>
    <row r="42" spans="1:49" s="221" customFormat="1" ht="356.25" x14ac:dyDescent="0.25">
      <c r="A42" s="47">
        <v>38</v>
      </c>
      <c r="B42" s="47" t="s">
        <v>212</v>
      </c>
      <c r="C42" s="123" t="s">
        <v>49</v>
      </c>
      <c r="D42" s="63" t="s">
        <v>50</v>
      </c>
      <c r="E42" s="47" t="s">
        <v>89</v>
      </c>
      <c r="F42" s="63" t="s">
        <v>52</v>
      </c>
      <c r="G42" s="63" t="s">
        <v>53</v>
      </c>
      <c r="H42" s="124" t="s">
        <v>54</v>
      </c>
      <c r="I42" s="63" t="s">
        <v>55</v>
      </c>
      <c r="J42" s="63" t="s">
        <v>56</v>
      </c>
      <c r="K42" s="126">
        <v>801116</v>
      </c>
      <c r="L42" s="126" t="s">
        <v>57</v>
      </c>
      <c r="M42" s="47" t="s">
        <v>58</v>
      </c>
      <c r="N42" s="47" t="s">
        <v>59</v>
      </c>
      <c r="O42" s="125" t="s">
        <v>60</v>
      </c>
      <c r="P42" s="47" t="s">
        <v>213</v>
      </c>
      <c r="Q42" s="44">
        <v>2472000</v>
      </c>
      <c r="R42" s="45">
        <v>1</v>
      </c>
      <c r="S42" s="44">
        <f t="shared" si="0"/>
        <v>28428000</v>
      </c>
      <c r="T42" s="48" t="s">
        <v>168</v>
      </c>
      <c r="U42" s="48" t="s">
        <v>63</v>
      </c>
      <c r="V42" s="49" t="s">
        <v>64</v>
      </c>
      <c r="W42" s="48">
        <v>11.5</v>
      </c>
      <c r="X42" s="50" t="s">
        <v>214</v>
      </c>
      <c r="Y42" s="51">
        <v>43104</v>
      </c>
      <c r="Z42" s="52">
        <f t="shared" si="1"/>
        <v>28428000</v>
      </c>
      <c r="AA42" s="50"/>
      <c r="AB42" s="50">
        <v>257</v>
      </c>
      <c r="AC42" s="53">
        <v>43105</v>
      </c>
      <c r="AD42" s="44">
        <v>28428000</v>
      </c>
      <c r="AE42" s="70">
        <v>0</v>
      </c>
      <c r="AF42" s="50">
        <v>217</v>
      </c>
      <c r="AG42" s="50">
        <v>43118</v>
      </c>
      <c r="AH42" s="55">
        <v>28428000</v>
      </c>
      <c r="AI42" s="50" t="s">
        <v>215</v>
      </c>
      <c r="AJ42" s="50">
        <v>174</v>
      </c>
      <c r="AK42" s="64"/>
      <c r="AL42" s="55">
        <v>28428000</v>
      </c>
      <c r="AM42" s="69">
        <v>18292800</v>
      </c>
      <c r="AN42" s="69">
        <v>10135200</v>
      </c>
      <c r="AO42" s="58" t="s">
        <v>67</v>
      </c>
      <c r="AP42" s="64"/>
      <c r="AQ42" s="64"/>
      <c r="AR42" s="64"/>
      <c r="AS42" s="64"/>
      <c r="AT42" s="64"/>
      <c r="AU42" s="64"/>
      <c r="AV42" s="64"/>
      <c r="AW42" s="220"/>
    </row>
    <row r="43" spans="1:49" s="221" customFormat="1" ht="256.5" x14ac:dyDescent="0.25">
      <c r="A43" s="47">
        <v>39</v>
      </c>
      <c r="B43" s="47" t="s">
        <v>216</v>
      </c>
      <c r="C43" s="123" t="s">
        <v>49</v>
      </c>
      <c r="D43" s="63" t="s">
        <v>50</v>
      </c>
      <c r="E43" s="47" t="s">
        <v>89</v>
      </c>
      <c r="F43" s="63" t="s">
        <v>52</v>
      </c>
      <c r="G43" s="63" t="s">
        <v>53</v>
      </c>
      <c r="H43" s="124" t="s">
        <v>54</v>
      </c>
      <c r="I43" s="63" t="s">
        <v>55</v>
      </c>
      <c r="J43" s="63" t="s">
        <v>56</v>
      </c>
      <c r="K43" s="126">
        <v>801116</v>
      </c>
      <c r="L43" s="126" t="s">
        <v>57</v>
      </c>
      <c r="M43" s="47" t="s">
        <v>58</v>
      </c>
      <c r="N43" s="47" t="s">
        <v>59</v>
      </c>
      <c r="O43" s="125" t="s">
        <v>60</v>
      </c>
      <c r="P43" s="47" t="s">
        <v>187</v>
      </c>
      <c r="Q43" s="44">
        <v>5665000</v>
      </c>
      <c r="R43" s="45">
        <v>1</v>
      </c>
      <c r="S43" s="44">
        <f t="shared" si="0"/>
        <v>65147500</v>
      </c>
      <c r="T43" s="48" t="s">
        <v>168</v>
      </c>
      <c r="U43" s="48" t="s">
        <v>63</v>
      </c>
      <c r="V43" s="49" t="s">
        <v>64</v>
      </c>
      <c r="W43" s="48">
        <v>11.5</v>
      </c>
      <c r="X43" s="50" t="s">
        <v>217</v>
      </c>
      <c r="Y43" s="51">
        <v>43104</v>
      </c>
      <c r="Z43" s="52">
        <f t="shared" si="1"/>
        <v>65147500</v>
      </c>
      <c r="AA43" s="50"/>
      <c r="AB43" s="50">
        <v>258</v>
      </c>
      <c r="AC43" s="53">
        <v>43105</v>
      </c>
      <c r="AD43" s="44">
        <v>65147500</v>
      </c>
      <c r="AE43" s="70">
        <v>0</v>
      </c>
      <c r="AF43" s="50">
        <v>236</v>
      </c>
      <c r="AG43" s="50">
        <v>43119</v>
      </c>
      <c r="AH43" s="55">
        <v>65147500</v>
      </c>
      <c r="AI43" s="50" t="s">
        <v>218</v>
      </c>
      <c r="AJ43" s="50">
        <v>208</v>
      </c>
      <c r="AK43" s="64"/>
      <c r="AL43" s="55">
        <v>65147500</v>
      </c>
      <c r="AM43" s="69">
        <v>41921000</v>
      </c>
      <c r="AN43" s="69">
        <v>23226500</v>
      </c>
      <c r="AO43" s="58" t="s">
        <v>67</v>
      </c>
      <c r="AP43" s="64"/>
      <c r="AQ43" s="64"/>
      <c r="AR43" s="64"/>
      <c r="AS43" s="64"/>
      <c r="AT43" s="64"/>
      <c r="AU43" s="64"/>
      <c r="AV43" s="64"/>
      <c r="AW43" s="220"/>
    </row>
    <row r="44" spans="1:49" s="221" customFormat="1" ht="356.25" x14ac:dyDescent="0.25">
      <c r="A44" s="47">
        <v>40</v>
      </c>
      <c r="B44" s="47" t="s">
        <v>219</v>
      </c>
      <c r="C44" s="123" t="s">
        <v>49</v>
      </c>
      <c r="D44" s="63" t="s">
        <v>50</v>
      </c>
      <c r="E44" s="47" t="s">
        <v>89</v>
      </c>
      <c r="F44" s="63" t="s">
        <v>52</v>
      </c>
      <c r="G44" s="63" t="s">
        <v>53</v>
      </c>
      <c r="H44" s="124" t="s">
        <v>54</v>
      </c>
      <c r="I44" s="63" t="s">
        <v>55</v>
      </c>
      <c r="J44" s="63" t="s">
        <v>56</v>
      </c>
      <c r="K44" s="126">
        <v>801116</v>
      </c>
      <c r="L44" s="126" t="s">
        <v>57</v>
      </c>
      <c r="M44" s="47" t="s">
        <v>58</v>
      </c>
      <c r="N44" s="47" t="s">
        <v>59</v>
      </c>
      <c r="O44" s="125" t="s">
        <v>60</v>
      </c>
      <c r="P44" s="47" t="s">
        <v>213</v>
      </c>
      <c r="Q44" s="44">
        <v>2472000</v>
      </c>
      <c r="R44" s="45">
        <v>1</v>
      </c>
      <c r="S44" s="44">
        <f t="shared" si="0"/>
        <v>28428000</v>
      </c>
      <c r="T44" s="48" t="s">
        <v>168</v>
      </c>
      <c r="U44" s="48" t="s">
        <v>63</v>
      </c>
      <c r="V44" s="49" t="s">
        <v>64</v>
      </c>
      <c r="W44" s="48">
        <v>11.5</v>
      </c>
      <c r="X44" s="50" t="s">
        <v>220</v>
      </c>
      <c r="Y44" s="51">
        <v>43104</v>
      </c>
      <c r="Z44" s="52">
        <f t="shared" si="1"/>
        <v>28428000</v>
      </c>
      <c r="AA44" s="50"/>
      <c r="AB44" s="50">
        <v>283</v>
      </c>
      <c r="AC44" s="53">
        <v>43109</v>
      </c>
      <c r="AD44" s="44">
        <v>28428000</v>
      </c>
      <c r="AE44" s="70">
        <v>0</v>
      </c>
      <c r="AF44" s="50">
        <v>204</v>
      </c>
      <c r="AG44" s="50">
        <v>43118</v>
      </c>
      <c r="AH44" s="55">
        <v>28428000</v>
      </c>
      <c r="AI44" s="50" t="s">
        <v>221</v>
      </c>
      <c r="AJ44" s="50">
        <v>178</v>
      </c>
      <c r="AK44" s="64"/>
      <c r="AL44" s="55">
        <v>28428000</v>
      </c>
      <c r="AM44" s="69">
        <v>18292800</v>
      </c>
      <c r="AN44" s="69">
        <v>10135200</v>
      </c>
      <c r="AO44" s="58" t="s">
        <v>67</v>
      </c>
      <c r="AP44" s="64"/>
      <c r="AQ44" s="64"/>
      <c r="AR44" s="64"/>
      <c r="AS44" s="64"/>
      <c r="AT44" s="64"/>
      <c r="AU44" s="64"/>
      <c r="AV44" s="64"/>
      <c r="AW44" s="220"/>
    </row>
    <row r="45" spans="1:49" s="221" customFormat="1" ht="285" x14ac:dyDescent="0.25">
      <c r="A45" s="47">
        <v>41</v>
      </c>
      <c r="B45" s="47" t="s">
        <v>222</v>
      </c>
      <c r="C45" s="123" t="s">
        <v>49</v>
      </c>
      <c r="D45" s="63" t="s">
        <v>50</v>
      </c>
      <c r="E45" s="47" t="s">
        <v>89</v>
      </c>
      <c r="F45" s="63" t="s">
        <v>52</v>
      </c>
      <c r="G45" s="63" t="s">
        <v>53</v>
      </c>
      <c r="H45" s="124" t="s">
        <v>54</v>
      </c>
      <c r="I45" s="63" t="s">
        <v>55</v>
      </c>
      <c r="J45" s="63" t="s">
        <v>56</v>
      </c>
      <c r="K45" s="126">
        <v>801116</v>
      </c>
      <c r="L45" s="126" t="s">
        <v>57</v>
      </c>
      <c r="M45" s="47" t="s">
        <v>58</v>
      </c>
      <c r="N45" s="47" t="s">
        <v>59</v>
      </c>
      <c r="O45" s="125" t="s">
        <v>60</v>
      </c>
      <c r="P45" s="47" t="s">
        <v>223</v>
      </c>
      <c r="Q45" s="44">
        <v>4120000</v>
      </c>
      <c r="R45" s="45">
        <v>1</v>
      </c>
      <c r="S45" s="44">
        <f t="shared" si="0"/>
        <v>47380000</v>
      </c>
      <c r="T45" s="48" t="s">
        <v>168</v>
      </c>
      <c r="U45" s="48" t="s">
        <v>63</v>
      </c>
      <c r="V45" s="49" t="s">
        <v>64</v>
      </c>
      <c r="W45" s="48">
        <v>11.5</v>
      </c>
      <c r="X45" s="50" t="s">
        <v>224</v>
      </c>
      <c r="Y45" s="51">
        <v>43104</v>
      </c>
      <c r="Z45" s="52">
        <f t="shared" si="1"/>
        <v>47380000</v>
      </c>
      <c r="AA45" s="50"/>
      <c r="AB45" s="50">
        <v>284</v>
      </c>
      <c r="AC45" s="53">
        <v>43109</v>
      </c>
      <c r="AD45" s="44">
        <v>47380000</v>
      </c>
      <c r="AE45" s="70">
        <v>0</v>
      </c>
      <c r="AF45" s="50">
        <v>213</v>
      </c>
      <c r="AG45" s="50">
        <v>43118</v>
      </c>
      <c r="AH45" s="55">
        <v>47380000</v>
      </c>
      <c r="AI45" s="50" t="s">
        <v>225</v>
      </c>
      <c r="AJ45" s="50">
        <v>177</v>
      </c>
      <c r="AK45" s="64"/>
      <c r="AL45" s="55">
        <v>47380000</v>
      </c>
      <c r="AM45" s="69">
        <v>30488000</v>
      </c>
      <c r="AN45" s="69">
        <v>16892000</v>
      </c>
      <c r="AO45" s="58" t="s">
        <v>67</v>
      </c>
      <c r="AP45" s="64"/>
      <c r="AQ45" s="64"/>
      <c r="AR45" s="64"/>
      <c r="AS45" s="64"/>
      <c r="AT45" s="64"/>
      <c r="AU45" s="64"/>
      <c r="AV45" s="64"/>
      <c r="AW45" s="220"/>
    </row>
    <row r="46" spans="1:49" s="221" customFormat="1" ht="299.25" x14ac:dyDescent="0.25">
      <c r="A46" s="47">
        <v>42</v>
      </c>
      <c r="B46" s="47" t="s">
        <v>226</v>
      </c>
      <c r="C46" s="123" t="s">
        <v>49</v>
      </c>
      <c r="D46" s="63" t="s">
        <v>50</v>
      </c>
      <c r="E46" s="47" t="s">
        <v>89</v>
      </c>
      <c r="F46" s="63" t="s">
        <v>52</v>
      </c>
      <c r="G46" s="63" t="s">
        <v>53</v>
      </c>
      <c r="H46" s="124" t="s">
        <v>54</v>
      </c>
      <c r="I46" s="63" t="s">
        <v>55</v>
      </c>
      <c r="J46" s="63" t="s">
        <v>56</v>
      </c>
      <c r="K46" s="126">
        <v>801116</v>
      </c>
      <c r="L46" s="126" t="s">
        <v>57</v>
      </c>
      <c r="M46" s="47" t="s">
        <v>58</v>
      </c>
      <c r="N46" s="47" t="s">
        <v>59</v>
      </c>
      <c r="O46" s="125" t="s">
        <v>60</v>
      </c>
      <c r="P46" s="47" t="s">
        <v>227</v>
      </c>
      <c r="Q46" s="44">
        <v>3326900</v>
      </c>
      <c r="R46" s="45">
        <v>1</v>
      </c>
      <c r="S46" s="44">
        <f t="shared" si="0"/>
        <v>38259350</v>
      </c>
      <c r="T46" s="48" t="s">
        <v>168</v>
      </c>
      <c r="U46" s="48" t="s">
        <v>63</v>
      </c>
      <c r="V46" s="49" t="s">
        <v>64</v>
      </c>
      <c r="W46" s="48">
        <v>11.5</v>
      </c>
      <c r="X46" s="50" t="s">
        <v>228</v>
      </c>
      <c r="Y46" s="51">
        <v>43104</v>
      </c>
      <c r="Z46" s="52">
        <f t="shared" si="1"/>
        <v>38259350</v>
      </c>
      <c r="AA46" s="50"/>
      <c r="AB46" s="50">
        <v>285</v>
      </c>
      <c r="AC46" s="53">
        <v>43109</v>
      </c>
      <c r="AD46" s="44">
        <v>38259350</v>
      </c>
      <c r="AE46" s="70">
        <v>0</v>
      </c>
      <c r="AF46" s="50">
        <v>275</v>
      </c>
      <c r="AG46" s="50">
        <v>43122</v>
      </c>
      <c r="AH46" s="55">
        <v>38259350</v>
      </c>
      <c r="AI46" s="50" t="s">
        <v>229</v>
      </c>
      <c r="AJ46" s="50">
        <v>245</v>
      </c>
      <c r="AK46" s="64"/>
      <c r="AL46" s="55">
        <v>38259350</v>
      </c>
      <c r="AM46" s="69">
        <v>24286370</v>
      </c>
      <c r="AN46" s="69">
        <v>13972980</v>
      </c>
      <c r="AO46" s="58" t="s">
        <v>67</v>
      </c>
      <c r="AP46" s="64"/>
      <c r="AQ46" s="64"/>
      <c r="AR46" s="64"/>
      <c r="AS46" s="64"/>
      <c r="AT46" s="64"/>
      <c r="AU46" s="64"/>
      <c r="AV46" s="64"/>
      <c r="AW46" s="220"/>
    </row>
    <row r="47" spans="1:49" s="221" customFormat="1" ht="356.25" x14ac:dyDescent="0.25">
      <c r="A47" s="47">
        <v>43</v>
      </c>
      <c r="B47" s="47" t="s">
        <v>230</v>
      </c>
      <c r="C47" s="123" t="s">
        <v>49</v>
      </c>
      <c r="D47" s="63" t="s">
        <v>50</v>
      </c>
      <c r="E47" s="47" t="s">
        <v>89</v>
      </c>
      <c r="F47" s="63" t="s">
        <v>52</v>
      </c>
      <c r="G47" s="63" t="s">
        <v>53</v>
      </c>
      <c r="H47" s="124" t="s">
        <v>54</v>
      </c>
      <c r="I47" s="63" t="s">
        <v>55</v>
      </c>
      <c r="J47" s="63" t="s">
        <v>56</v>
      </c>
      <c r="K47" s="126">
        <v>801116</v>
      </c>
      <c r="L47" s="126" t="s">
        <v>57</v>
      </c>
      <c r="M47" s="47" t="s">
        <v>58</v>
      </c>
      <c r="N47" s="47" t="s">
        <v>59</v>
      </c>
      <c r="O47" s="125" t="s">
        <v>60</v>
      </c>
      <c r="P47" s="47" t="s">
        <v>231</v>
      </c>
      <c r="Q47" s="44">
        <v>1545000</v>
      </c>
      <c r="R47" s="45">
        <v>1</v>
      </c>
      <c r="S47" s="44">
        <f t="shared" si="0"/>
        <v>17767500</v>
      </c>
      <c r="T47" s="48" t="s">
        <v>168</v>
      </c>
      <c r="U47" s="48" t="s">
        <v>63</v>
      </c>
      <c r="V47" s="49" t="s">
        <v>64</v>
      </c>
      <c r="W47" s="48">
        <v>11.5</v>
      </c>
      <c r="X47" s="50" t="s">
        <v>232</v>
      </c>
      <c r="Y47" s="51">
        <v>43104</v>
      </c>
      <c r="Z47" s="52">
        <f t="shared" si="1"/>
        <v>17767500</v>
      </c>
      <c r="AA47" s="50"/>
      <c r="AB47" s="50">
        <v>286</v>
      </c>
      <c r="AC47" s="53">
        <v>43109</v>
      </c>
      <c r="AD47" s="44">
        <v>17767500</v>
      </c>
      <c r="AE47" s="70">
        <v>0</v>
      </c>
      <c r="AF47" s="50">
        <v>241</v>
      </c>
      <c r="AG47" s="50">
        <v>43119</v>
      </c>
      <c r="AH47" s="55">
        <v>17767500</v>
      </c>
      <c r="AI47" s="50" t="s">
        <v>233</v>
      </c>
      <c r="AJ47" s="50">
        <v>220</v>
      </c>
      <c r="AK47" s="64"/>
      <c r="AL47" s="55">
        <v>17767500</v>
      </c>
      <c r="AM47" s="69">
        <v>11433000</v>
      </c>
      <c r="AN47" s="69">
        <v>6334500</v>
      </c>
      <c r="AO47" s="58" t="s">
        <v>67</v>
      </c>
      <c r="AP47" s="64"/>
      <c r="AQ47" s="64"/>
      <c r="AR47" s="64"/>
      <c r="AS47" s="64"/>
      <c r="AT47" s="64"/>
      <c r="AU47" s="64"/>
      <c r="AV47" s="64"/>
      <c r="AW47" s="220"/>
    </row>
    <row r="48" spans="1:49" s="221" customFormat="1" ht="409.5" x14ac:dyDescent="0.25">
      <c r="A48" s="47">
        <v>44</v>
      </c>
      <c r="B48" s="47" t="s">
        <v>234</v>
      </c>
      <c r="C48" s="123" t="s">
        <v>49</v>
      </c>
      <c r="D48" s="63" t="s">
        <v>50</v>
      </c>
      <c r="E48" s="47" t="s">
        <v>89</v>
      </c>
      <c r="F48" s="63" t="s">
        <v>52</v>
      </c>
      <c r="G48" s="63" t="s">
        <v>53</v>
      </c>
      <c r="H48" s="124" t="s">
        <v>54</v>
      </c>
      <c r="I48" s="63" t="s">
        <v>55</v>
      </c>
      <c r="J48" s="63" t="s">
        <v>56</v>
      </c>
      <c r="K48" s="126">
        <v>801116</v>
      </c>
      <c r="L48" s="126" t="s">
        <v>57</v>
      </c>
      <c r="M48" s="47" t="s">
        <v>58</v>
      </c>
      <c r="N48" s="47" t="s">
        <v>59</v>
      </c>
      <c r="O48" s="125" t="s">
        <v>60</v>
      </c>
      <c r="P48" s="47" t="s">
        <v>152</v>
      </c>
      <c r="Q48" s="44">
        <v>3553500</v>
      </c>
      <c r="R48" s="45">
        <v>1</v>
      </c>
      <c r="S48" s="44">
        <f t="shared" si="0"/>
        <v>31981500</v>
      </c>
      <c r="T48" s="48" t="s">
        <v>168</v>
      </c>
      <c r="U48" s="48" t="s">
        <v>63</v>
      </c>
      <c r="V48" s="49" t="s">
        <v>64</v>
      </c>
      <c r="W48" s="48">
        <v>9</v>
      </c>
      <c r="X48" s="50" t="s">
        <v>235</v>
      </c>
      <c r="Y48" s="51">
        <v>43104</v>
      </c>
      <c r="Z48" s="52">
        <f t="shared" si="1"/>
        <v>31981500</v>
      </c>
      <c r="AA48" s="50"/>
      <c r="AB48" s="50">
        <v>287</v>
      </c>
      <c r="AC48" s="53">
        <v>43109</v>
      </c>
      <c r="AD48" s="44">
        <v>31981500</v>
      </c>
      <c r="AE48" s="70">
        <v>0</v>
      </c>
      <c r="AF48" s="50">
        <v>497</v>
      </c>
      <c r="AG48" s="50">
        <v>43126</v>
      </c>
      <c r="AH48" s="55">
        <v>31981500</v>
      </c>
      <c r="AI48" s="50" t="s">
        <v>236</v>
      </c>
      <c r="AJ48" s="50">
        <v>426</v>
      </c>
      <c r="AK48" s="64"/>
      <c r="AL48" s="55">
        <v>31981500</v>
      </c>
      <c r="AM48" s="69">
        <v>25111400</v>
      </c>
      <c r="AN48" s="69">
        <v>6870100</v>
      </c>
      <c r="AO48" s="58" t="s">
        <v>67</v>
      </c>
      <c r="AP48" s="64"/>
      <c r="AQ48" s="64"/>
      <c r="AR48" s="64"/>
      <c r="AS48" s="64"/>
      <c r="AT48" s="64"/>
      <c r="AU48" s="64"/>
      <c r="AV48" s="64"/>
      <c r="AW48" s="220"/>
    </row>
    <row r="49" spans="1:49" s="221" customFormat="1" ht="199.5" x14ac:dyDescent="0.25">
      <c r="A49" s="47">
        <v>45</v>
      </c>
      <c r="B49" s="47" t="s">
        <v>237</v>
      </c>
      <c r="C49" s="123" t="s">
        <v>49</v>
      </c>
      <c r="D49" s="63" t="s">
        <v>50</v>
      </c>
      <c r="E49" s="47" t="s">
        <v>51</v>
      </c>
      <c r="F49" s="63" t="s">
        <v>52</v>
      </c>
      <c r="G49" s="63" t="s">
        <v>53</v>
      </c>
      <c r="H49" s="124" t="s">
        <v>54</v>
      </c>
      <c r="I49" s="63" t="s">
        <v>55</v>
      </c>
      <c r="J49" s="63" t="s">
        <v>56</v>
      </c>
      <c r="K49" s="126">
        <v>801116</v>
      </c>
      <c r="L49" s="126" t="s">
        <v>57</v>
      </c>
      <c r="M49" s="47" t="s">
        <v>58</v>
      </c>
      <c r="N49" s="47" t="s">
        <v>59</v>
      </c>
      <c r="O49" s="125" t="s">
        <v>60</v>
      </c>
      <c r="P49" s="47" t="s">
        <v>238</v>
      </c>
      <c r="Q49" s="44">
        <v>5665000</v>
      </c>
      <c r="R49" s="45">
        <v>1</v>
      </c>
      <c r="S49" s="46">
        <f t="shared" si="0"/>
        <v>65147500</v>
      </c>
      <c r="T49" s="48" t="s">
        <v>168</v>
      </c>
      <c r="U49" s="48" t="s">
        <v>63</v>
      </c>
      <c r="V49" s="49" t="s">
        <v>64</v>
      </c>
      <c r="W49" s="48">
        <v>11.5</v>
      </c>
      <c r="X49" s="50" t="s">
        <v>239</v>
      </c>
      <c r="Y49" s="51">
        <v>43104</v>
      </c>
      <c r="Z49" s="52">
        <f t="shared" si="1"/>
        <v>65147500</v>
      </c>
      <c r="AA49" s="50"/>
      <c r="AB49" s="50">
        <v>288</v>
      </c>
      <c r="AC49" s="53">
        <v>43109</v>
      </c>
      <c r="AD49" s="44">
        <v>65147500</v>
      </c>
      <c r="AE49" s="70">
        <v>0</v>
      </c>
      <c r="AF49" s="50">
        <v>235</v>
      </c>
      <c r="AG49" s="50">
        <v>43119</v>
      </c>
      <c r="AH49" s="55">
        <v>65147500</v>
      </c>
      <c r="AI49" s="50" t="s">
        <v>240</v>
      </c>
      <c r="AJ49" s="50">
        <v>209</v>
      </c>
      <c r="AK49" s="64"/>
      <c r="AL49" s="55">
        <v>65147500</v>
      </c>
      <c r="AM49" s="69">
        <v>41921000</v>
      </c>
      <c r="AN49" s="69">
        <v>23226500</v>
      </c>
      <c r="AO49" s="58" t="s">
        <v>67</v>
      </c>
      <c r="AP49" s="64"/>
      <c r="AQ49" s="64"/>
      <c r="AR49" s="64"/>
      <c r="AS49" s="64"/>
      <c r="AT49" s="64"/>
      <c r="AU49" s="64"/>
      <c r="AV49" s="64"/>
      <c r="AW49" s="220"/>
    </row>
    <row r="50" spans="1:49" s="221" customFormat="1" ht="409.5" x14ac:dyDescent="0.25">
      <c r="A50" s="47">
        <v>46</v>
      </c>
      <c r="B50" s="47" t="s">
        <v>241</v>
      </c>
      <c r="C50" s="123" t="s">
        <v>49</v>
      </c>
      <c r="D50" s="63" t="s">
        <v>50</v>
      </c>
      <c r="E50" s="47" t="s">
        <v>89</v>
      </c>
      <c r="F50" s="63" t="s">
        <v>52</v>
      </c>
      <c r="G50" s="63" t="s">
        <v>53</v>
      </c>
      <c r="H50" s="124" t="s">
        <v>54</v>
      </c>
      <c r="I50" s="63" t="s">
        <v>55</v>
      </c>
      <c r="J50" s="63" t="s">
        <v>56</v>
      </c>
      <c r="K50" s="126">
        <v>801116</v>
      </c>
      <c r="L50" s="126" t="s">
        <v>57</v>
      </c>
      <c r="M50" s="47" t="s">
        <v>58</v>
      </c>
      <c r="N50" s="47" t="s">
        <v>59</v>
      </c>
      <c r="O50" s="125" t="s">
        <v>60</v>
      </c>
      <c r="P50" s="47" t="s">
        <v>242</v>
      </c>
      <c r="Q50" s="44">
        <v>1751000</v>
      </c>
      <c r="R50" s="45">
        <v>1</v>
      </c>
      <c r="S50" s="44">
        <f t="shared" si="0"/>
        <v>20136500</v>
      </c>
      <c r="T50" s="48" t="s">
        <v>168</v>
      </c>
      <c r="U50" s="48" t="s">
        <v>63</v>
      </c>
      <c r="V50" s="49" t="s">
        <v>64</v>
      </c>
      <c r="W50" s="48">
        <v>11.5</v>
      </c>
      <c r="X50" s="50" t="s">
        <v>243</v>
      </c>
      <c r="Y50" s="51">
        <v>43104</v>
      </c>
      <c r="Z50" s="52">
        <f t="shared" si="1"/>
        <v>20136500</v>
      </c>
      <c r="AA50" s="50"/>
      <c r="AB50" s="50">
        <v>289</v>
      </c>
      <c r="AC50" s="53">
        <v>43109</v>
      </c>
      <c r="AD50" s="44">
        <v>20136500</v>
      </c>
      <c r="AE50" s="70">
        <v>0</v>
      </c>
      <c r="AF50" s="50">
        <v>326</v>
      </c>
      <c r="AG50" s="50">
        <v>43123</v>
      </c>
      <c r="AH50" s="55">
        <v>20136500</v>
      </c>
      <c r="AI50" s="50" t="s">
        <v>244</v>
      </c>
      <c r="AJ50" s="50">
        <v>287</v>
      </c>
      <c r="AK50" s="64"/>
      <c r="AL50" s="55">
        <v>20136500</v>
      </c>
      <c r="AM50" s="69">
        <v>12723934</v>
      </c>
      <c r="AN50" s="69">
        <v>7412566</v>
      </c>
      <c r="AO50" s="58" t="s">
        <v>67</v>
      </c>
      <c r="AP50" s="64"/>
      <c r="AQ50" s="64"/>
      <c r="AR50" s="64"/>
      <c r="AS50" s="64"/>
      <c r="AT50" s="64"/>
      <c r="AU50" s="64"/>
      <c r="AV50" s="64"/>
      <c r="AW50" s="220"/>
    </row>
    <row r="51" spans="1:49" s="221" customFormat="1" ht="409.5" x14ac:dyDescent="0.25">
      <c r="A51" s="47">
        <v>47</v>
      </c>
      <c r="B51" s="47" t="s">
        <v>245</v>
      </c>
      <c r="C51" s="123" t="s">
        <v>49</v>
      </c>
      <c r="D51" s="63" t="s">
        <v>50</v>
      </c>
      <c r="E51" s="47" t="s">
        <v>89</v>
      </c>
      <c r="F51" s="63" t="s">
        <v>52</v>
      </c>
      <c r="G51" s="63" t="s">
        <v>53</v>
      </c>
      <c r="H51" s="124" t="s">
        <v>54</v>
      </c>
      <c r="I51" s="63" t="s">
        <v>55</v>
      </c>
      <c r="J51" s="63" t="s">
        <v>56</v>
      </c>
      <c r="K51" s="126">
        <v>801116</v>
      </c>
      <c r="L51" s="126" t="s">
        <v>57</v>
      </c>
      <c r="M51" s="47" t="s">
        <v>58</v>
      </c>
      <c r="N51" s="47" t="s">
        <v>59</v>
      </c>
      <c r="O51" s="125" t="s">
        <v>60</v>
      </c>
      <c r="P51" s="47" t="s">
        <v>246</v>
      </c>
      <c r="Q51" s="44">
        <v>3326900</v>
      </c>
      <c r="R51" s="45">
        <v>1</v>
      </c>
      <c r="S51" s="44">
        <f t="shared" si="0"/>
        <v>38259350</v>
      </c>
      <c r="T51" s="48" t="s">
        <v>168</v>
      </c>
      <c r="U51" s="48" t="s">
        <v>63</v>
      </c>
      <c r="V51" s="49" t="s">
        <v>64</v>
      </c>
      <c r="W51" s="48">
        <v>11.5</v>
      </c>
      <c r="X51" s="50" t="s">
        <v>247</v>
      </c>
      <c r="Y51" s="51">
        <v>43104</v>
      </c>
      <c r="Z51" s="52">
        <f t="shared" si="1"/>
        <v>38259350</v>
      </c>
      <c r="AA51" s="50"/>
      <c r="AB51" s="50">
        <v>290</v>
      </c>
      <c r="AC51" s="53">
        <v>43109</v>
      </c>
      <c r="AD51" s="44">
        <v>38259350</v>
      </c>
      <c r="AE51" s="70">
        <v>0</v>
      </c>
      <c r="AF51" s="50">
        <v>317</v>
      </c>
      <c r="AG51" s="50">
        <v>43122</v>
      </c>
      <c r="AH51" s="55">
        <v>38259350</v>
      </c>
      <c r="AI51" s="50" t="s">
        <v>248</v>
      </c>
      <c r="AJ51" s="50">
        <v>276</v>
      </c>
      <c r="AK51" s="64"/>
      <c r="AL51" s="55">
        <v>38259350</v>
      </c>
      <c r="AM51" s="69">
        <v>24175473</v>
      </c>
      <c r="AN51" s="69">
        <v>14083877</v>
      </c>
      <c r="AO51" s="58" t="s">
        <v>67</v>
      </c>
      <c r="AP51" s="64"/>
      <c r="AQ51" s="64"/>
      <c r="AR51" s="64"/>
      <c r="AS51" s="64"/>
      <c r="AT51" s="64"/>
      <c r="AU51" s="64"/>
      <c r="AV51" s="64"/>
      <c r="AW51" s="220"/>
    </row>
    <row r="52" spans="1:49" s="221" customFormat="1" ht="370.5" x14ac:dyDescent="0.25">
      <c r="A52" s="47">
        <v>48</v>
      </c>
      <c r="B52" s="47" t="s">
        <v>249</v>
      </c>
      <c r="C52" s="123" t="s">
        <v>49</v>
      </c>
      <c r="D52" s="63" t="s">
        <v>50</v>
      </c>
      <c r="E52" s="47" t="s">
        <v>89</v>
      </c>
      <c r="F52" s="63" t="s">
        <v>52</v>
      </c>
      <c r="G52" s="63" t="s">
        <v>53</v>
      </c>
      <c r="H52" s="124" t="s">
        <v>54</v>
      </c>
      <c r="I52" s="63" t="s">
        <v>55</v>
      </c>
      <c r="J52" s="63" t="s">
        <v>56</v>
      </c>
      <c r="K52" s="126">
        <v>801116</v>
      </c>
      <c r="L52" s="126" t="s">
        <v>57</v>
      </c>
      <c r="M52" s="47" t="s">
        <v>58</v>
      </c>
      <c r="N52" s="47" t="s">
        <v>59</v>
      </c>
      <c r="O52" s="125" t="s">
        <v>60</v>
      </c>
      <c r="P52" s="47" t="s">
        <v>250</v>
      </c>
      <c r="Q52" s="44">
        <v>5036700</v>
      </c>
      <c r="R52" s="45">
        <v>1</v>
      </c>
      <c r="S52" s="44">
        <f t="shared" si="0"/>
        <v>57922050</v>
      </c>
      <c r="T52" s="48" t="s">
        <v>168</v>
      </c>
      <c r="U52" s="48" t="s">
        <v>63</v>
      </c>
      <c r="V52" s="49" t="s">
        <v>64</v>
      </c>
      <c r="W52" s="48">
        <v>11.5</v>
      </c>
      <c r="X52" s="50" t="s">
        <v>251</v>
      </c>
      <c r="Y52" s="51">
        <v>43104</v>
      </c>
      <c r="Z52" s="52">
        <f t="shared" si="1"/>
        <v>57922050</v>
      </c>
      <c r="AA52" s="50"/>
      <c r="AB52" s="50">
        <v>291</v>
      </c>
      <c r="AC52" s="53">
        <v>43109</v>
      </c>
      <c r="AD52" s="44">
        <v>57922050</v>
      </c>
      <c r="AE52" s="70">
        <v>0</v>
      </c>
      <c r="AF52" s="50">
        <v>429</v>
      </c>
      <c r="AG52" s="50">
        <v>43124</v>
      </c>
      <c r="AH52" s="55">
        <v>57922050</v>
      </c>
      <c r="AI52" s="50" t="s">
        <v>252</v>
      </c>
      <c r="AJ52" s="50">
        <v>364</v>
      </c>
      <c r="AK52" s="64"/>
      <c r="AL52" s="55">
        <v>57922050</v>
      </c>
      <c r="AM52" s="69">
        <v>36264240</v>
      </c>
      <c r="AN52" s="69">
        <v>21657810</v>
      </c>
      <c r="AO52" s="58" t="s">
        <v>67</v>
      </c>
      <c r="AP52" s="64"/>
      <c r="AQ52" s="64"/>
      <c r="AR52" s="64"/>
      <c r="AS52" s="64"/>
      <c r="AT52" s="64"/>
      <c r="AU52" s="64"/>
      <c r="AV52" s="64"/>
      <c r="AW52" s="220"/>
    </row>
    <row r="53" spans="1:49" s="221" customFormat="1" ht="213.75" x14ac:dyDescent="0.25">
      <c r="A53" s="47">
        <v>49</v>
      </c>
      <c r="B53" s="47" t="s">
        <v>253</v>
      </c>
      <c r="C53" s="123" t="s">
        <v>49</v>
      </c>
      <c r="D53" s="63" t="s">
        <v>50</v>
      </c>
      <c r="E53" s="47" t="s">
        <v>89</v>
      </c>
      <c r="F53" s="63" t="s">
        <v>52</v>
      </c>
      <c r="G53" s="63" t="s">
        <v>53</v>
      </c>
      <c r="H53" s="124" t="s">
        <v>54</v>
      </c>
      <c r="I53" s="63" t="s">
        <v>55</v>
      </c>
      <c r="J53" s="63" t="s">
        <v>56</v>
      </c>
      <c r="K53" s="126">
        <v>801116</v>
      </c>
      <c r="L53" s="126" t="s">
        <v>57</v>
      </c>
      <c r="M53" s="47" t="s">
        <v>58</v>
      </c>
      <c r="N53" s="47" t="s">
        <v>59</v>
      </c>
      <c r="O53" s="125" t="s">
        <v>60</v>
      </c>
      <c r="P53" s="47" t="s">
        <v>254</v>
      </c>
      <c r="Q53" s="44">
        <v>1751000</v>
      </c>
      <c r="R53" s="45">
        <v>1</v>
      </c>
      <c r="S53" s="44">
        <f t="shared" si="0"/>
        <v>20136500</v>
      </c>
      <c r="T53" s="48" t="s">
        <v>168</v>
      </c>
      <c r="U53" s="48" t="s">
        <v>63</v>
      </c>
      <c r="V53" s="49" t="s">
        <v>64</v>
      </c>
      <c r="W53" s="48">
        <v>11.5</v>
      </c>
      <c r="X53" s="50" t="s">
        <v>255</v>
      </c>
      <c r="Y53" s="51">
        <v>43104</v>
      </c>
      <c r="Z53" s="52">
        <f t="shared" si="1"/>
        <v>20136500</v>
      </c>
      <c r="AA53" s="50"/>
      <c r="AB53" s="50">
        <v>292</v>
      </c>
      <c r="AC53" s="53">
        <v>43109</v>
      </c>
      <c r="AD53" s="44">
        <v>20136500</v>
      </c>
      <c r="AE53" s="70">
        <v>0</v>
      </c>
      <c r="AF53" s="50">
        <v>384</v>
      </c>
      <c r="AG53" s="50">
        <v>43124</v>
      </c>
      <c r="AH53" s="55">
        <v>20136500</v>
      </c>
      <c r="AI53" s="50" t="s">
        <v>256</v>
      </c>
      <c r="AJ53" s="50">
        <v>307</v>
      </c>
      <c r="AK53" s="64"/>
      <c r="AL53" s="55">
        <v>20136500</v>
      </c>
      <c r="AM53" s="69">
        <v>12607200</v>
      </c>
      <c r="AN53" s="69">
        <v>7529300</v>
      </c>
      <c r="AO53" s="58" t="s">
        <v>67</v>
      </c>
      <c r="AP53" s="64"/>
      <c r="AQ53" s="64"/>
      <c r="AR53" s="64"/>
      <c r="AS53" s="64"/>
      <c r="AT53" s="64"/>
      <c r="AU53" s="64"/>
      <c r="AV53" s="64"/>
      <c r="AW53" s="220"/>
    </row>
    <row r="54" spans="1:49" s="221" customFormat="1" ht="199.5" x14ac:dyDescent="0.25">
      <c r="A54" s="47">
        <v>50</v>
      </c>
      <c r="B54" s="47" t="s">
        <v>257</v>
      </c>
      <c r="C54" s="123" t="s">
        <v>49</v>
      </c>
      <c r="D54" s="63" t="s">
        <v>50</v>
      </c>
      <c r="E54" s="47" t="s">
        <v>89</v>
      </c>
      <c r="F54" s="63" t="s">
        <v>52</v>
      </c>
      <c r="G54" s="63" t="s">
        <v>53</v>
      </c>
      <c r="H54" s="124" t="s">
        <v>54</v>
      </c>
      <c r="I54" s="63" t="s">
        <v>55</v>
      </c>
      <c r="J54" s="63" t="s">
        <v>56</v>
      </c>
      <c r="K54" s="126">
        <v>801116</v>
      </c>
      <c r="L54" s="126" t="s">
        <v>57</v>
      </c>
      <c r="M54" s="47" t="s">
        <v>58</v>
      </c>
      <c r="N54" s="47" t="s">
        <v>59</v>
      </c>
      <c r="O54" s="125" t="s">
        <v>60</v>
      </c>
      <c r="P54" s="47" t="s">
        <v>258</v>
      </c>
      <c r="Q54" s="44">
        <v>4532000</v>
      </c>
      <c r="R54" s="45">
        <v>1</v>
      </c>
      <c r="S54" s="44">
        <f t="shared" si="0"/>
        <v>52118000</v>
      </c>
      <c r="T54" s="48" t="s">
        <v>168</v>
      </c>
      <c r="U54" s="48" t="s">
        <v>63</v>
      </c>
      <c r="V54" s="49" t="s">
        <v>64</v>
      </c>
      <c r="W54" s="48">
        <v>11.5</v>
      </c>
      <c r="X54" s="50" t="s">
        <v>259</v>
      </c>
      <c r="Y54" s="51">
        <v>43104</v>
      </c>
      <c r="Z54" s="52">
        <f t="shared" si="1"/>
        <v>52118000</v>
      </c>
      <c r="AA54" s="50"/>
      <c r="AB54" s="50">
        <v>293</v>
      </c>
      <c r="AC54" s="53">
        <v>43109</v>
      </c>
      <c r="AD54" s="44">
        <v>52118000</v>
      </c>
      <c r="AE54" s="70">
        <v>0</v>
      </c>
      <c r="AF54" s="50">
        <v>188</v>
      </c>
      <c r="AG54" s="50">
        <v>43118</v>
      </c>
      <c r="AH54" s="55">
        <v>52118000</v>
      </c>
      <c r="AI54" s="50" t="s">
        <v>260</v>
      </c>
      <c r="AJ54" s="50">
        <v>141</v>
      </c>
      <c r="AK54" s="64"/>
      <c r="AL54" s="55">
        <v>52118000</v>
      </c>
      <c r="AM54" s="69">
        <v>33687867</v>
      </c>
      <c r="AN54" s="69">
        <v>18430133</v>
      </c>
      <c r="AO54" s="58" t="s">
        <v>67</v>
      </c>
      <c r="AP54" s="64"/>
      <c r="AQ54" s="64"/>
      <c r="AR54" s="64"/>
      <c r="AS54" s="64"/>
      <c r="AT54" s="64"/>
      <c r="AU54" s="64"/>
      <c r="AV54" s="64"/>
      <c r="AW54" s="220"/>
    </row>
    <row r="55" spans="1:49" s="221" customFormat="1" ht="185.25" x14ac:dyDescent="0.25">
      <c r="A55" s="47">
        <v>51</v>
      </c>
      <c r="B55" s="47" t="s">
        <v>261</v>
      </c>
      <c r="C55" s="123" t="s">
        <v>49</v>
      </c>
      <c r="D55" s="63" t="s">
        <v>50</v>
      </c>
      <c r="E55" s="47" t="s">
        <v>89</v>
      </c>
      <c r="F55" s="63" t="s">
        <v>52</v>
      </c>
      <c r="G55" s="63" t="s">
        <v>53</v>
      </c>
      <c r="H55" s="124" t="s">
        <v>54</v>
      </c>
      <c r="I55" s="63" t="s">
        <v>55</v>
      </c>
      <c r="J55" s="63" t="s">
        <v>56</v>
      </c>
      <c r="K55" s="126">
        <v>801116</v>
      </c>
      <c r="L55" s="126" t="s">
        <v>57</v>
      </c>
      <c r="M55" s="47" t="s">
        <v>58</v>
      </c>
      <c r="N55" s="47" t="s">
        <v>59</v>
      </c>
      <c r="O55" s="125" t="s">
        <v>60</v>
      </c>
      <c r="P55" s="47" t="s">
        <v>90</v>
      </c>
      <c r="Q55" s="44">
        <v>3399000</v>
      </c>
      <c r="R55" s="45">
        <v>1</v>
      </c>
      <c r="S55" s="44">
        <f t="shared" si="0"/>
        <v>39088500</v>
      </c>
      <c r="T55" s="48" t="s">
        <v>168</v>
      </c>
      <c r="U55" s="48" t="s">
        <v>63</v>
      </c>
      <c r="V55" s="49" t="s">
        <v>64</v>
      </c>
      <c r="W55" s="48">
        <v>11.5</v>
      </c>
      <c r="X55" s="50" t="s">
        <v>262</v>
      </c>
      <c r="Y55" s="51">
        <v>43104</v>
      </c>
      <c r="Z55" s="52">
        <f t="shared" si="1"/>
        <v>39088500</v>
      </c>
      <c r="AA55" s="50"/>
      <c r="AB55" s="50">
        <v>294</v>
      </c>
      <c r="AC55" s="53">
        <v>43109</v>
      </c>
      <c r="AD55" s="44">
        <v>39088500</v>
      </c>
      <c r="AE55" s="70">
        <v>0</v>
      </c>
      <c r="AF55" s="50">
        <v>232</v>
      </c>
      <c r="AG55" s="50">
        <v>43119</v>
      </c>
      <c r="AH55" s="55">
        <v>39088500</v>
      </c>
      <c r="AI55" s="50" t="s">
        <v>263</v>
      </c>
      <c r="AJ55" s="50">
        <v>212</v>
      </c>
      <c r="AK55" s="64"/>
      <c r="AL55" s="55">
        <v>39088500</v>
      </c>
      <c r="AM55" s="69">
        <v>25152600</v>
      </c>
      <c r="AN55" s="69">
        <v>13935900</v>
      </c>
      <c r="AO55" s="58" t="s">
        <v>67</v>
      </c>
      <c r="AP55" s="64"/>
      <c r="AQ55" s="64"/>
      <c r="AR55" s="64"/>
      <c r="AS55" s="64"/>
      <c r="AT55" s="64"/>
      <c r="AU55" s="64"/>
      <c r="AV55" s="64"/>
      <c r="AW55" s="220"/>
    </row>
    <row r="56" spans="1:49" s="221" customFormat="1" ht="185.25" x14ac:dyDescent="0.25">
      <c r="A56" s="47">
        <v>52</v>
      </c>
      <c r="B56" s="47" t="s">
        <v>264</v>
      </c>
      <c r="C56" s="123" t="s">
        <v>49</v>
      </c>
      <c r="D56" s="63" t="s">
        <v>50</v>
      </c>
      <c r="E56" s="47" t="s">
        <v>89</v>
      </c>
      <c r="F56" s="63" t="s">
        <v>52</v>
      </c>
      <c r="G56" s="63" t="s">
        <v>53</v>
      </c>
      <c r="H56" s="124" t="s">
        <v>54</v>
      </c>
      <c r="I56" s="63" t="s">
        <v>55</v>
      </c>
      <c r="J56" s="63" t="s">
        <v>56</v>
      </c>
      <c r="K56" s="126">
        <v>801116</v>
      </c>
      <c r="L56" s="126" t="s">
        <v>57</v>
      </c>
      <c r="M56" s="47" t="s">
        <v>58</v>
      </c>
      <c r="N56" s="47" t="s">
        <v>59</v>
      </c>
      <c r="O56" s="125" t="s">
        <v>60</v>
      </c>
      <c r="P56" s="47" t="s">
        <v>90</v>
      </c>
      <c r="Q56" s="44">
        <v>3553500</v>
      </c>
      <c r="R56" s="45">
        <v>1</v>
      </c>
      <c r="S56" s="44">
        <f t="shared" si="0"/>
        <v>40865250</v>
      </c>
      <c r="T56" s="48" t="s">
        <v>168</v>
      </c>
      <c r="U56" s="48" t="s">
        <v>63</v>
      </c>
      <c r="V56" s="49" t="s">
        <v>64</v>
      </c>
      <c r="W56" s="48">
        <v>11.5</v>
      </c>
      <c r="X56" s="50" t="s">
        <v>265</v>
      </c>
      <c r="Y56" s="51">
        <v>43104</v>
      </c>
      <c r="Z56" s="52">
        <f t="shared" si="1"/>
        <v>40865250</v>
      </c>
      <c r="AA56" s="50"/>
      <c r="AB56" s="50">
        <v>295</v>
      </c>
      <c r="AC56" s="53">
        <v>43109</v>
      </c>
      <c r="AD56" s="44">
        <v>40865250</v>
      </c>
      <c r="AE56" s="70">
        <v>0</v>
      </c>
      <c r="AF56" s="50">
        <v>392</v>
      </c>
      <c r="AG56" s="50">
        <v>43124</v>
      </c>
      <c r="AH56" s="55">
        <v>40865250</v>
      </c>
      <c r="AI56" s="50" t="s">
        <v>266</v>
      </c>
      <c r="AJ56" s="50">
        <v>330</v>
      </c>
      <c r="AK56" s="64"/>
      <c r="AL56" s="55">
        <v>40865250</v>
      </c>
      <c r="AM56" s="69">
        <v>25585200</v>
      </c>
      <c r="AN56" s="69">
        <v>15280050</v>
      </c>
      <c r="AO56" s="58" t="s">
        <v>67</v>
      </c>
      <c r="AP56" s="64"/>
      <c r="AQ56" s="64"/>
      <c r="AR56" s="64"/>
      <c r="AS56" s="64"/>
      <c r="AT56" s="64"/>
      <c r="AU56" s="64"/>
      <c r="AV56" s="64"/>
      <c r="AW56" s="220"/>
    </row>
    <row r="57" spans="1:49" s="221" customFormat="1" ht="185.25" x14ac:dyDescent="0.25">
      <c r="A57" s="47">
        <v>53</v>
      </c>
      <c r="B57" s="47" t="s">
        <v>267</v>
      </c>
      <c r="C57" s="123" t="s">
        <v>49</v>
      </c>
      <c r="D57" s="63" t="s">
        <v>50</v>
      </c>
      <c r="E57" s="47" t="s">
        <v>89</v>
      </c>
      <c r="F57" s="63" t="s">
        <v>52</v>
      </c>
      <c r="G57" s="63" t="s">
        <v>53</v>
      </c>
      <c r="H57" s="124" t="s">
        <v>54</v>
      </c>
      <c r="I57" s="63" t="s">
        <v>55</v>
      </c>
      <c r="J57" s="63" t="s">
        <v>56</v>
      </c>
      <c r="K57" s="126">
        <v>801116</v>
      </c>
      <c r="L57" s="126" t="s">
        <v>57</v>
      </c>
      <c r="M57" s="47" t="s">
        <v>58</v>
      </c>
      <c r="N57" s="47" t="s">
        <v>59</v>
      </c>
      <c r="O57" s="125" t="s">
        <v>60</v>
      </c>
      <c r="P57" s="47" t="s">
        <v>90</v>
      </c>
      <c r="Q57" s="44">
        <v>3553500</v>
      </c>
      <c r="R57" s="45">
        <v>1</v>
      </c>
      <c r="S57" s="44">
        <f t="shared" si="0"/>
        <v>40865250</v>
      </c>
      <c r="T57" s="48" t="s">
        <v>168</v>
      </c>
      <c r="U57" s="48" t="s">
        <v>63</v>
      </c>
      <c r="V57" s="49" t="s">
        <v>64</v>
      </c>
      <c r="W57" s="48">
        <v>11.5</v>
      </c>
      <c r="X57" s="50" t="s">
        <v>268</v>
      </c>
      <c r="Y57" s="51">
        <v>43104</v>
      </c>
      <c r="Z57" s="52">
        <f t="shared" si="1"/>
        <v>40865250</v>
      </c>
      <c r="AA57" s="50"/>
      <c r="AB57" s="50">
        <v>296</v>
      </c>
      <c r="AC57" s="53">
        <v>43109</v>
      </c>
      <c r="AD57" s="44">
        <v>40865250</v>
      </c>
      <c r="AE57" s="70">
        <v>0</v>
      </c>
      <c r="AF57" s="50">
        <v>395</v>
      </c>
      <c r="AG57" s="50">
        <v>43124</v>
      </c>
      <c r="AH57" s="55">
        <v>40865250</v>
      </c>
      <c r="AI57" s="50" t="s">
        <v>269</v>
      </c>
      <c r="AJ57" s="50">
        <v>331</v>
      </c>
      <c r="AK57" s="64"/>
      <c r="AL57" s="55">
        <v>40865250</v>
      </c>
      <c r="AM57" s="69">
        <v>25585200</v>
      </c>
      <c r="AN57" s="69">
        <v>15280050</v>
      </c>
      <c r="AO57" s="58" t="s">
        <v>67</v>
      </c>
      <c r="AP57" s="64"/>
      <c r="AQ57" s="64"/>
      <c r="AR57" s="64"/>
      <c r="AS57" s="64"/>
      <c r="AT57" s="64"/>
      <c r="AU57" s="64"/>
      <c r="AV57" s="64"/>
      <c r="AW57" s="220"/>
    </row>
    <row r="58" spans="1:49" s="221" customFormat="1" ht="199.5" x14ac:dyDescent="0.25">
      <c r="A58" s="47">
        <v>54</v>
      </c>
      <c r="B58" s="47" t="s">
        <v>270</v>
      </c>
      <c r="C58" s="123" t="s">
        <v>49</v>
      </c>
      <c r="D58" s="63" t="s">
        <v>50</v>
      </c>
      <c r="E58" s="47" t="s">
        <v>51</v>
      </c>
      <c r="F58" s="63" t="s">
        <v>52</v>
      </c>
      <c r="G58" s="63" t="s">
        <v>53</v>
      </c>
      <c r="H58" s="124" t="s">
        <v>54</v>
      </c>
      <c r="I58" s="63" t="s">
        <v>55</v>
      </c>
      <c r="J58" s="63" t="s">
        <v>56</v>
      </c>
      <c r="K58" s="126">
        <v>801116</v>
      </c>
      <c r="L58" s="126" t="s">
        <v>57</v>
      </c>
      <c r="M58" s="47" t="s">
        <v>58</v>
      </c>
      <c r="N58" s="47" t="s">
        <v>59</v>
      </c>
      <c r="O58" s="125" t="s">
        <v>60</v>
      </c>
      <c r="P58" s="47" t="s">
        <v>172</v>
      </c>
      <c r="Q58" s="44">
        <v>7210000</v>
      </c>
      <c r="R58" s="45">
        <v>1</v>
      </c>
      <c r="S58" s="46">
        <f t="shared" si="0"/>
        <v>82915000</v>
      </c>
      <c r="T58" s="48" t="s">
        <v>168</v>
      </c>
      <c r="U58" s="48" t="s">
        <v>63</v>
      </c>
      <c r="V58" s="49" t="s">
        <v>64</v>
      </c>
      <c r="W58" s="48">
        <v>11.5</v>
      </c>
      <c r="X58" s="50" t="s">
        <v>271</v>
      </c>
      <c r="Y58" s="51">
        <v>43104</v>
      </c>
      <c r="Z58" s="52">
        <f t="shared" si="1"/>
        <v>82915000</v>
      </c>
      <c r="AA58" s="50"/>
      <c r="AB58" s="50">
        <v>297</v>
      </c>
      <c r="AC58" s="53">
        <v>43109</v>
      </c>
      <c r="AD58" s="44">
        <v>82915000</v>
      </c>
      <c r="AE58" s="70">
        <v>0</v>
      </c>
      <c r="AF58" s="50">
        <v>386</v>
      </c>
      <c r="AG58" s="50">
        <v>43124</v>
      </c>
      <c r="AH58" s="55">
        <v>82915000</v>
      </c>
      <c r="AI58" s="50" t="s">
        <v>272</v>
      </c>
      <c r="AJ58" s="50">
        <v>308</v>
      </c>
      <c r="AK58" s="64"/>
      <c r="AL58" s="55">
        <v>82915000</v>
      </c>
      <c r="AM58" s="69">
        <v>51912000</v>
      </c>
      <c r="AN58" s="69">
        <v>31003000</v>
      </c>
      <c r="AO58" s="58" t="s">
        <v>67</v>
      </c>
      <c r="AP58" s="64"/>
      <c r="AQ58" s="64"/>
      <c r="AR58" s="64"/>
      <c r="AS58" s="64"/>
      <c r="AT58" s="64"/>
      <c r="AU58" s="64"/>
      <c r="AV58" s="64"/>
      <c r="AW58" s="220"/>
    </row>
    <row r="59" spans="1:49" s="221" customFormat="1" ht="256.5" x14ac:dyDescent="0.25">
      <c r="A59" s="47">
        <v>55</v>
      </c>
      <c r="B59" s="47" t="s">
        <v>273</v>
      </c>
      <c r="C59" s="123" t="s">
        <v>49</v>
      </c>
      <c r="D59" s="63" t="s">
        <v>50</v>
      </c>
      <c r="E59" s="47" t="s">
        <v>89</v>
      </c>
      <c r="F59" s="63" t="s">
        <v>52</v>
      </c>
      <c r="G59" s="63" t="s">
        <v>53</v>
      </c>
      <c r="H59" s="124" t="s">
        <v>54</v>
      </c>
      <c r="I59" s="63" t="s">
        <v>55</v>
      </c>
      <c r="J59" s="63" t="s">
        <v>56</v>
      </c>
      <c r="K59" s="126">
        <v>801116</v>
      </c>
      <c r="L59" s="126" t="s">
        <v>57</v>
      </c>
      <c r="M59" s="47" t="s">
        <v>58</v>
      </c>
      <c r="N59" s="47" t="s">
        <v>59</v>
      </c>
      <c r="O59" s="125" t="s">
        <v>60</v>
      </c>
      <c r="P59" s="47" t="s">
        <v>274</v>
      </c>
      <c r="Q59" s="44">
        <v>4120000</v>
      </c>
      <c r="R59" s="45">
        <v>1</v>
      </c>
      <c r="S59" s="44">
        <f t="shared" si="0"/>
        <v>47380000</v>
      </c>
      <c r="T59" s="48" t="s">
        <v>168</v>
      </c>
      <c r="U59" s="48" t="s">
        <v>63</v>
      </c>
      <c r="V59" s="49" t="s">
        <v>64</v>
      </c>
      <c r="W59" s="48">
        <v>11.5</v>
      </c>
      <c r="X59" s="50" t="s">
        <v>275</v>
      </c>
      <c r="Y59" s="51">
        <v>43104</v>
      </c>
      <c r="Z59" s="52">
        <f t="shared" si="1"/>
        <v>47380000</v>
      </c>
      <c r="AA59" s="50"/>
      <c r="AB59" s="50">
        <v>298</v>
      </c>
      <c r="AC59" s="53">
        <v>43109</v>
      </c>
      <c r="AD59" s="44">
        <v>47380000</v>
      </c>
      <c r="AE59" s="70">
        <v>0</v>
      </c>
      <c r="AF59" s="50">
        <v>304</v>
      </c>
      <c r="AG59" s="50">
        <v>43122</v>
      </c>
      <c r="AH59" s="55">
        <v>47380000</v>
      </c>
      <c r="AI59" s="50" t="s">
        <v>276</v>
      </c>
      <c r="AJ59" s="50">
        <v>278</v>
      </c>
      <c r="AK59" s="64"/>
      <c r="AL59" s="55">
        <v>47380000</v>
      </c>
      <c r="AM59" s="69">
        <v>29938667</v>
      </c>
      <c r="AN59" s="69">
        <v>17441333</v>
      </c>
      <c r="AO59" s="58" t="s">
        <v>67</v>
      </c>
      <c r="AP59" s="64"/>
      <c r="AQ59" s="64"/>
      <c r="AR59" s="64"/>
      <c r="AS59" s="64"/>
      <c r="AT59" s="64"/>
      <c r="AU59" s="64"/>
      <c r="AV59" s="64"/>
      <c r="AW59" s="220"/>
    </row>
    <row r="60" spans="1:49" s="221" customFormat="1" ht="356.25" x14ac:dyDescent="0.25">
      <c r="A60" s="47">
        <v>56</v>
      </c>
      <c r="B60" s="47" t="s">
        <v>277</v>
      </c>
      <c r="C60" s="123" t="s">
        <v>49</v>
      </c>
      <c r="D60" s="63" t="s">
        <v>50</v>
      </c>
      <c r="E60" s="47" t="s">
        <v>89</v>
      </c>
      <c r="F60" s="63" t="s">
        <v>52</v>
      </c>
      <c r="G60" s="63" t="s">
        <v>53</v>
      </c>
      <c r="H60" s="124" t="s">
        <v>54</v>
      </c>
      <c r="I60" s="63" t="s">
        <v>55</v>
      </c>
      <c r="J60" s="63" t="s">
        <v>56</v>
      </c>
      <c r="K60" s="126">
        <v>801116</v>
      </c>
      <c r="L60" s="126" t="s">
        <v>57</v>
      </c>
      <c r="M60" s="47" t="s">
        <v>58</v>
      </c>
      <c r="N60" s="47" t="s">
        <v>59</v>
      </c>
      <c r="O60" s="125" t="s">
        <v>60</v>
      </c>
      <c r="P60" s="47" t="s">
        <v>213</v>
      </c>
      <c r="Q60" s="44">
        <v>2472000</v>
      </c>
      <c r="R60" s="45">
        <v>1</v>
      </c>
      <c r="S60" s="44">
        <f t="shared" si="0"/>
        <v>28428000</v>
      </c>
      <c r="T60" s="48" t="s">
        <v>168</v>
      </c>
      <c r="U60" s="48" t="s">
        <v>63</v>
      </c>
      <c r="V60" s="49" t="s">
        <v>64</v>
      </c>
      <c r="W60" s="48">
        <v>11.5</v>
      </c>
      <c r="X60" s="50" t="s">
        <v>278</v>
      </c>
      <c r="Y60" s="51">
        <v>43104</v>
      </c>
      <c r="Z60" s="52">
        <f t="shared" si="1"/>
        <v>28428000</v>
      </c>
      <c r="AA60" s="50"/>
      <c r="AB60" s="50">
        <v>299</v>
      </c>
      <c r="AC60" s="53">
        <v>43109</v>
      </c>
      <c r="AD60" s="44">
        <v>28428000</v>
      </c>
      <c r="AE60" s="70">
        <v>0</v>
      </c>
      <c r="AF60" s="50">
        <v>195</v>
      </c>
      <c r="AG60" s="50">
        <v>43118</v>
      </c>
      <c r="AH60" s="55">
        <v>28428000</v>
      </c>
      <c r="AI60" s="50" t="s">
        <v>279</v>
      </c>
      <c r="AJ60" s="50">
        <v>183</v>
      </c>
      <c r="AK60" s="64"/>
      <c r="AL60" s="55">
        <v>28428000</v>
      </c>
      <c r="AM60" s="69">
        <v>18292800</v>
      </c>
      <c r="AN60" s="69">
        <v>10135200</v>
      </c>
      <c r="AO60" s="58" t="s">
        <v>67</v>
      </c>
      <c r="AP60" s="64"/>
      <c r="AQ60" s="64"/>
      <c r="AR60" s="64"/>
      <c r="AS60" s="64"/>
      <c r="AT60" s="64"/>
      <c r="AU60" s="64"/>
      <c r="AV60" s="64"/>
      <c r="AW60" s="220"/>
    </row>
    <row r="61" spans="1:49" s="221" customFormat="1" ht="285" x14ac:dyDescent="0.25">
      <c r="A61" s="47">
        <v>57</v>
      </c>
      <c r="B61" s="47" t="s">
        <v>280</v>
      </c>
      <c r="C61" s="123" t="s">
        <v>49</v>
      </c>
      <c r="D61" s="63" t="s">
        <v>50</v>
      </c>
      <c r="E61" s="47" t="s">
        <v>89</v>
      </c>
      <c r="F61" s="63" t="s">
        <v>52</v>
      </c>
      <c r="G61" s="63" t="s">
        <v>53</v>
      </c>
      <c r="H61" s="124" t="s">
        <v>54</v>
      </c>
      <c r="I61" s="63" t="s">
        <v>55</v>
      </c>
      <c r="J61" s="63" t="s">
        <v>56</v>
      </c>
      <c r="K61" s="126">
        <v>801116</v>
      </c>
      <c r="L61" s="126" t="s">
        <v>57</v>
      </c>
      <c r="M61" s="47" t="s">
        <v>58</v>
      </c>
      <c r="N61" s="47" t="s">
        <v>59</v>
      </c>
      <c r="O61" s="125" t="s">
        <v>60</v>
      </c>
      <c r="P61" s="47" t="s">
        <v>223</v>
      </c>
      <c r="Q61" s="44">
        <v>4120000</v>
      </c>
      <c r="R61" s="45">
        <v>1</v>
      </c>
      <c r="S61" s="44">
        <f t="shared" si="0"/>
        <v>47380000</v>
      </c>
      <c r="T61" s="48" t="s">
        <v>168</v>
      </c>
      <c r="U61" s="48" t="s">
        <v>63</v>
      </c>
      <c r="V61" s="49" t="s">
        <v>64</v>
      </c>
      <c r="W61" s="48">
        <v>11.5</v>
      </c>
      <c r="X61" s="50" t="s">
        <v>281</v>
      </c>
      <c r="Y61" s="51">
        <v>43104</v>
      </c>
      <c r="Z61" s="52">
        <f t="shared" si="1"/>
        <v>47380000</v>
      </c>
      <c r="AA61" s="50"/>
      <c r="AB61" s="50">
        <v>300</v>
      </c>
      <c r="AC61" s="53">
        <v>43109</v>
      </c>
      <c r="AD61" s="44">
        <v>47380000</v>
      </c>
      <c r="AE61" s="70">
        <v>0</v>
      </c>
      <c r="AF61" s="50">
        <v>272</v>
      </c>
      <c r="AG61" s="50">
        <v>43122</v>
      </c>
      <c r="AH61" s="55">
        <v>47380000</v>
      </c>
      <c r="AI61" s="50" t="s">
        <v>282</v>
      </c>
      <c r="AJ61" s="50">
        <v>242</v>
      </c>
      <c r="AK61" s="64"/>
      <c r="AL61" s="55">
        <v>47380000</v>
      </c>
      <c r="AM61" s="69">
        <v>30076000</v>
      </c>
      <c r="AN61" s="69">
        <v>17304000</v>
      </c>
      <c r="AO61" s="58" t="s">
        <v>67</v>
      </c>
      <c r="AP61" s="64"/>
      <c r="AQ61" s="64"/>
      <c r="AR61" s="64"/>
      <c r="AS61" s="64"/>
      <c r="AT61" s="64"/>
      <c r="AU61" s="64"/>
      <c r="AV61" s="64"/>
      <c r="AW61" s="220"/>
    </row>
    <row r="62" spans="1:49" s="221" customFormat="1" ht="285" x14ac:dyDescent="0.25">
      <c r="A62" s="47">
        <v>58</v>
      </c>
      <c r="B62" s="47" t="s">
        <v>283</v>
      </c>
      <c r="C62" s="123" t="s">
        <v>49</v>
      </c>
      <c r="D62" s="63" t="s">
        <v>50</v>
      </c>
      <c r="E62" s="47" t="s">
        <v>89</v>
      </c>
      <c r="F62" s="63" t="s">
        <v>52</v>
      </c>
      <c r="G62" s="63" t="s">
        <v>53</v>
      </c>
      <c r="H62" s="124" t="s">
        <v>54</v>
      </c>
      <c r="I62" s="63" t="s">
        <v>55</v>
      </c>
      <c r="J62" s="63" t="s">
        <v>56</v>
      </c>
      <c r="K62" s="126">
        <v>801116</v>
      </c>
      <c r="L62" s="126" t="s">
        <v>57</v>
      </c>
      <c r="M62" s="47" t="s">
        <v>58</v>
      </c>
      <c r="N62" s="47" t="s">
        <v>59</v>
      </c>
      <c r="O62" s="125" t="s">
        <v>60</v>
      </c>
      <c r="P62" s="47" t="s">
        <v>223</v>
      </c>
      <c r="Q62" s="44">
        <v>4120000</v>
      </c>
      <c r="R62" s="45">
        <v>1</v>
      </c>
      <c r="S62" s="44">
        <f t="shared" si="0"/>
        <v>47380000</v>
      </c>
      <c r="T62" s="48" t="s">
        <v>168</v>
      </c>
      <c r="U62" s="48" t="s">
        <v>63</v>
      </c>
      <c r="V62" s="49" t="s">
        <v>64</v>
      </c>
      <c r="W62" s="48">
        <v>11.5</v>
      </c>
      <c r="X62" s="50" t="s">
        <v>284</v>
      </c>
      <c r="Y62" s="51">
        <v>43104</v>
      </c>
      <c r="Z62" s="52">
        <f t="shared" si="1"/>
        <v>47380000</v>
      </c>
      <c r="AA62" s="50"/>
      <c r="AB62" s="50">
        <v>301</v>
      </c>
      <c r="AC62" s="53">
        <v>43109</v>
      </c>
      <c r="AD62" s="44">
        <v>47380000</v>
      </c>
      <c r="AE62" s="70">
        <v>0</v>
      </c>
      <c r="AF62" s="50">
        <v>276</v>
      </c>
      <c r="AG62" s="50">
        <v>43122</v>
      </c>
      <c r="AH62" s="55">
        <v>47380000</v>
      </c>
      <c r="AI62" s="50" t="s">
        <v>285</v>
      </c>
      <c r="AJ62" s="50">
        <v>246</v>
      </c>
      <c r="AK62" s="64"/>
      <c r="AL62" s="55">
        <v>47380000</v>
      </c>
      <c r="AM62" s="69">
        <v>30076000</v>
      </c>
      <c r="AN62" s="69">
        <v>17304000</v>
      </c>
      <c r="AO62" s="58" t="s">
        <v>67</v>
      </c>
      <c r="AP62" s="64"/>
      <c r="AQ62" s="64"/>
      <c r="AR62" s="64"/>
      <c r="AS62" s="64"/>
      <c r="AT62" s="64"/>
      <c r="AU62" s="64"/>
      <c r="AV62" s="64"/>
      <c r="AW62" s="220"/>
    </row>
    <row r="63" spans="1:49" s="221" customFormat="1" ht="256.5" x14ac:dyDescent="0.25">
      <c r="A63" s="47">
        <v>59</v>
      </c>
      <c r="B63" s="47" t="s">
        <v>286</v>
      </c>
      <c r="C63" s="123" t="s">
        <v>49</v>
      </c>
      <c r="D63" s="63" t="s">
        <v>50</v>
      </c>
      <c r="E63" s="47" t="s">
        <v>89</v>
      </c>
      <c r="F63" s="63" t="s">
        <v>52</v>
      </c>
      <c r="G63" s="63" t="s">
        <v>53</v>
      </c>
      <c r="H63" s="124" t="s">
        <v>54</v>
      </c>
      <c r="I63" s="63" t="s">
        <v>55</v>
      </c>
      <c r="J63" s="63" t="s">
        <v>56</v>
      </c>
      <c r="K63" s="126">
        <v>801116</v>
      </c>
      <c r="L63" s="126" t="s">
        <v>57</v>
      </c>
      <c r="M63" s="47" t="s">
        <v>58</v>
      </c>
      <c r="N63" s="47" t="s">
        <v>59</v>
      </c>
      <c r="O63" s="125" t="s">
        <v>60</v>
      </c>
      <c r="P63" s="47" t="s">
        <v>287</v>
      </c>
      <c r="Q63" s="44">
        <v>15420000</v>
      </c>
      <c r="R63" s="45">
        <v>1</v>
      </c>
      <c r="S63" s="44">
        <f t="shared" si="0"/>
        <v>177330000</v>
      </c>
      <c r="T63" s="48" t="s">
        <v>168</v>
      </c>
      <c r="U63" s="48" t="s">
        <v>63</v>
      </c>
      <c r="V63" s="49" t="s">
        <v>64</v>
      </c>
      <c r="W63" s="48">
        <v>11.5</v>
      </c>
      <c r="X63" s="50" t="s">
        <v>288</v>
      </c>
      <c r="Y63" s="51">
        <v>43104</v>
      </c>
      <c r="Z63" s="52">
        <f t="shared" si="1"/>
        <v>177330000</v>
      </c>
      <c r="AA63" s="50"/>
      <c r="AB63" s="50">
        <v>302</v>
      </c>
      <c r="AC63" s="53">
        <v>43109</v>
      </c>
      <c r="AD63" s="44">
        <v>177330000</v>
      </c>
      <c r="AE63" s="70">
        <v>0</v>
      </c>
      <c r="AF63" s="50">
        <v>244</v>
      </c>
      <c r="AG63" s="50">
        <v>43119</v>
      </c>
      <c r="AH63" s="55">
        <v>177330000</v>
      </c>
      <c r="AI63" s="50" t="s">
        <v>289</v>
      </c>
      <c r="AJ63" s="50">
        <v>217</v>
      </c>
      <c r="AK63" s="64"/>
      <c r="AL63" s="55">
        <v>177330000</v>
      </c>
      <c r="AM63" s="69">
        <v>114108000</v>
      </c>
      <c r="AN63" s="69">
        <v>63222000</v>
      </c>
      <c r="AO63" s="58" t="s">
        <v>67</v>
      </c>
      <c r="AP63" s="64"/>
      <c r="AQ63" s="64"/>
      <c r="AR63" s="64"/>
      <c r="AS63" s="64"/>
      <c r="AT63" s="64"/>
      <c r="AU63" s="64"/>
      <c r="AV63" s="64"/>
      <c r="AW63" s="220"/>
    </row>
    <row r="64" spans="1:49" s="221" customFormat="1" ht="299.25" x14ac:dyDescent="0.25">
      <c r="A64" s="47">
        <v>60</v>
      </c>
      <c r="B64" s="47" t="s">
        <v>290</v>
      </c>
      <c r="C64" s="123" t="s">
        <v>49</v>
      </c>
      <c r="D64" s="63" t="s">
        <v>50</v>
      </c>
      <c r="E64" s="47" t="s">
        <v>89</v>
      </c>
      <c r="F64" s="63" t="s">
        <v>52</v>
      </c>
      <c r="G64" s="63" t="s">
        <v>53</v>
      </c>
      <c r="H64" s="124" t="s">
        <v>54</v>
      </c>
      <c r="I64" s="63" t="s">
        <v>55</v>
      </c>
      <c r="J64" s="63" t="s">
        <v>56</v>
      </c>
      <c r="K64" s="126">
        <v>801116</v>
      </c>
      <c r="L64" s="126" t="s">
        <v>57</v>
      </c>
      <c r="M64" s="47" t="s">
        <v>58</v>
      </c>
      <c r="N64" s="47" t="s">
        <v>59</v>
      </c>
      <c r="O64" s="125" t="s">
        <v>60</v>
      </c>
      <c r="P64" s="47" t="s">
        <v>291</v>
      </c>
      <c r="Q64" s="44">
        <v>1751000</v>
      </c>
      <c r="R64" s="45">
        <v>1</v>
      </c>
      <c r="S64" s="44">
        <f t="shared" si="0"/>
        <v>20136500</v>
      </c>
      <c r="T64" s="48" t="s">
        <v>168</v>
      </c>
      <c r="U64" s="48" t="s">
        <v>63</v>
      </c>
      <c r="V64" s="49" t="s">
        <v>64</v>
      </c>
      <c r="W64" s="48">
        <v>11.5</v>
      </c>
      <c r="X64" s="50" t="s">
        <v>292</v>
      </c>
      <c r="Y64" s="51">
        <v>43104</v>
      </c>
      <c r="Z64" s="52">
        <f t="shared" si="1"/>
        <v>20136500</v>
      </c>
      <c r="AA64" s="50"/>
      <c r="AB64" s="50">
        <v>303</v>
      </c>
      <c r="AC64" s="53">
        <v>43109</v>
      </c>
      <c r="AD64" s="44">
        <v>20136500</v>
      </c>
      <c r="AE64" s="70">
        <v>0</v>
      </c>
      <c r="AF64" s="50">
        <v>388</v>
      </c>
      <c r="AG64" s="50">
        <v>43124</v>
      </c>
      <c r="AH64" s="55">
        <v>20136500</v>
      </c>
      <c r="AI64" s="50" t="s">
        <v>293</v>
      </c>
      <c r="AJ64" s="50">
        <v>311</v>
      </c>
      <c r="AK64" s="64"/>
      <c r="AL64" s="55">
        <v>20136500</v>
      </c>
      <c r="AM64" s="69">
        <v>12607200</v>
      </c>
      <c r="AN64" s="69">
        <v>7529300</v>
      </c>
      <c r="AO64" s="58" t="s">
        <v>67</v>
      </c>
      <c r="AP64" s="64"/>
      <c r="AQ64" s="64"/>
      <c r="AR64" s="64"/>
      <c r="AS64" s="64"/>
      <c r="AT64" s="64"/>
      <c r="AU64" s="64"/>
      <c r="AV64" s="64"/>
      <c r="AW64" s="220"/>
    </row>
    <row r="65" spans="1:49" s="221" customFormat="1" ht="370.5" x14ac:dyDescent="0.25">
      <c r="A65" s="47">
        <v>61</v>
      </c>
      <c r="B65" s="47" t="s">
        <v>294</v>
      </c>
      <c r="C65" s="123" t="s">
        <v>49</v>
      </c>
      <c r="D65" s="63" t="s">
        <v>50</v>
      </c>
      <c r="E65" s="47" t="s">
        <v>89</v>
      </c>
      <c r="F65" s="63" t="s">
        <v>52</v>
      </c>
      <c r="G65" s="63" t="s">
        <v>53</v>
      </c>
      <c r="H65" s="124" t="s">
        <v>54</v>
      </c>
      <c r="I65" s="63" t="s">
        <v>55</v>
      </c>
      <c r="J65" s="63" t="s">
        <v>56</v>
      </c>
      <c r="K65" s="126">
        <v>801116</v>
      </c>
      <c r="L65" s="126" t="s">
        <v>57</v>
      </c>
      <c r="M65" s="47" t="s">
        <v>58</v>
      </c>
      <c r="N65" s="47" t="s">
        <v>59</v>
      </c>
      <c r="O65" s="125" t="s">
        <v>60</v>
      </c>
      <c r="P65" s="47" t="s">
        <v>94</v>
      </c>
      <c r="Q65" s="44">
        <v>5665000</v>
      </c>
      <c r="R65" s="45">
        <v>1</v>
      </c>
      <c r="S65" s="44">
        <f t="shared" si="0"/>
        <v>65147500</v>
      </c>
      <c r="T65" s="48" t="s">
        <v>168</v>
      </c>
      <c r="U65" s="48" t="s">
        <v>63</v>
      </c>
      <c r="V65" s="49" t="s">
        <v>64</v>
      </c>
      <c r="W65" s="48">
        <v>11.5</v>
      </c>
      <c r="X65" s="50" t="s">
        <v>295</v>
      </c>
      <c r="Y65" s="51">
        <v>43104</v>
      </c>
      <c r="Z65" s="52">
        <f t="shared" si="1"/>
        <v>65147500</v>
      </c>
      <c r="AA65" s="50"/>
      <c r="AB65" s="50">
        <v>304</v>
      </c>
      <c r="AC65" s="53">
        <v>43109</v>
      </c>
      <c r="AD65" s="44">
        <v>65147500</v>
      </c>
      <c r="AE65" s="70">
        <v>0</v>
      </c>
      <c r="AF65" s="50">
        <v>315</v>
      </c>
      <c r="AG65" s="50">
        <v>43122</v>
      </c>
      <c r="AH65" s="55">
        <v>65147500</v>
      </c>
      <c r="AI65" s="50" t="s">
        <v>296</v>
      </c>
      <c r="AJ65" s="50">
        <v>275</v>
      </c>
      <c r="AK65" s="64"/>
      <c r="AL65" s="55">
        <v>65147500</v>
      </c>
      <c r="AM65" s="69">
        <v>41165667</v>
      </c>
      <c r="AN65" s="69">
        <v>23981833</v>
      </c>
      <c r="AO65" s="58" t="s">
        <v>67</v>
      </c>
      <c r="AP65" s="64"/>
      <c r="AQ65" s="64"/>
      <c r="AR65" s="64"/>
      <c r="AS65" s="64"/>
      <c r="AT65" s="64"/>
      <c r="AU65" s="64"/>
      <c r="AV65" s="64"/>
      <c r="AW65" s="220"/>
    </row>
    <row r="66" spans="1:49" s="221" customFormat="1" ht="409.5" x14ac:dyDescent="0.25">
      <c r="A66" s="47">
        <v>62</v>
      </c>
      <c r="B66" s="47" t="s">
        <v>297</v>
      </c>
      <c r="C66" s="123" t="s">
        <v>49</v>
      </c>
      <c r="D66" s="63" t="s">
        <v>50</v>
      </c>
      <c r="E66" s="47" t="s">
        <v>89</v>
      </c>
      <c r="F66" s="63" t="s">
        <v>52</v>
      </c>
      <c r="G66" s="63" t="s">
        <v>53</v>
      </c>
      <c r="H66" s="124" t="s">
        <v>54</v>
      </c>
      <c r="I66" s="63" t="s">
        <v>55</v>
      </c>
      <c r="J66" s="63" t="s">
        <v>56</v>
      </c>
      <c r="K66" s="126">
        <v>801116</v>
      </c>
      <c r="L66" s="126" t="s">
        <v>57</v>
      </c>
      <c r="M66" s="47" t="s">
        <v>58</v>
      </c>
      <c r="N66" s="47" t="s">
        <v>59</v>
      </c>
      <c r="O66" s="125" t="s">
        <v>60</v>
      </c>
      <c r="P66" s="47" t="s">
        <v>298</v>
      </c>
      <c r="Q66" s="44">
        <v>5665000</v>
      </c>
      <c r="R66" s="45">
        <v>1</v>
      </c>
      <c r="S66" s="44">
        <f t="shared" si="0"/>
        <v>65147500</v>
      </c>
      <c r="T66" s="48" t="s">
        <v>168</v>
      </c>
      <c r="U66" s="48" t="s">
        <v>63</v>
      </c>
      <c r="V66" s="49" t="s">
        <v>64</v>
      </c>
      <c r="W66" s="48">
        <v>11.5</v>
      </c>
      <c r="X66" s="50" t="s">
        <v>299</v>
      </c>
      <c r="Y66" s="51">
        <v>43104</v>
      </c>
      <c r="Z66" s="52">
        <f t="shared" si="1"/>
        <v>65147500</v>
      </c>
      <c r="AA66" s="50"/>
      <c r="AB66" s="50">
        <v>305</v>
      </c>
      <c r="AC66" s="53">
        <v>43109</v>
      </c>
      <c r="AD66" s="44">
        <v>65147500</v>
      </c>
      <c r="AE66" s="70">
        <v>0</v>
      </c>
      <c r="AF66" s="50">
        <v>393</v>
      </c>
      <c r="AG66" s="50">
        <v>43124</v>
      </c>
      <c r="AH66" s="55">
        <v>65147500</v>
      </c>
      <c r="AI66" s="50" t="s">
        <v>300</v>
      </c>
      <c r="AJ66" s="50">
        <v>315</v>
      </c>
      <c r="AK66" s="64"/>
      <c r="AL66" s="55">
        <v>65147500</v>
      </c>
      <c r="AM66" s="69">
        <v>40788000</v>
      </c>
      <c r="AN66" s="69">
        <v>24359500</v>
      </c>
      <c r="AO66" s="58" t="s">
        <v>67</v>
      </c>
      <c r="AP66" s="64"/>
      <c r="AQ66" s="64"/>
      <c r="AR66" s="64"/>
      <c r="AS66" s="64"/>
      <c r="AT66" s="64"/>
      <c r="AU66" s="64"/>
      <c r="AV66" s="64"/>
      <c r="AW66" s="220"/>
    </row>
    <row r="67" spans="1:49" s="221" customFormat="1" ht="370.5" x14ac:dyDescent="0.25">
      <c r="A67" s="47">
        <v>63</v>
      </c>
      <c r="B67" s="47" t="s">
        <v>301</v>
      </c>
      <c r="C67" s="123" t="s">
        <v>49</v>
      </c>
      <c r="D67" s="63" t="s">
        <v>50</v>
      </c>
      <c r="E67" s="47" t="s">
        <v>89</v>
      </c>
      <c r="F67" s="63" t="s">
        <v>52</v>
      </c>
      <c r="G67" s="63" t="s">
        <v>53</v>
      </c>
      <c r="H67" s="124" t="s">
        <v>54</v>
      </c>
      <c r="I67" s="63" t="s">
        <v>55</v>
      </c>
      <c r="J67" s="63" t="s">
        <v>56</v>
      </c>
      <c r="K67" s="126">
        <v>801116</v>
      </c>
      <c r="L67" s="126" t="s">
        <v>57</v>
      </c>
      <c r="M67" s="47" t="s">
        <v>58</v>
      </c>
      <c r="N67" s="47" t="s">
        <v>59</v>
      </c>
      <c r="O67" s="125" t="s">
        <v>60</v>
      </c>
      <c r="P67" s="47" t="s">
        <v>302</v>
      </c>
      <c r="Q67" s="44">
        <v>3326900</v>
      </c>
      <c r="R67" s="45">
        <v>1</v>
      </c>
      <c r="S67" s="44">
        <f t="shared" si="0"/>
        <v>38259350</v>
      </c>
      <c r="T67" s="48" t="s">
        <v>168</v>
      </c>
      <c r="U67" s="48" t="s">
        <v>63</v>
      </c>
      <c r="V67" s="49" t="s">
        <v>64</v>
      </c>
      <c r="W67" s="48">
        <v>11.5</v>
      </c>
      <c r="X67" s="50" t="s">
        <v>303</v>
      </c>
      <c r="Y67" s="51">
        <v>43104</v>
      </c>
      <c r="Z67" s="52">
        <f t="shared" si="1"/>
        <v>38259350</v>
      </c>
      <c r="AA67" s="50"/>
      <c r="AB67" s="50">
        <v>306</v>
      </c>
      <c r="AC67" s="53">
        <v>43109</v>
      </c>
      <c r="AD67" s="44">
        <v>38259350</v>
      </c>
      <c r="AE67" s="70">
        <v>0</v>
      </c>
      <c r="AF67" s="50">
        <v>314</v>
      </c>
      <c r="AG67" s="50">
        <v>43122</v>
      </c>
      <c r="AH67" s="55">
        <v>38259350</v>
      </c>
      <c r="AI67" s="50" t="s">
        <v>304</v>
      </c>
      <c r="AJ67" s="50">
        <v>274</v>
      </c>
      <c r="AK67" s="64"/>
      <c r="AL67" s="55">
        <v>38259350</v>
      </c>
      <c r="AM67" s="69">
        <v>24175474</v>
      </c>
      <c r="AN67" s="69">
        <v>14083876</v>
      </c>
      <c r="AO67" s="58" t="s">
        <v>67</v>
      </c>
      <c r="AP67" s="64"/>
      <c r="AQ67" s="64"/>
      <c r="AR67" s="64"/>
      <c r="AS67" s="64"/>
      <c r="AT67" s="64"/>
      <c r="AU67" s="64"/>
      <c r="AV67" s="64"/>
      <c r="AW67" s="220"/>
    </row>
    <row r="68" spans="1:49" s="221" customFormat="1" ht="285" x14ac:dyDescent="0.25">
      <c r="A68" s="47">
        <v>64</v>
      </c>
      <c r="B68" s="47" t="s">
        <v>305</v>
      </c>
      <c r="C68" s="123" t="s">
        <v>49</v>
      </c>
      <c r="D68" s="63" t="s">
        <v>50</v>
      </c>
      <c r="E68" s="47" t="s">
        <v>51</v>
      </c>
      <c r="F68" s="63" t="s">
        <v>52</v>
      </c>
      <c r="G68" s="63" t="s">
        <v>53</v>
      </c>
      <c r="H68" s="124" t="s">
        <v>54</v>
      </c>
      <c r="I68" s="63" t="s">
        <v>55</v>
      </c>
      <c r="J68" s="63" t="s">
        <v>56</v>
      </c>
      <c r="K68" s="126">
        <v>801116</v>
      </c>
      <c r="L68" s="126" t="s">
        <v>57</v>
      </c>
      <c r="M68" s="47" t="s">
        <v>58</v>
      </c>
      <c r="N68" s="47" t="s">
        <v>59</v>
      </c>
      <c r="O68" s="125" t="s">
        <v>60</v>
      </c>
      <c r="P68" s="47" t="s">
        <v>306</v>
      </c>
      <c r="Q68" s="44">
        <v>1751000</v>
      </c>
      <c r="R68" s="45">
        <v>1</v>
      </c>
      <c r="S68" s="46">
        <f t="shared" si="0"/>
        <v>20136500</v>
      </c>
      <c r="T68" s="48" t="s">
        <v>168</v>
      </c>
      <c r="U68" s="48" t="s">
        <v>63</v>
      </c>
      <c r="V68" s="49" t="s">
        <v>64</v>
      </c>
      <c r="W68" s="48">
        <v>11.5</v>
      </c>
      <c r="X68" s="50" t="s">
        <v>307</v>
      </c>
      <c r="Y68" s="51">
        <v>43104</v>
      </c>
      <c r="Z68" s="52">
        <f t="shared" si="1"/>
        <v>20136500</v>
      </c>
      <c r="AA68" s="50"/>
      <c r="AB68" s="50">
        <v>307</v>
      </c>
      <c r="AC68" s="53">
        <v>43109</v>
      </c>
      <c r="AD68" s="44">
        <v>20136500</v>
      </c>
      <c r="AE68" s="70">
        <v>0</v>
      </c>
      <c r="AF68" s="50">
        <v>498</v>
      </c>
      <c r="AG68" s="50">
        <v>43126</v>
      </c>
      <c r="AH68" s="55">
        <v>20136500</v>
      </c>
      <c r="AI68" s="50" t="s">
        <v>308</v>
      </c>
      <c r="AJ68" s="50">
        <v>421</v>
      </c>
      <c r="AK68" s="64"/>
      <c r="AL68" s="55">
        <v>20136500</v>
      </c>
      <c r="AM68" s="69">
        <v>12373733</v>
      </c>
      <c r="AN68" s="69">
        <v>7762767</v>
      </c>
      <c r="AO68" s="58" t="s">
        <v>67</v>
      </c>
      <c r="AP68" s="64"/>
      <c r="AQ68" s="64"/>
      <c r="AR68" s="64"/>
      <c r="AS68" s="64"/>
      <c r="AT68" s="64"/>
      <c r="AU68" s="64"/>
      <c r="AV68" s="64"/>
      <c r="AW68" s="220"/>
    </row>
    <row r="69" spans="1:49" s="221" customFormat="1" ht="299.25" x14ac:dyDescent="0.25">
      <c r="A69" s="47">
        <v>65</v>
      </c>
      <c r="B69" s="47" t="s">
        <v>309</v>
      </c>
      <c r="C69" s="123" t="s">
        <v>49</v>
      </c>
      <c r="D69" s="63" t="s">
        <v>50</v>
      </c>
      <c r="E69" s="47" t="s">
        <v>51</v>
      </c>
      <c r="F69" s="63" t="s">
        <v>52</v>
      </c>
      <c r="G69" s="63" t="s">
        <v>53</v>
      </c>
      <c r="H69" s="124" t="s">
        <v>54</v>
      </c>
      <c r="I69" s="63" t="s">
        <v>55</v>
      </c>
      <c r="J69" s="63" t="s">
        <v>56</v>
      </c>
      <c r="K69" s="126">
        <v>801116</v>
      </c>
      <c r="L69" s="126" t="s">
        <v>57</v>
      </c>
      <c r="M69" s="47" t="s">
        <v>58</v>
      </c>
      <c r="N69" s="47" t="s">
        <v>59</v>
      </c>
      <c r="O69" s="125" t="s">
        <v>60</v>
      </c>
      <c r="P69" s="47" t="s">
        <v>310</v>
      </c>
      <c r="Q69" s="44">
        <v>8240000</v>
      </c>
      <c r="R69" s="45">
        <v>1</v>
      </c>
      <c r="S69" s="46">
        <f t="shared" si="0"/>
        <v>94760000</v>
      </c>
      <c r="T69" s="48" t="s">
        <v>168</v>
      </c>
      <c r="U69" s="48" t="s">
        <v>63</v>
      </c>
      <c r="V69" s="49" t="s">
        <v>64</v>
      </c>
      <c r="W69" s="48">
        <v>11.5</v>
      </c>
      <c r="X69" s="50" t="s">
        <v>311</v>
      </c>
      <c r="Y69" s="51">
        <v>43104</v>
      </c>
      <c r="Z69" s="52">
        <f t="shared" si="1"/>
        <v>94760000</v>
      </c>
      <c r="AA69" s="50"/>
      <c r="AB69" s="50">
        <v>308</v>
      </c>
      <c r="AC69" s="53">
        <v>43109</v>
      </c>
      <c r="AD69" s="44">
        <v>94760000</v>
      </c>
      <c r="AE69" s="70">
        <v>0</v>
      </c>
      <c r="AF69" s="50">
        <v>463</v>
      </c>
      <c r="AG69" s="50">
        <v>43126</v>
      </c>
      <c r="AH69" s="55">
        <v>94760000</v>
      </c>
      <c r="AI69" s="50" t="s">
        <v>312</v>
      </c>
      <c r="AJ69" s="50">
        <v>390</v>
      </c>
      <c r="AK69" s="64"/>
      <c r="AL69" s="55">
        <v>94760000</v>
      </c>
      <c r="AM69" s="69">
        <v>49989334</v>
      </c>
      <c r="AN69" s="69">
        <v>44770666</v>
      </c>
      <c r="AO69" s="58" t="s">
        <v>67</v>
      </c>
      <c r="AP69" s="64"/>
      <c r="AQ69" s="64"/>
      <c r="AR69" s="64"/>
      <c r="AS69" s="64"/>
      <c r="AT69" s="64"/>
      <c r="AU69" s="64"/>
      <c r="AV69" s="64"/>
      <c r="AW69" s="220"/>
    </row>
    <row r="70" spans="1:49" s="221" customFormat="1" ht="199.5" x14ac:dyDescent="0.25">
      <c r="A70" s="47">
        <v>66</v>
      </c>
      <c r="B70" s="47" t="s">
        <v>313</v>
      </c>
      <c r="C70" s="123" t="s">
        <v>49</v>
      </c>
      <c r="D70" s="63" t="s">
        <v>50</v>
      </c>
      <c r="E70" s="47" t="s">
        <v>89</v>
      </c>
      <c r="F70" s="63" t="s">
        <v>52</v>
      </c>
      <c r="G70" s="63" t="s">
        <v>53</v>
      </c>
      <c r="H70" s="124" t="s">
        <v>54</v>
      </c>
      <c r="I70" s="63" t="s">
        <v>55</v>
      </c>
      <c r="J70" s="63" t="s">
        <v>56</v>
      </c>
      <c r="K70" s="126">
        <v>801116</v>
      </c>
      <c r="L70" s="126" t="s">
        <v>57</v>
      </c>
      <c r="M70" s="47" t="s">
        <v>58</v>
      </c>
      <c r="N70" s="47" t="s">
        <v>59</v>
      </c>
      <c r="O70" s="125" t="s">
        <v>60</v>
      </c>
      <c r="P70" s="47" t="s">
        <v>314</v>
      </c>
      <c r="Q70" s="44">
        <v>2472000</v>
      </c>
      <c r="R70" s="45">
        <v>1</v>
      </c>
      <c r="S70" s="44">
        <f t="shared" ref="S70:S93" si="2">+Q70*R70*W70</f>
        <v>28428000</v>
      </c>
      <c r="T70" s="48" t="s">
        <v>168</v>
      </c>
      <c r="U70" s="48" t="s">
        <v>63</v>
      </c>
      <c r="V70" s="49" t="s">
        <v>64</v>
      </c>
      <c r="W70" s="48">
        <v>11.5</v>
      </c>
      <c r="X70" s="50" t="s">
        <v>315</v>
      </c>
      <c r="Y70" s="51">
        <v>43104</v>
      </c>
      <c r="Z70" s="52">
        <f t="shared" ref="Z70:Z110" si="3">S70</f>
        <v>28428000</v>
      </c>
      <c r="AA70" s="50"/>
      <c r="AB70" s="50">
        <v>309</v>
      </c>
      <c r="AC70" s="53">
        <v>43109</v>
      </c>
      <c r="AD70" s="44">
        <v>28428000</v>
      </c>
      <c r="AE70" s="70">
        <v>0</v>
      </c>
      <c r="AF70" s="50">
        <v>491</v>
      </c>
      <c r="AG70" s="50">
        <v>43126</v>
      </c>
      <c r="AH70" s="55">
        <v>28428000</v>
      </c>
      <c r="AI70" s="50" t="s">
        <v>316</v>
      </c>
      <c r="AJ70" s="50">
        <v>422</v>
      </c>
      <c r="AK70" s="64"/>
      <c r="AL70" s="55">
        <v>28428000</v>
      </c>
      <c r="AM70" s="69">
        <v>17304000</v>
      </c>
      <c r="AN70" s="69">
        <v>11124000</v>
      </c>
      <c r="AO70" s="58" t="s">
        <v>67</v>
      </c>
      <c r="AP70" s="64"/>
      <c r="AQ70" s="64"/>
      <c r="AR70" s="64"/>
      <c r="AS70" s="64"/>
      <c r="AT70" s="64"/>
      <c r="AU70" s="64"/>
      <c r="AV70" s="64"/>
      <c r="AW70" s="220"/>
    </row>
    <row r="71" spans="1:49" s="221" customFormat="1" ht="285" x14ac:dyDescent="0.25">
      <c r="A71" s="47">
        <v>67</v>
      </c>
      <c r="B71" s="47" t="s">
        <v>317</v>
      </c>
      <c r="C71" s="123" t="s">
        <v>49</v>
      </c>
      <c r="D71" s="63" t="s">
        <v>50</v>
      </c>
      <c r="E71" s="47" t="s">
        <v>89</v>
      </c>
      <c r="F71" s="63" t="s">
        <v>52</v>
      </c>
      <c r="G71" s="63" t="s">
        <v>53</v>
      </c>
      <c r="H71" s="124" t="s">
        <v>54</v>
      </c>
      <c r="I71" s="63" t="s">
        <v>55</v>
      </c>
      <c r="J71" s="63" t="s">
        <v>56</v>
      </c>
      <c r="K71" s="126">
        <v>801116</v>
      </c>
      <c r="L71" s="126" t="s">
        <v>57</v>
      </c>
      <c r="M71" s="47" t="s">
        <v>58</v>
      </c>
      <c r="N71" s="47" t="s">
        <v>59</v>
      </c>
      <c r="O71" s="125" t="s">
        <v>60</v>
      </c>
      <c r="P71" s="47" t="s">
        <v>318</v>
      </c>
      <c r="Q71" s="44">
        <v>6695000</v>
      </c>
      <c r="R71" s="45">
        <v>1</v>
      </c>
      <c r="S71" s="44">
        <f t="shared" si="2"/>
        <v>76992500</v>
      </c>
      <c r="T71" s="48" t="s">
        <v>168</v>
      </c>
      <c r="U71" s="48" t="s">
        <v>63</v>
      </c>
      <c r="V71" s="49" t="s">
        <v>64</v>
      </c>
      <c r="W71" s="48">
        <v>11.5</v>
      </c>
      <c r="X71" s="50" t="s">
        <v>319</v>
      </c>
      <c r="Y71" s="51">
        <v>43104</v>
      </c>
      <c r="Z71" s="52">
        <f t="shared" si="3"/>
        <v>76992500</v>
      </c>
      <c r="AA71" s="50"/>
      <c r="AB71" s="50">
        <v>259</v>
      </c>
      <c r="AC71" s="53">
        <v>43105</v>
      </c>
      <c r="AD71" s="44">
        <v>76992500</v>
      </c>
      <c r="AE71" s="70">
        <v>0</v>
      </c>
      <c r="AF71" s="50">
        <v>492</v>
      </c>
      <c r="AG71" s="50">
        <v>43126</v>
      </c>
      <c r="AH71" s="55">
        <v>76992500</v>
      </c>
      <c r="AI71" s="50" t="s">
        <v>320</v>
      </c>
      <c r="AJ71" s="50">
        <v>417</v>
      </c>
      <c r="AK71" s="64"/>
      <c r="AL71" s="55">
        <v>76992500</v>
      </c>
      <c r="AM71" s="69">
        <v>47311333</v>
      </c>
      <c r="AN71" s="69">
        <v>29681167</v>
      </c>
      <c r="AO71" s="58" t="s">
        <v>67</v>
      </c>
      <c r="AP71" s="64"/>
      <c r="AQ71" s="64"/>
      <c r="AR71" s="64"/>
      <c r="AS71" s="64"/>
      <c r="AT71" s="64"/>
      <c r="AU71" s="64"/>
      <c r="AV71" s="64"/>
      <c r="AW71" s="220"/>
    </row>
    <row r="72" spans="1:49" s="221" customFormat="1" ht="199.5" x14ac:dyDescent="0.25">
      <c r="A72" s="47">
        <v>68</v>
      </c>
      <c r="B72" s="47" t="s">
        <v>321</v>
      </c>
      <c r="C72" s="123" t="s">
        <v>49</v>
      </c>
      <c r="D72" s="63" t="s">
        <v>50</v>
      </c>
      <c r="E72" s="47" t="s">
        <v>89</v>
      </c>
      <c r="F72" s="63" t="s">
        <v>52</v>
      </c>
      <c r="G72" s="63" t="s">
        <v>53</v>
      </c>
      <c r="H72" s="124" t="s">
        <v>54</v>
      </c>
      <c r="I72" s="63" t="s">
        <v>55</v>
      </c>
      <c r="J72" s="63" t="s">
        <v>56</v>
      </c>
      <c r="K72" s="126">
        <v>801116</v>
      </c>
      <c r="L72" s="126" t="s">
        <v>57</v>
      </c>
      <c r="M72" s="47" t="s">
        <v>58</v>
      </c>
      <c r="N72" s="47" t="s">
        <v>59</v>
      </c>
      <c r="O72" s="125" t="s">
        <v>60</v>
      </c>
      <c r="P72" s="47" t="s">
        <v>322</v>
      </c>
      <c r="Q72" s="44">
        <v>2060000</v>
      </c>
      <c r="R72" s="45">
        <v>1</v>
      </c>
      <c r="S72" s="44">
        <f t="shared" si="2"/>
        <v>23690000</v>
      </c>
      <c r="T72" s="48" t="s">
        <v>168</v>
      </c>
      <c r="U72" s="48" t="s">
        <v>63</v>
      </c>
      <c r="V72" s="49" t="s">
        <v>64</v>
      </c>
      <c r="W72" s="48">
        <v>11.5</v>
      </c>
      <c r="X72" s="50" t="s">
        <v>323</v>
      </c>
      <c r="Y72" s="51">
        <v>43104</v>
      </c>
      <c r="Z72" s="52">
        <f t="shared" si="3"/>
        <v>23690000</v>
      </c>
      <c r="AA72" s="50"/>
      <c r="AB72" s="50">
        <v>260</v>
      </c>
      <c r="AC72" s="53">
        <v>43105</v>
      </c>
      <c r="AD72" s="44">
        <v>23690000</v>
      </c>
      <c r="AE72" s="70">
        <v>0</v>
      </c>
      <c r="AF72" s="50">
        <v>149</v>
      </c>
      <c r="AG72" s="50">
        <v>43117</v>
      </c>
      <c r="AH72" s="55">
        <v>23690000</v>
      </c>
      <c r="AI72" s="50" t="s">
        <v>324</v>
      </c>
      <c r="AJ72" s="50">
        <v>155</v>
      </c>
      <c r="AK72" s="64"/>
      <c r="AL72" s="55">
        <v>23690000</v>
      </c>
      <c r="AM72" s="69">
        <v>15312666</v>
      </c>
      <c r="AN72" s="69">
        <v>8377334</v>
      </c>
      <c r="AO72" s="58" t="s">
        <v>67</v>
      </c>
      <c r="AP72" s="64"/>
      <c r="AQ72" s="64"/>
      <c r="AR72" s="64"/>
      <c r="AS72" s="64"/>
      <c r="AT72" s="64"/>
      <c r="AU72" s="64"/>
      <c r="AV72" s="64"/>
      <c r="AW72" s="220"/>
    </row>
    <row r="73" spans="1:49" s="221" customFormat="1" ht="185.25" x14ac:dyDescent="0.25">
      <c r="A73" s="47">
        <v>69</v>
      </c>
      <c r="B73" s="47" t="s">
        <v>325</v>
      </c>
      <c r="C73" s="123" t="s">
        <v>49</v>
      </c>
      <c r="D73" s="63" t="s">
        <v>50</v>
      </c>
      <c r="E73" s="47" t="s">
        <v>51</v>
      </c>
      <c r="F73" s="63" t="s">
        <v>52</v>
      </c>
      <c r="G73" s="63" t="s">
        <v>53</v>
      </c>
      <c r="H73" s="124" t="s">
        <v>54</v>
      </c>
      <c r="I73" s="63" t="s">
        <v>55</v>
      </c>
      <c r="J73" s="63" t="s">
        <v>56</v>
      </c>
      <c r="K73" s="126">
        <v>801116</v>
      </c>
      <c r="L73" s="126" t="s">
        <v>57</v>
      </c>
      <c r="M73" s="47" t="s">
        <v>58</v>
      </c>
      <c r="N73" s="47" t="s">
        <v>59</v>
      </c>
      <c r="O73" s="125" t="s">
        <v>60</v>
      </c>
      <c r="P73" s="47" t="s">
        <v>326</v>
      </c>
      <c r="Q73" s="44">
        <v>4532000</v>
      </c>
      <c r="R73" s="45">
        <v>1</v>
      </c>
      <c r="S73" s="46">
        <f t="shared" si="2"/>
        <v>52118000</v>
      </c>
      <c r="T73" s="48" t="s">
        <v>168</v>
      </c>
      <c r="U73" s="48" t="s">
        <v>63</v>
      </c>
      <c r="V73" s="49" t="s">
        <v>64</v>
      </c>
      <c r="W73" s="48">
        <v>11.5</v>
      </c>
      <c r="X73" s="50" t="s">
        <v>327</v>
      </c>
      <c r="Y73" s="51">
        <v>43104</v>
      </c>
      <c r="Z73" s="52">
        <f t="shared" si="3"/>
        <v>52118000</v>
      </c>
      <c r="AA73" s="50"/>
      <c r="AB73" s="50">
        <v>261</v>
      </c>
      <c r="AC73" s="53">
        <v>43109</v>
      </c>
      <c r="AD73" s="44">
        <v>52118000</v>
      </c>
      <c r="AE73" s="70">
        <v>0</v>
      </c>
      <c r="AF73" s="50">
        <v>354</v>
      </c>
      <c r="AG73" s="50">
        <v>43123</v>
      </c>
      <c r="AH73" s="55">
        <v>52118000</v>
      </c>
      <c r="AI73" s="50" t="s">
        <v>328</v>
      </c>
      <c r="AJ73" s="50">
        <v>299</v>
      </c>
      <c r="AK73" s="64"/>
      <c r="AL73" s="55">
        <v>52118000</v>
      </c>
      <c r="AM73" s="69">
        <v>32630400</v>
      </c>
      <c r="AN73" s="69">
        <v>19487600</v>
      </c>
      <c r="AO73" s="58" t="s">
        <v>67</v>
      </c>
      <c r="AP73" s="64"/>
      <c r="AQ73" s="64"/>
      <c r="AR73" s="64"/>
      <c r="AS73" s="64"/>
      <c r="AT73" s="64"/>
      <c r="AU73" s="64"/>
      <c r="AV73" s="64"/>
      <c r="AW73" s="220"/>
    </row>
    <row r="74" spans="1:49" s="221" customFormat="1" ht="299.25" x14ac:dyDescent="0.25">
      <c r="A74" s="47">
        <v>70</v>
      </c>
      <c r="B74" s="47" t="s">
        <v>329</v>
      </c>
      <c r="C74" s="123" t="s">
        <v>49</v>
      </c>
      <c r="D74" s="63" t="s">
        <v>50</v>
      </c>
      <c r="E74" s="47" t="s">
        <v>89</v>
      </c>
      <c r="F74" s="63" t="s">
        <v>52</v>
      </c>
      <c r="G74" s="63" t="s">
        <v>53</v>
      </c>
      <c r="H74" s="124" t="s">
        <v>54</v>
      </c>
      <c r="I74" s="63" t="s">
        <v>55</v>
      </c>
      <c r="J74" s="63" t="s">
        <v>56</v>
      </c>
      <c r="K74" s="126">
        <v>801116</v>
      </c>
      <c r="L74" s="126" t="s">
        <v>57</v>
      </c>
      <c r="M74" s="47" t="s">
        <v>58</v>
      </c>
      <c r="N74" s="47" t="s">
        <v>59</v>
      </c>
      <c r="O74" s="125" t="s">
        <v>60</v>
      </c>
      <c r="P74" s="47" t="s">
        <v>330</v>
      </c>
      <c r="Q74" s="44">
        <v>6180000</v>
      </c>
      <c r="R74" s="45">
        <v>1</v>
      </c>
      <c r="S74" s="44">
        <f t="shared" si="2"/>
        <v>71070000</v>
      </c>
      <c r="T74" s="48" t="s">
        <v>168</v>
      </c>
      <c r="U74" s="48" t="s">
        <v>63</v>
      </c>
      <c r="V74" s="49" t="s">
        <v>64</v>
      </c>
      <c r="W74" s="48">
        <v>11.5</v>
      </c>
      <c r="X74" s="50" t="s">
        <v>331</v>
      </c>
      <c r="Y74" s="51">
        <v>43104</v>
      </c>
      <c r="Z74" s="52">
        <f t="shared" si="3"/>
        <v>71070000</v>
      </c>
      <c r="AA74" s="50"/>
      <c r="AB74" s="50">
        <v>262</v>
      </c>
      <c r="AC74" s="53">
        <v>43109</v>
      </c>
      <c r="AD74" s="44">
        <v>71070000</v>
      </c>
      <c r="AE74" s="70">
        <v>0</v>
      </c>
      <c r="AF74" s="50">
        <v>252</v>
      </c>
      <c r="AG74" s="50">
        <v>43119</v>
      </c>
      <c r="AH74" s="55">
        <v>71070000</v>
      </c>
      <c r="AI74" s="50" t="s">
        <v>332</v>
      </c>
      <c r="AJ74" s="50">
        <v>203</v>
      </c>
      <c r="AK74" s="64"/>
      <c r="AL74" s="55">
        <v>71070000</v>
      </c>
      <c r="AM74" s="69">
        <v>45732000</v>
      </c>
      <c r="AN74" s="69">
        <v>25338000</v>
      </c>
      <c r="AO74" s="58" t="s">
        <v>67</v>
      </c>
      <c r="AP74" s="64"/>
      <c r="AQ74" s="64"/>
      <c r="AR74" s="64"/>
      <c r="AS74" s="64"/>
      <c r="AT74" s="64"/>
      <c r="AU74" s="64"/>
      <c r="AV74" s="64"/>
      <c r="AW74" s="220"/>
    </row>
    <row r="75" spans="1:49" s="221" customFormat="1" ht="228" x14ac:dyDescent="0.25">
      <c r="A75" s="47">
        <v>71</v>
      </c>
      <c r="B75" s="47" t="s">
        <v>333</v>
      </c>
      <c r="C75" s="123" t="s">
        <v>49</v>
      </c>
      <c r="D75" s="63" t="s">
        <v>50</v>
      </c>
      <c r="E75" s="47" t="s">
        <v>89</v>
      </c>
      <c r="F75" s="63" t="s">
        <v>52</v>
      </c>
      <c r="G75" s="63" t="s">
        <v>53</v>
      </c>
      <c r="H75" s="124" t="s">
        <v>54</v>
      </c>
      <c r="I75" s="63" t="s">
        <v>55</v>
      </c>
      <c r="J75" s="63" t="s">
        <v>56</v>
      </c>
      <c r="K75" s="126">
        <v>801116</v>
      </c>
      <c r="L75" s="126" t="s">
        <v>57</v>
      </c>
      <c r="M75" s="47" t="s">
        <v>58</v>
      </c>
      <c r="N75" s="47" t="s">
        <v>59</v>
      </c>
      <c r="O75" s="125" t="s">
        <v>60</v>
      </c>
      <c r="P75" s="47" t="s">
        <v>334</v>
      </c>
      <c r="Q75" s="44">
        <v>5036700</v>
      </c>
      <c r="R75" s="45">
        <v>1</v>
      </c>
      <c r="S75" s="44">
        <f t="shared" si="2"/>
        <v>57922050</v>
      </c>
      <c r="T75" s="48" t="s">
        <v>168</v>
      </c>
      <c r="U75" s="48" t="s">
        <v>63</v>
      </c>
      <c r="V75" s="49" t="s">
        <v>64</v>
      </c>
      <c r="W75" s="48">
        <v>11.5</v>
      </c>
      <c r="X75" s="50" t="s">
        <v>335</v>
      </c>
      <c r="Y75" s="51">
        <v>43104</v>
      </c>
      <c r="Z75" s="52">
        <f t="shared" si="3"/>
        <v>57922050</v>
      </c>
      <c r="AA75" s="50"/>
      <c r="AB75" s="50">
        <v>263</v>
      </c>
      <c r="AC75" s="53">
        <v>43109</v>
      </c>
      <c r="AD75" s="44">
        <v>57922050</v>
      </c>
      <c r="AE75" s="70">
        <v>0</v>
      </c>
      <c r="AF75" s="50">
        <v>273</v>
      </c>
      <c r="AG75" s="50">
        <v>43122</v>
      </c>
      <c r="AH75" s="55">
        <v>57922050</v>
      </c>
      <c r="AI75" s="50" t="s">
        <v>336</v>
      </c>
      <c r="AJ75" s="50">
        <v>243</v>
      </c>
      <c r="AK75" s="64"/>
      <c r="AL75" s="55">
        <v>57922050</v>
      </c>
      <c r="AM75" s="69">
        <v>36767910</v>
      </c>
      <c r="AN75" s="69">
        <v>21154140</v>
      </c>
      <c r="AO75" s="58" t="s">
        <v>67</v>
      </c>
      <c r="AP75" s="64"/>
      <c r="AQ75" s="64"/>
      <c r="AR75" s="64"/>
      <c r="AS75" s="64"/>
      <c r="AT75" s="64"/>
      <c r="AU75" s="64"/>
      <c r="AV75" s="64"/>
      <c r="AW75" s="220"/>
    </row>
    <row r="76" spans="1:49" s="221" customFormat="1" ht="356.25" x14ac:dyDescent="0.25">
      <c r="A76" s="47">
        <v>72</v>
      </c>
      <c r="B76" s="47" t="s">
        <v>337</v>
      </c>
      <c r="C76" s="123" t="s">
        <v>49</v>
      </c>
      <c r="D76" s="63" t="s">
        <v>50</v>
      </c>
      <c r="E76" s="47" t="s">
        <v>89</v>
      </c>
      <c r="F76" s="63" t="s">
        <v>52</v>
      </c>
      <c r="G76" s="63" t="s">
        <v>53</v>
      </c>
      <c r="H76" s="124" t="s">
        <v>54</v>
      </c>
      <c r="I76" s="63" t="s">
        <v>55</v>
      </c>
      <c r="J76" s="63" t="s">
        <v>56</v>
      </c>
      <c r="K76" s="126">
        <v>801116</v>
      </c>
      <c r="L76" s="126" t="s">
        <v>57</v>
      </c>
      <c r="M76" s="47" t="s">
        <v>58</v>
      </c>
      <c r="N76" s="47" t="s">
        <v>59</v>
      </c>
      <c r="O76" s="125" t="s">
        <v>60</v>
      </c>
      <c r="P76" s="47" t="s">
        <v>338</v>
      </c>
      <c r="Q76" s="44">
        <v>2472000</v>
      </c>
      <c r="R76" s="45">
        <v>1</v>
      </c>
      <c r="S76" s="44">
        <f t="shared" si="2"/>
        <v>28428000</v>
      </c>
      <c r="T76" s="48" t="s">
        <v>168</v>
      </c>
      <c r="U76" s="48" t="s">
        <v>63</v>
      </c>
      <c r="V76" s="49" t="s">
        <v>64</v>
      </c>
      <c r="W76" s="48">
        <v>11.5</v>
      </c>
      <c r="X76" s="50" t="s">
        <v>339</v>
      </c>
      <c r="Y76" s="51">
        <v>43104</v>
      </c>
      <c r="Z76" s="52">
        <f t="shared" si="3"/>
        <v>28428000</v>
      </c>
      <c r="AA76" s="50"/>
      <c r="AB76" s="50">
        <v>264</v>
      </c>
      <c r="AC76" s="53">
        <v>43109</v>
      </c>
      <c r="AD76" s="44">
        <v>28428000</v>
      </c>
      <c r="AE76" s="70">
        <v>0</v>
      </c>
      <c r="AF76" s="50">
        <v>161</v>
      </c>
      <c r="AG76" s="50">
        <v>43118</v>
      </c>
      <c r="AH76" s="55">
        <v>28428000</v>
      </c>
      <c r="AI76" s="50" t="s">
        <v>340</v>
      </c>
      <c r="AJ76" s="50">
        <v>125</v>
      </c>
      <c r="AK76" s="64"/>
      <c r="AL76" s="55">
        <v>28428000</v>
      </c>
      <c r="AM76" s="69">
        <v>18375200</v>
      </c>
      <c r="AN76" s="69">
        <v>10052800</v>
      </c>
      <c r="AO76" s="58" t="s">
        <v>67</v>
      </c>
      <c r="AP76" s="64"/>
      <c r="AQ76" s="64"/>
      <c r="AR76" s="64"/>
      <c r="AS76" s="64"/>
      <c r="AT76" s="64"/>
      <c r="AU76" s="64"/>
      <c r="AV76" s="64"/>
      <c r="AW76" s="220"/>
    </row>
    <row r="77" spans="1:49" s="221" customFormat="1" ht="313.5" x14ac:dyDescent="0.25">
      <c r="A77" s="47">
        <v>73</v>
      </c>
      <c r="B77" s="47" t="s">
        <v>341</v>
      </c>
      <c r="C77" s="123" t="s">
        <v>49</v>
      </c>
      <c r="D77" s="63" t="s">
        <v>50</v>
      </c>
      <c r="E77" s="47" t="s">
        <v>89</v>
      </c>
      <c r="F77" s="63" t="s">
        <v>52</v>
      </c>
      <c r="G77" s="63" t="s">
        <v>53</v>
      </c>
      <c r="H77" s="124" t="s">
        <v>54</v>
      </c>
      <c r="I77" s="63" t="s">
        <v>55</v>
      </c>
      <c r="J77" s="63" t="s">
        <v>56</v>
      </c>
      <c r="K77" s="126">
        <v>801116</v>
      </c>
      <c r="L77" s="126" t="s">
        <v>57</v>
      </c>
      <c r="M77" s="47" t="s">
        <v>58</v>
      </c>
      <c r="N77" s="47" t="s">
        <v>59</v>
      </c>
      <c r="O77" s="125" t="s">
        <v>60</v>
      </c>
      <c r="P77" s="47" t="s">
        <v>342</v>
      </c>
      <c r="Q77" s="44">
        <v>1259176</v>
      </c>
      <c r="R77" s="45">
        <v>1</v>
      </c>
      <c r="S77" s="44">
        <f>+Q77*R77*W77-629599</f>
        <v>13850925</v>
      </c>
      <c r="T77" s="48" t="s">
        <v>168</v>
      </c>
      <c r="U77" s="48" t="s">
        <v>63</v>
      </c>
      <c r="V77" s="49" t="s">
        <v>64</v>
      </c>
      <c r="W77" s="48">
        <v>11.5</v>
      </c>
      <c r="X77" s="50" t="s">
        <v>343</v>
      </c>
      <c r="Y77" s="51">
        <v>43104</v>
      </c>
      <c r="Z77" s="52">
        <f t="shared" si="3"/>
        <v>13850925</v>
      </c>
      <c r="AA77" s="50"/>
      <c r="AB77" s="50">
        <v>265</v>
      </c>
      <c r="AC77" s="53">
        <v>43109</v>
      </c>
      <c r="AD77" s="44">
        <v>14480524</v>
      </c>
      <c r="AE77" s="70">
        <v>629599</v>
      </c>
      <c r="AF77" s="50">
        <v>178</v>
      </c>
      <c r="AG77" s="50">
        <v>43118</v>
      </c>
      <c r="AH77" s="55">
        <v>13850925</v>
      </c>
      <c r="AI77" s="50" t="s">
        <v>344</v>
      </c>
      <c r="AJ77" s="50">
        <v>160</v>
      </c>
      <c r="AK77" s="64"/>
      <c r="AL77" s="55">
        <v>13850925</v>
      </c>
      <c r="AM77" s="69">
        <v>9359867</v>
      </c>
      <c r="AN77" s="69">
        <v>4491058</v>
      </c>
      <c r="AO77" s="58" t="s">
        <v>67</v>
      </c>
      <c r="AP77" s="54">
        <v>629599</v>
      </c>
      <c r="AQ77" s="58" t="s">
        <v>68</v>
      </c>
      <c r="AR77" s="60">
        <v>43339</v>
      </c>
      <c r="AS77" s="58" t="s">
        <v>69</v>
      </c>
      <c r="AT77" s="64"/>
      <c r="AU77" s="64"/>
      <c r="AV77" s="64"/>
      <c r="AW77" s="220"/>
    </row>
    <row r="78" spans="1:49" s="221" customFormat="1" ht="270.75" x14ac:dyDescent="0.25">
      <c r="A78" s="47">
        <v>74</v>
      </c>
      <c r="B78" s="47" t="s">
        <v>345</v>
      </c>
      <c r="C78" s="123" t="s">
        <v>49</v>
      </c>
      <c r="D78" s="63" t="s">
        <v>50</v>
      </c>
      <c r="E78" s="47" t="s">
        <v>89</v>
      </c>
      <c r="F78" s="63" t="s">
        <v>52</v>
      </c>
      <c r="G78" s="63" t="s">
        <v>53</v>
      </c>
      <c r="H78" s="124" t="s">
        <v>54</v>
      </c>
      <c r="I78" s="63" t="s">
        <v>55</v>
      </c>
      <c r="J78" s="63" t="s">
        <v>56</v>
      </c>
      <c r="K78" s="126">
        <v>801116</v>
      </c>
      <c r="L78" s="126" t="s">
        <v>57</v>
      </c>
      <c r="M78" s="47" t="s">
        <v>58</v>
      </c>
      <c r="N78" s="47" t="s">
        <v>59</v>
      </c>
      <c r="O78" s="125" t="s">
        <v>60</v>
      </c>
      <c r="P78" s="47" t="s">
        <v>346</v>
      </c>
      <c r="Q78" s="44">
        <v>1030000</v>
      </c>
      <c r="R78" s="45">
        <v>1</v>
      </c>
      <c r="S78" s="44">
        <f>+Q78*R78*W78-515000</f>
        <v>11330000</v>
      </c>
      <c r="T78" s="48" t="s">
        <v>168</v>
      </c>
      <c r="U78" s="48" t="s">
        <v>63</v>
      </c>
      <c r="V78" s="49" t="s">
        <v>64</v>
      </c>
      <c r="W78" s="48">
        <v>11.5</v>
      </c>
      <c r="X78" s="50" t="s">
        <v>347</v>
      </c>
      <c r="Y78" s="51">
        <v>43104</v>
      </c>
      <c r="Z78" s="52">
        <f t="shared" si="3"/>
        <v>11330000</v>
      </c>
      <c r="AA78" s="50"/>
      <c r="AB78" s="50">
        <v>266</v>
      </c>
      <c r="AC78" s="53">
        <v>43109</v>
      </c>
      <c r="AD78" s="44">
        <v>11845000</v>
      </c>
      <c r="AE78" s="70">
        <v>515000</v>
      </c>
      <c r="AF78" s="50">
        <v>370</v>
      </c>
      <c r="AG78" s="50">
        <v>43124</v>
      </c>
      <c r="AH78" s="55">
        <v>11330000</v>
      </c>
      <c r="AI78" s="50" t="s">
        <v>348</v>
      </c>
      <c r="AJ78" s="50">
        <v>304</v>
      </c>
      <c r="AK78" s="64"/>
      <c r="AL78" s="55">
        <v>11330000</v>
      </c>
      <c r="AM78" s="69">
        <v>7450333</v>
      </c>
      <c r="AN78" s="69">
        <v>3879667</v>
      </c>
      <c r="AO78" s="58" t="s">
        <v>67</v>
      </c>
      <c r="AP78" s="70">
        <v>515000</v>
      </c>
      <c r="AQ78" s="58" t="s">
        <v>68</v>
      </c>
      <c r="AR78" s="60">
        <v>43339</v>
      </c>
      <c r="AS78" s="58" t="s">
        <v>69</v>
      </c>
      <c r="AT78" s="64"/>
      <c r="AU78" s="64"/>
      <c r="AV78" s="64"/>
      <c r="AW78" s="220"/>
    </row>
    <row r="79" spans="1:49" s="221" customFormat="1" ht="370.5" x14ac:dyDescent="0.25">
      <c r="A79" s="47">
        <v>75</v>
      </c>
      <c r="B79" s="47" t="s">
        <v>349</v>
      </c>
      <c r="C79" s="123" t="s">
        <v>49</v>
      </c>
      <c r="D79" s="63" t="s">
        <v>50</v>
      </c>
      <c r="E79" s="47" t="s">
        <v>89</v>
      </c>
      <c r="F79" s="63" t="s">
        <v>52</v>
      </c>
      <c r="G79" s="63" t="s">
        <v>53</v>
      </c>
      <c r="H79" s="124" t="s">
        <v>54</v>
      </c>
      <c r="I79" s="63" t="s">
        <v>55</v>
      </c>
      <c r="J79" s="63" t="s">
        <v>56</v>
      </c>
      <c r="K79" s="126">
        <v>801116</v>
      </c>
      <c r="L79" s="126" t="s">
        <v>57</v>
      </c>
      <c r="M79" s="47" t="s">
        <v>58</v>
      </c>
      <c r="N79" s="47" t="s">
        <v>59</v>
      </c>
      <c r="O79" s="125" t="s">
        <v>60</v>
      </c>
      <c r="P79" s="47" t="s">
        <v>142</v>
      </c>
      <c r="Q79" s="44">
        <v>5253000</v>
      </c>
      <c r="R79" s="45">
        <v>1</v>
      </c>
      <c r="S79" s="44">
        <f t="shared" si="2"/>
        <v>60409500</v>
      </c>
      <c r="T79" s="48" t="s">
        <v>168</v>
      </c>
      <c r="U79" s="48" t="s">
        <v>63</v>
      </c>
      <c r="V79" s="49" t="s">
        <v>64</v>
      </c>
      <c r="W79" s="48">
        <v>11.5</v>
      </c>
      <c r="X79" s="50" t="s">
        <v>350</v>
      </c>
      <c r="Y79" s="51">
        <v>43104</v>
      </c>
      <c r="Z79" s="52">
        <f t="shared" si="3"/>
        <v>60409500</v>
      </c>
      <c r="AA79" s="50"/>
      <c r="AB79" s="50">
        <v>267</v>
      </c>
      <c r="AC79" s="53">
        <v>43109</v>
      </c>
      <c r="AD79" s="44">
        <v>60409500</v>
      </c>
      <c r="AE79" s="70">
        <v>0</v>
      </c>
      <c r="AF79" s="50">
        <v>352</v>
      </c>
      <c r="AG79" s="50">
        <v>43123</v>
      </c>
      <c r="AH79" s="55">
        <v>60409500</v>
      </c>
      <c r="AI79" s="50" t="s">
        <v>351</v>
      </c>
      <c r="AJ79" s="50">
        <v>298</v>
      </c>
      <c r="AK79" s="64"/>
      <c r="AL79" s="55">
        <v>60409500</v>
      </c>
      <c r="AM79" s="69">
        <v>37821600</v>
      </c>
      <c r="AN79" s="69">
        <v>22587900</v>
      </c>
      <c r="AO79" s="58" t="s">
        <v>67</v>
      </c>
      <c r="AP79" s="64"/>
      <c r="AQ79" s="64"/>
      <c r="AR79" s="64"/>
      <c r="AS79" s="64"/>
      <c r="AT79" s="64"/>
      <c r="AU79" s="64"/>
      <c r="AV79" s="64"/>
      <c r="AW79" s="220"/>
    </row>
    <row r="80" spans="1:49" s="221" customFormat="1" ht="213.75" x14ac:dyDescent="0.25">
      <c r="A80" s="47">
        <v>76</v>
      </c>
      <c r="B80" s="47" t="s">
        <v>352</v>
      </c>
      <c r="C80" s="123" t="s">
        <v>49</v>
      </c>
      <c r="D80" s="63" t="s">
        <v>50</v>
      </c>
      <c r="E80" s="47" t="s">
        <v>89</v>
      </c>
      <c r="F80" s="63" t="s">
        <v>52</v>
      </c>
      <c r="G80" s="63" t="s">
        <v>53</v>
      </c>
      <c r="H80" s="124" t="s">
        <v>54</v>
      </c>
      <c r="I80" s="63" t="s">
        <v>55</v>
      </c>
      <c r="J80" s="63" t="s">
        <v>56</v>
      </c>
      <c r="K80" s="126">
        <v>801116</v>
      </c>
      <c r="L80" s="126" t="s">
        <v>57</v>
      </c>
      <c r="M80" s="47" t="s">
        <v>58</v>
      </c>
      <c r="N80" s="47" t="s">
        <v>59</v>
      </c>
      <c r="O80" s="125" t="s">
        <v>60</v>
      </c>
      <c r="P80" s="47" t="s">
        <v>353</v>
      </c>
      <c r="Q80" s="44">
        <v>3326900</v>
      </c>
      <c r="R80" s="45">
        <v>1</v>
      </c>
      <c r="S80" s="44">
        <f t="shared" si="2"/>
        <v>38259350</v>
      </c>
      <c r="T80" s="48" t="s">
        <v>168</v>
      </c>
      <c r="U80" s="48" t="s">
        <v>63</v>
      </c>
      <c r="V80" s="49" t="s">
        <v>64</v>
      </c>
      <c r="W80" s="48">
        <v>11.5</v>
      </c>
      <c r="X80" s="50" t="s">
        <v>354</v>
      </c>
      <c r="Y80" s="51">
        <v>43104</v>
      </c>
      <c r="Z80" s="52">
        <f t="shared" si="3"/>
        <v>38259350</v>
      </c>
      <c r="AA80" s="50"/>
      <c r="AB80" s="50">
        <v>268</v>
      </c>
      <c r="AC80" s="53">
        <v>43109</v>
      </c>
      <c r="AD80" s="44">
        <v>38259350</v>
      </c>
      <c r="AE80" s="70">
        <v>0</v>
      </c>
      <c r="AF80" s="50">
        <v>140</v>
      </c>
      <c r="AG80" s="50">
        <v>43117</v>
      </c>
      <c r="AH80" s="55">
        <v>38259350</v>
      </c>
      <c r="AI80" s="50" t="s">
        <v>355</v>
      </c>
      <c r="AJ80" s="50">
        <v>150</v>
      </c>
      <c r="AK80" s="64"/>
      <c r="AL80" s="55">
        <v>38259350</v>
      </c>
      <c r="AM80" s="69">
        <v>24729957</v>
      </c>
      <c r="AN80" s="69">
        <v>13529393</v>
      </c>
      <c r="AO80" s="58" t="s">
        <v>67</v>
      </c>
      <c r="AP80" s="64"/>
      <c r="AQ80" s="64"/>
      <c r="AR80" s="64"/>
      <c r="AS80" s="64"/>
      <c r="AT80" s="64"/>
      <c r="AU80" s="64"/>
      <c r="AV80" s="64"/>
      <c r="AW80" s="220"/>
    </row>
    <row r="81" spans="1:49" s="221" customFormat="1" ht="285" x14ac:dyDescent="0.25">
      <c r="A81" s="47">
        <v>77</v>
      </c>
      <c r="B81" s="47" t="s">
        <v>356</v>
      </c>
      <c r="C81" s="123" t="s">
        <v>49</v>
      </c>
      <c r="D81" s="63" t="s">
        <v>50</v>
      </c>
      <c r="E81" s="47" t="s">
        <v>89</v>
      </c>
      <c r="F81" s="63" t="s">
        <v>52</v>
      </c>
      <c r="G81" s="63" t="s">
        <v>53</v>
      </c>
      <c r="H81" s="124" t="s">
        <v>54</v>
      </c>
      <c r="I81" s="63" t="s">
        <v>55</v>
      </c>
      <c r="J81" s="63" t="s">
        <v>56</v>
      </c>
      <c r="K81" s="126">
        <v>801116</v>
      </c>
      <c r="L81" s="126" t="s">
        <v>57</v>
      </c>
      <c r="M81" s="47" t="s">
        <v>58</v>
      </c>
      <c r="N81" s="47" t="s">
        <v>59</v>
      </c>
      <c r="O81" s="125" t="s">
        <v>60</v>
      </c>
      <c r="P81" s="47" t="s">
        <v>223</v>
      </c>
      <c r="Q81" s="44">
        <v>4120000</v>
      </c>
      <c r="R81" s="45">
        <v>1</v>
      </c>
      <c r="S81" s="44">
        <f t="shared" si="2"/>
        <v>47380000</v>
      </c>
      <c r="T81" s="48" t="s">
        <v>168</v>
      </c>
      <c r="U81" s="48" t="s">
        <v>63</v>
      </c>
      <c r="V81" s="49" t="s">
        <v>64</v>
      </c>
      <c r="W81" s="48">
        <v>11.5</v>
      </c>
      <c r="X81" s="50" t="s">
        <v>357</v>
      </c>
      <c r="Y81" s="51">
        <v>43104</v>
      </c>
      <c r="Z81" s="52">
        <f t="shared" si="3"/>
        <v>47380000</v>
      </c>
      <c r="AA81" s="50"/>
      <c r="AB81" s="50">
        <v>269</v>
      </c>
      <c r="AC81" s="53">
        <v>43109</v>
      </c>
      <c r="AD81" s="44">
        <v>47380000</v>
      </c>
      <c r="AE81" s="70">
        <v>0</v>
      </c>
      <c r="AF81" s="50">
        <v>85</v>
      </c>
      <c r="AG81" s="50">
        <v>43116</v>
      </c>
      <c r="AH81" s="55">
        <v>47380000</v>
      </c>
      <c r="AI81" s="50" t="s">
        <v>358</v>
      </c>
      <c r="AJ81" s="50">
        <v>81</v>
      </c>
      <c r="AK81" s="64"/>
      <c r="AL81" s="55">
        <v>47380000</v>
      </c>
      <c r="AM81" s="69">
        <v>30762667</v>
      </c>
      <c r="AN81" s="69">
        <v>16617333</v>
      </c>
      <c r="AO81" s="58" t="s">
        <v>67</v>
      </c>
      <c r="AP81" s="64"/>
      <c r="AQ81" s="64"/>
      <c r="AR81" s="64"/>
      <c r="AS81" s="64"/>
      <c r="AT81" s="64"/>
      <c r="AU81" s="64"/>
      <c r="AV81" s="64"/>
      <c r="AW81" s="220"/>
    </row>
    <row r="82" spans="1:49" s="221" customFormat="1" ht="356.25" x14ac:dyDescent="0.25">
      <c r="A82" s="47">
        <v>78</v>
      </c>
      <c r="B82" s="47" t="s">
        <v>359</v>
      </c>
      <c r="C82" s="123" t="s">
        <v>49</v>
      </c>
      <c r="D82" s="63" t="s">
        <v>50</v>
      </c>
      <c r="E82" s="47" t="s">
        <v>89</v>
      </c>
      <c r="F82" s="63" t="s">
        <v>52</v>
      </c>
      <c r="G82" s="63" t="s">
        <v>53</v>
      </c>
      <c r="H82" s="124" t="s">
        <v>54</v>
      </c>
      <c r="I82" s="63" t="s">
        <v>55</v>
      </c>
      <c r="J82" s="63" t="s">
        <v>56</v>
      </c>
      <c r="K82" s="126">
        <v>801116</v>
      </c>
      <c r="L82" s="126" t="s">
        <v>57</v>
      </c>
      <c r="M82" s="47" t="s">
        <v>58</v>
      </c>
      <c r="N82" s="47" t="s">
        <v>59</v>
      </c>
      <c r="O82" s="125" t="s">
        <v>60</v>
      </c>
      <c r="P82" s="47" t="s">
        <v>360</v>
      </c>
      <c r="Q82" s="44">
        <v>5253000</v>
      </c>
      <c r="R82" s="45">
        <v>1</v>
      </c>
      <c r="S82" s="44">
        <f t="shared" si="2"/>
        <v>60409500</v>
      </c>
      <c r="T82" s="48" t="s">
        <v>168</v>
      </c>
      <c r="U82" s="48" t="s">
        <v>63</v>
      </c>
      <c r="V82" s="49" t="s">
        <v>64</v>
      </c>
      <c r="W82" s="48">
        <v>11.5</v>
      </c>
      <c r="X82" s="50" t="s">
        <v>361</v>
      </c>
      <c r="Y82" s="51">
        <v>43104</v>
      </c>
      <c r="Z82" s="52">
        <f t="shared" si="3"/>
        <v>60409500</v>
      </c>
      <c r="AA82" s="50"/>
      <c r="AB82" s="50">
        <v>270</v>
      </c>
      <c r="AC82" s="53">
        <v>43109</v>
      </c>
      <c r="AD82" s="44">
        <v>60409500</v>
      </c>
      <c r="AE82" s="70">
        <v>0</v>
      </c>
      <c r="AF82" s="50">
        <v>231</v>
      </c>
      <c r="AG82" s="50">
        <v>43118</v>
      </c>
      <c r="AH82" s="55">
        <v>60409500</v>
      </c>
      <c r="AI82" s="50" t="s">
        <v>362</v>
      </c>
      <c r="AJ82" s="50">
        <v>199</v>
      </c>
      <c r="AK82" s="64"/>
      <c r="AL82" s="55">
        <v>60409500</v>
      </c>
      <c r="AM82" s="69">
        <v>38872200</v>
      </c>
      <c r="AN82" s="69">
        <v>21537300</v>
      </c>
      <c r="AO82" s="58" t="s">
        <v>67</v>
      </c>
      <c r="AP82" s="64"/>
      <c r="AQ82" s="64"/>
      <c r="AR82" s="64"/>
      <c r="AS82" s="64"/>
      <c r="AT82" s="64"/>
      <c r="AU82" s="64"/>
      <c r="AV82" s="64"/>
      <c r="AW82" s="220"/>
    </row>
    <row r="83" spans="1:49" s="221" customFormat="1" ht="409.5" x14ac:dyDescent="0.25">
      <c r="A83" s="47">
        <v>79</v>
      </c>
      <c r="B83" s="47" t="s">
        <v>363</v>
      </c>
      <c r="C83" s="123" t="s">
        <v>49</v>
      </c>
      <c r="D83" s="63" t="s">
        <v>50</v>
      </c>
      <c r="E83" s="47" t="s">
        <v>51</v>
      </c>
      <c r="F83" s="63" t="s">
        <v>52</v>
      </c>
      <c r="G83" s="63" t="s">
        <v>53</v>
      </c>
      <c r="H83" s="124" t="s">
        <v>54</v>
      </c>
      <c r="I83" s="63" t="s">
        <v>55</v>
      </c>
      <c r="J83" s="63" t="s">
        <v>56</v>
      </c>
      <c r="K83" s="126">
        <v>801116</v>
      </c>
      <c r="L83" s="126" t="s">
        <v>57</v>
      </c>
      <c r="M83" s="47" t="s">
        <v>58</v>
      </c>
      <c r="N83" s="47" t="s">
        <v>59</v>
      </c>
      <c r="O83" s="125" t="s">
        <v>60</v>
      </c>
      <c r="P83" s="47" t="s">
        <v>364</v>
      </c>
      <c r="Q83" s="44">
        <v>8384200</v>
      </c>
      <c r="R83" s="45">
        <v>1</v>
      </c>
      <c r="S83" s="46">
        <f>+Q83*R83*W83-4516050</f>
        <v>91902250</v>
      </c>
      <c r="T83" s="48" t="s">
        <v>168</v>
      </c>
      <c r="U83" s="48" t="s">
        <v>63</v>
      </c>
      <c r="V83" s="49" t="s">
        <v>64</v>
      </c>
      <c r="W83" s="48">
        <v>11.5</v>
      </c>
      <c r="X83" s="50" t="s">
        <v>365</v>
      </c>
      <c r="Y83" s="51">
        <v>43104</v>
      </c>
      <c r="Z83" s="52">
        <f t="shared" si="3"/>
        <v>91902250</v>
      </c>
      <c r="AA83" s="50"/>
      <c r="AB83" s="50">
        <v>271</v>
      </c>
      <c r="AC83" s="53">
        <v>43109</v>
      </c>
      <c r="AD83" s="44">
        <v>96418300</v>
      </c>
      <c r="AE83" s="54">
        <v>4516050</v>
      </c>
      <c r="AF83" s="50">
        <v>410</v>
      </c>
      <c r="AG83" s="50">
        <v>43124</v>
      </c>
      <c r="AH83" s="55">
        <v>91902250</v>
      </c>
      <c r="AI83" s="50" t="s">
        <v>366</v>
      </c>
      <c r="AJ83" s="50">
        <v>314</v>
      </c>
      <c r="AK83" s="64"/>
      <c r="AL83" s="55">
        <v>91902250</v>
      </c>
      <c r="AM83" s="69">
        <v>52360000</v>
      </c>
      <c r="AN83" s="69">
        <v>39542250</v>
      </c>
      <c r="AO83" s="58" t="s">
        <v>67</v>
      </c>
      <c r="AP83" s="54">
        <v>4516050</v>
      </c>
      <c r="AQ83" s="58" t="s">
        <v>68</v>
      </c>
      <c r="AR83" s="60">
        <v>43339</v>
      </c>
      <c r="AS83" s="58" t="s">
        <v>69</v>
      </c>
      <c r="AT83" s="64"/>
      <c r="AU83" s="64"/>
      <c r="AV83" s="64"/>
      <c r="AW83" s="220"/>
    </row>
    <row r="84" spans="1:49" s="221" customFormat="1" ht="228" x14ac:dyDescent="0.25">
      <c r="A84" s="47">
        <v>80</v>
      </c>
      <c r="B84" s="47" t="s">
        <v>367</v>
      </c>
      <c r="C84" s="123" t="s">
        <v>49</v>
      </c>
      <c r="D84" s="63" t="s">
        <v>50</v>
      </c>
      <c r="E84" s="133" t="s">
        <v>89</v>
      </c>
      <c r="F84" s="63" t="s">
        <v>52</v>
      </c>
      <c r="G84" s="63" t="s">
        <v>53</v>
      </c>
      <c r="H84" s="124" t="s">
        <v>54</v>
      </c>
      <c r="I84" s="63" t="s">
        <v>55</v>
      </c>
      <c r="J84" s="63" t="s">
        <v>56</v>
      </c>
      <c r="K84" s="126">
        <v>801116</v>
      </c>
      <c r="L84" s="126" t="s">
        <v>57</v>
      </c>
      <c r="M84" s="47" t="s">
        <v>58</v>
      </c>
      <c r="N84" s="47" t="s">
        <v>59</v>
      </c>
      <c r="O84" s="125" t="s">
        <v>60</v>
      </c>
      <c r="P84" s="47" t="s">
        <v>368</v>
      </c>
      <c r="Q84" s="44">
        <v>8240000</v>
      </c>
      <c r="R84" s="45">
        <v>1</v>
      </c>
      <c r="S84" s="44">
        <f t="shared" si="2"/>
        <v>94760000</v>
      </c>
      <c r="T84" s="48" t="s">
        <v>168</v>
      </c>
      <c r="U84" s="48" t="s">
        <v>63</v>
      </c>
      <c r="V84" s="49" t="s">
        <v>64</v>
      </c>
      <c r="W84" s="63">
        <v>11.5</v>
      </c>
      <c r="X84" s="50" t="s">
        <v>369</v>
      </c>
      <c r="Y84" s="51">
        <v>43104</v>
      </c>
      <c r="Z84" s="52">
        <f t="shared" si="3"/>
        <v>94760000</v>
      </c>
      <c r="AA84" s="50"/>
      <c r="AB84" s="50">
        <v>272</v>
      </c>
      <c r="AC84" s="53">
        <v>43109</v>
      </c>
      <c r="AD84" s="44">
        <v>94760000</v>
      </c>
      <c r="AE84" s="54">
        <v>0</v>
      </c>
      <c r="AF84" s="50">
        <v>394</v>
      </c>
      <c r="AG84" s="50">
        <v>43124</v>
      </c>
      <c r="AH84" s="55">
        <v>94760000</v>
      </c>
      <c r="AI84" s="50" t="s">
        <v>370</v>
      </c>
      <c r="AJ84" s="50">
        <v>316</v>
      </c>
      <c r="AK84" s="64"/>
      <c r="AL84" s="55">
        <v>94760000</v>
      </c>
      <c r="AM84" s="69">
        <v>59328000</v>
      </c>
      <c r="AN84" s="69">
        <v>35432000</v>
      </c>
      <c r="AO84" s="58" t="s">
        <v>67</v>
      </c>
      <c r="AP84" s="64"/>
      <c r="AQ84" s="64"/>
      <c r="AR84" s="64"/>
      <c r="AS84" s="64"/>
      <c r="AT84" s="64"/>
      <c r="AU84" s="64"/>
      <c r="AV84" s="64"/>
      <c r="AW84" s="220"/>
    </row>
    <row r="85" spans="1:49" s="221" customFormat="1" ht="370.5" x14ac:dyDescent="0.25">
      <c r="A85" s="47">
        <v>81</v>
      </c>
      <c r="B85" s="47" t="s">
        <v>371</v>
      </c>
      <c r="C85" s="123" t="s">
        <v>49</v>
      </c>
      <c r="D85" s="63" t="s">
        <v>50</v>
      </c>
      <c r="E85" s="133" t="s">
        <v>89</v>
      </c>
      <c r="F85" s="63" t="s">
        <v>52</v>
      </c>
      <c r="G85" s="63" t="s">
        <v>53</v>
      </c>
      <c r="H85" s="124" t="s">
        <v>54</v>
      </c>
      <c r="I85" s="63" t="s">
        <v>55</v>
      </c>
      <c r="J85" s="63" t="s">
        <v>56</v>
      </c>
      <c r="K85" s="126">
        <v>801116</v>
      </c>
      <c r="L85" s="126" t="s">
        <v>57</v>
      </c>
      <c r="M85" s="47" t="s">
        <v>58</v>
      </c>
      <c r="N85" s="47" t="s">
        <v>59</v>
      </c>
      <c r="O85" s="125" t="s">
        <v>60</v>
      </c>
      <c r="P85" s="47" t="s">
        <v>94</v>
      </c>
      <c r="Q85" s="44">
        <v>5665000</v>
      </c>
      <c r="R85" s="45">
        <v>1</v>
      </c>
      <c r="S85" s="44">
        <f t="shared" si="2"/>
        <v>65147500</v>
      </c>
      <c r="T85" s="48" t="s">
        <v>168</v>
      </c>
      <c r="U85" s="48" t="s">
        <v>63</v>
      </c>
      <c r="V85" s="49" t="s">
        <v>64</v>
      </c>
      <c r="W85" s="63">
        <v>11.5</v>
      </c>
      <c r="X85" s="50" t="s">
        <v>372</v>
      </c>
      <c r="Y85" s="51">
        <v>43104</v>
      </c>
      <c r="Z85" s="52">
        <f t="shared" si="3"/>
        <v>65147500</v>
      </c>
      <c r="AA85" s="50"/>
      <c r="AB85" s="50">
        <v>273</v>
      </c>
      <c r="AC85" s="53">
        <v>43109</v>
      </c>
      <c r="AD85" s="44">
        <v>65147500</v>
      </c>
      <c r="AE85" s="54">
        <v>0</v>
      </c>
      <c r="AF85" s="50">
        <v>453</v>
      </c>
      <c r="AG85" s="50">
        <v>43125</v>
      </c>
      <c r="AH85" s="55">
        <v>65147500</v>
      </c>
      <c r="AI85" s="50" t="s">
        <v>373</v>
      </c>
      <c r="AJ85" s="50">
        <v>383</v>
      </c>
      <c r="AK85" s="64"/>
      <c r="AL85" s="55">
        <v>65147500</v>
      </c>
      <c r="AM85" s="69">
        <v>40599167</v>
      </c>
      <c r="AN85" s="69">
        <v>24548333</v>
      </c>
      <c r="AO85" s="58" t="s">
        <v>67</v>
      </c>
      <c r="AP85" s="64"/>
      <c r="AQ85" s="64"/>
      <c r="AR85" s="64"/>
      <c r="AS85" s="64"/>
      <c r="AT85" s="64"/>
      <c r="AU85" s="64"/>
      <c r="AV85" s="64"/>
      <c r="AW85" s="220"/>
    </row>
    <row r="86" spans="1:49" s="221" customFormat="1" ht="199.5" x14ac:dyDescent="0.25">
      <c r="A86" s="47">
        <v>82</v>
      </c>
      <c r="B86" s="47" t="s">
        <v>374</v>
      </c>
      <c r="C86" s="123" t="s">
        <v>49</v>
      </c>
      <c r="D86" s="63" t="s">
        <v>50</v>
      </c>
      <c r="E86" s="133" t="s">
        <v>51</v>
      </c>
      <c r="F86" s="63" t="s">
        <v>52</v>
      </c>
      <c r="G86" s="63" t="s">
        <v>53</v>
      </c>
      <c r="H86" s="124" t="s">
        <v>54</v>
      </c>
      <c r="I86" s="63" t="s">
        <v>55</v>
      </c>
      <c r="J86" s="63" t="s">
        <v>56</v>
      </c>
      <c r="K86" s="126">
        <v>801116</v>
      </c>
      <c r="L86" s="126" t="s">
        <v>57</v>
      </c>
      <c r="M86" s="47" t="s">
        <v>58</v>
      </c>
      <c r="N86" s="47" t="s">
        <v>59</v>
      </c>
      <c r="O86" s="125" t="s">
        <v>60</v>
      </c>
      <c r="P86" s="47" t="s">
        <v>172</v>
      </c>
      <c r="Q86" s="44">
        <v>7210000</v>
      </c>
      <c r="R86" s="45">
        <v>1</v>
      </c>
      <c r="S86" s="46">
        <f t="shared" si="2"/>
        <v>82915000</v>
      </c>
      <c r="T86" s="48" t="s">
        <v>168</v>
      </c>
      <c r="U86" s="48" t="s">
        <v>63</v>
      </c>
      <c r="V86" s="49" t="s">
        <v>64</v>
      </c>
      <c r="W86" s="63">
        <v>11.5</v>
      </c>
      <c r="X86" s="50" t="s">
        <v>375</v>
      </c>
      <c r="Y86" s="51">
        <v>43104</v>
      </c>
      <c r="Z86" s="52">
        <f t="shared" si="3"/>
        <v>82915000</v>
      </c>
      <c r="AA86" s="50"/>
      <c r="AB86" s="50">
        <v>274</v>
      </c>
      <c r="AC86" s="53">
        <v>43109</v>
      </c>
      <c r="AD86" s="44">
        <v>82915000</v>
      </c>
      <c r="AE86" s="54">
        <v>0</v>
      </c>
      <c r="AF86" s="50">
        <v>151</v>
      </c>
      <c r="AG86" s="50">
        <v>43117</v>
      </c>
      <c r="AH86" s="55">
        <v>82915000</v>
      </c>
      <c r="AI86" s="50" t="s">
        <v>376</v>
      </c>
      <c r="AJ86" s="50">
        <v>158</v>
      </c>
      <c r="AK86" s="64"/>
      <c r="AL86" s="55">
        <v>82915000</v>
      </c>
      <c r="AM86" s="69">
        <v>53594334</v>
      </c>
      <c r="AN86" s="69">
        <v>29320666</v>
      </c>
      <c r="AO86" s="58" t="s">
        <v>67</v>
      </c>
      <c r="AP86" s="64"/>
      <c r="AQ86" s="64"/>
      <c r="AR86" s="64"/>
      <c r="AS86" s="64"/>
      <c r="AT86" s="64"/>
      <c r="AU86" s="64"/>
      <c r="AV86" s="64"/>
      <c r="AW86" s="220"/>
    </row>
    <row r="87" spans="1:49" s="221" customFormat="1" ht="270.75" x14ac:dyDescent="0.25">
      <c r="A87" s="47">
        <v>83</v>
      </c>
      <c r="B87" s="47" t="s">
        <v>377</v>
      </c>
      <c r="C87" s="123" t="s">
        <v>49</v>
      </c>
      <c r="D87" s="63" t="s">
        <v>50</v>
      </c>
      <c r="E87" s="133" t="s">
        <v>51</v>
      </c>
      <c r="F87" s="63" t="s">
        <v>52</v>
      </c>
      <c r="G87" s="63" t="s">
        <v>53</v>
      </c>
      <c r="H87" s="124" t="s">
        <v>54</v>
      </c>
      <c r="I87" s="63" t="s">
        <v>55</v>
      </c>
      <c r="J87" s="63" t="s">
        <v>56</v>
      </c>
      <c r="K87" s="126">
        <v>801116</v>
      </c>
      <c r="L87" s="126" t="s">
        <v>57</v>
      </c>
      <c r="M87" s="47" t="s">
        <v>58</v>
      </c>
      <c r="N87" s="47" t="s">
        <v>59</v>
      </c>
      <c r="O87" s="125" t="s">
        <v>60</v>
      </c>
      <c r="P87" s="47" t="s">
        <v>378</v>
      </c>
      <c r="Q87" s="44">
        <v>4120000</v>
      </c>
      <c r="R87" s="45">
        <v>1</v>
      </c>
      <c r="S87" s="46">
        <f t="shared" si="2"/>
        <v>47380000</v>
      </c>
      <c r="T87" s="48" t="s">
        <v>168</v>
      </c>
      <c r="U87" s="48" t="s">
        <v>63</v>
      </c>
      <c r="V87" s="49" t="s">
        <v>64</v>
      </c>
      <c r="W87" s="63">
        <v>11.5</v>
      </c>
      <c r="X87" s="50" t="s">
        <v>379</v>
      </c>
      <c r="Y87" s="51">
        <v>43104</v>
      </c>
      <c r="Z87" s="52">
        <f t="shared" si="3"/>
        <v>47380000</v>
      </c>
      <c r="AA87" s="50"/>
      <c r="AB87" s="50">
        <v>275</v>
      </c>
      <c r="AC87" s="53">
        <v>43109</v>
      </c>
      <c r="AD87" s="44">
        <v>47380000</v>
      </c>
      <c r="AE87" s="54">
        <v>0</v>
      </c>
      <c r="AF87" s="50">
        <v>363</v>
      </c>
      <c r="AG87" s="50">
        <v>43123</v>
      </c>
      <c r="AH87" s="55">
        <v>47380000</v>
      </c>
      <c r="AI87" s="50" t="s">
        <v>380</v>
      </c>
      <c r="AJ87" s="50">
        <v>303</v>
      </c>
      <c r="AK87" s="64"/>
      <c r="AL87" s="55">
        <v>47380000</v>
      </c>
      <c r="AM87" s="69">
        <v>23020500</v>
      </c>
      <c r="AN87" s="69">
        <v>24359500</v>
      </c>
      <c r="AO87" s="58" t="s">
        <v>67</v>
      </c>
      <c r="AP87" s="64"/>
      <c r="AQ87" s="64"/>
      <c r="AR87" s="64"/>
      <c r="AS87" s="64"/>
      <c r="AT87" s="64"/>
      <c r="AU87" s="64"/>
      <c r="AV87" s="64"/>
      <c r="AW87" s="220"/>
    </row>
    <row r="88" spans="1:49" s="221" customFormat="1" ht="313.5" x14ac:dyDescent="0.25">
      <c r="A88" s="47">
        <v>84</v>
      </c>
      <c r="B88" s="47" t="s">
        <v>381</v>
      </c>
      <c r="C88" s="123" t="s">
        <v>49</v>
      </c>
      <c r="D88" s="63" t="s">
        <v>50</v>
      </c>
      <c r="E88" s="133" t="s">
        <v>89</v>
      </c>
      <c r="F88" s="63" t="s">
        <v>52</v>
      </c>
      <c r="G88" s="63" t="s">
        <v>53</v>
      </c>
      <c r="H88" s="124" t="s">
        <v>54</v>
      </c>
      <c r="I88" s="63" t="s">
        <v>55</v>
      </c>
      <c r="J88" s="63" t="s">
        <v>56</v>
      </c>
      <c r="K88" s="126">
        <v>801116</v>
      </c>
      <c r="L88" s="126" t="s">
        <v>57</v>
      </c>
      <c r="M88" s="47" t="s">
        <v>58</v>
      </c>
      <c r="N88" s="47" t="s">
        <v>59</v>
      </c>
      <c r="O88" s="125" t="s">
        <v>60</v>
      </c>
      <c r="P88" s="47" t="s">
        <v>382</v>
      </c>
      <c r="Q88" s="44">
        <v>2472000</v>
      </c>
      <c r="R88" s="45">
        <v>1</v>
      </c>
      <c r="S88" s="44">
        <f t="shared" si="2"/>
        <v>28428000</v>
      </c>
      <c r="T88" s="48" t="s">
        <v>168</v>
      </c>
      <c r="U88" s="48" t="s">
        <v>63</v>
      </c>
      <c r="V88" s="49" t="s">
        <v>64</v>
      </c>
      <c r="W88" s="63">
        <v>11.5</v>
      </c>
      <c r="X88" s="50" t="s">
        <v>383</v>
      </c>
      <c r="Y88" s="51">
        <v>43104</v>
      </c>
      <c r="Z88" s="52">
        <f t="shared" si="3"/>
        <v>28428000</v>
      </c>
      <c r="AA88" s="50"/>
      <c r="AB88" s="50">
        <v>276</v>
      </c>
      <c r="AC88" s="53">
        <v>43109</v>
      </c>
      <c r="AD88" s="44">
        <v>28428000</v>
      </c>
      <c r="AE88" s="54">
        <v>0</v>
      </c>
      <c r="AF88" s="50">
        <v>494</v>
      </c>
      <c r="AG88" s="50">
        <v>43126</v>
      </c>
      <c r="AH88" s="55">
        <v>28428000</v>
      </c>
      <c r="AI88" s="50" t="s">
        <v>384</v>
      </c>
      <c r="AJ88" s="50">
        <v>420</v>
      </c>
      <c r="AK88" s="64"/>
      <c r="AL88" s="55">
        <v>28428000</v>
      </c>
      <c r="AM88" s="69">
        <v>17304000</v>
      </c>
      <c r="AN88" s="69">
        <v>11124000</v>
      </c>
      <c r="AO88" s="58" t="s">
        <v>67</v>
      </c>
      <c r="AP88" s="64"/>
      <c r="AQ88" s="64"/>
      <c r="AR88" s="64"/>
      <c r="AS88" s="64"/>
      <c r="AT88" s="64"/>
      <c r="AU88" s="64"/>
      <c r="AV88" s="64"/>
      <c r="AW88" s="220"/>
    </row>
    <row r="89" spans="1:49" s="221" customFormat="1" ht="342" x14ac:dyDescent="0.25">
      <c r="A89" s="47">
        <v>85</v>
      </c>
      <c r="B89" s="47" t="s">
        <v>385</v>
      </c>
      <c r="C89" s="123" t="s">
        <v>49</v>
      </c>
      <c r="D89" s="63" t="s">
        <v>50</v>
      </c>
      <c r="E89" s="47" t="s">
        <v>51</v>
      </c>
      <c r="F89" s="63" t="s">
        <v>52</v>
      </c>
      <c r="G89" s="63" t="s">
        <v>53</v>
      </c>
      <c r="H89" s="124" t="s">
        <v>54</v>
      </c>
      <c r="I89" s="63" t="s">
        <v>55</v>
      </c>
      <c r="J89" s="63" t="s">
        <v>56</v>
      </c>
      <c r="K89" s="126">
        <v>801116</v>
      </c>
      <c r="L89" s="126" t="s">
        <v>57</v>
      </c>
      <c r="M89" s="47" t="s">
        <v>58</v>
      </c>
      <c r="N89" s="47" t="s">
        <v>59</v>
      </c>
      <c r="O89" s="125" t="s">
        <v>60</v>
      </c>
      <c r="P89" s="47" t="s">
        <v>386</v>
      </c>
      <c r="Q89" s="44">
        <v>888376</v>
      </c>
      <c r="R89" s="45">
        <v>1</v>
      </c>
      <c r="S89" s="46">
        <f>+Q89*R89*W89-444199</f>
        <v>9772125</v>
      </c>
      <c r="T89" s="48" t="s">
        <v>168</v>
      </c>
      <c r="U89" s="48" t="s">
        <v>63</v>
      </c>
      <c r="V89" s="49" t="s">
        <v>64</v>
      </c>
      <c r="W89" s="48">
        <v>11.5</v>
      </c>
      <c r="X89" s="50" t="s">
        <v>387</v>
      </c>
      <c r="Y89" s="51">
        <v>43104</v>
      </c>
      <c r="Z89" s="52">
        <f t="shared" si="3"/>
        <v>9772125</v>
      </c>
      <c r="AA89" s="50"/>
      <c r="AB89" s="50">
        <v>277</v>
      </c>
      <c r="AC89" s="53">
        <v>43109</v>
      </c>
      <c r="AD89" s="44">
        <v>10216324</v>
      </c>
      <c r="AE89" s="54">
        <v>444199</v>
      </c>
      <c r="AF89" s="50">
        <v>291</v>
      </c>
      <c r="AG89" s="50">
        <v>43122</v>
      </c>
      <c r="AH89" s="55">
        <v>9772125</v>
      </c>
      <c r="AI89" s="50" t="s">
        <v>388</v>
      </c>
      <c r="AJ89" s="50">
        <v>261</v>
      </c>
      <c r="AK89" s="54">
        <v>444199</v>
      </c>
      <c r="AL89" s="55">
        <v>9772125</v>
      </c>
      <c r="AM89" s="69">
        <v>6485162</v>
      </c>
      <c r="AN89" s="69">
        <v>3286963</v>
      </c>
      <c r="AO89" s="58" t="s">
        <v>67</v>
      </c>
      <c r="AP89" s="64"/>
      <c r="AQ89" s="58" t="s">
        <v>68</v>
      </c>
      <c r="AR89" s="60">
        <v>43339</v>
      </c>
      <c r="AS89" s="58" t="s">
        <v>69</v>
      </c>
      <c r="AT89" s="64"/>
      <c r="AU89" s="64"/>
      <c r="AV89" s="64"/>
      <c r="AW89" s="220"/>
    </row>
    <row r="90" spans="1:49" s="221" customFormat="1" ht="256.5" x14ac:dyDescent="0.25">
      <c r="A90" s="47">
        <v>86</v>
      </c>
      <c r="B90" s="47" t="s">
        <v>389</v>
      </c>
      <c r="C90" s="123" t="s">
        <v>49</v>
      </c>
      <c r="D90" s="63" t="s">
        <v>50</v>
      </c>
      <c r="E90" s="63" t="s">
        <v>390</v>
      </c>
      <c r="F90" s="63" t="s">
        <v>52</v>
      </c>
      <c r="G90" s="63" t="s">
        <v>53</v>
      </c>
      <c r="H90" s="124" t="s">
        <v>54</v>
      </c>
      <c r="I90" s="63" t="s">
        <v>55</v>
      </c>
      <c r="J90" s="63" t="s">
        <v>56</v>
      </c>
      <c r="K90" s="126">
        <v>801116</v>
      </c>
      <c r="L90" s="126" t="s">
        <v>57</v>
      </c>
      <c r="M90" s="47" t="s">
        <v>58</v>
      </c>
      <c r="N90" s="47" t="s">
        <v>59</v>
      </c>
      <c r="O90" s="125" t="s">
        <v>60</v>
      </c>
      <c r="P90" s="47" t="s">
        <v>391</v>
      </c>
      <c r="Q90" s="44">
        <v>6695000</v>
      </c>
      <c r="R90" s="45">
        <v>1</v>
      </c>
      <c r="S90" s="44">
        <f t="shared" si="2"/>
        <v>76992500</v>
      </c>
      <c r="T90" s="48" t="s">
        <v>168</v>
      </c>
      <c r="U90" s="48" t="s">
        <v>63</v>
      </c>
      <c r="V90" s="49" t="s">
        <v>64</v>
      </c>
      <c r="W90" s="48">
        <v>11.5</v>
      </c>
      <c r="X90" s="50" t="s">
        <v>392</v>
      </c>
      <c r="Y90" s="51">
        <v>43104</v>
      </c>
      <c r="Z90" s="52">
        <f t="shared" si="3"/>
        <v>76992500</v>
      </c>
      <c r="AA90" s="50"/>
      <c r="AB90" s="50">
        <v>278</v>
      </c>
      <c r="AC90" s="53">
        <v>43109</v>
      </c>
      <c r="AD90" s="44">
        <v>76992500</v>
      </c>
      <c r="AE90" s="54">
        <v>0</v>
      </c>
      <c r="AF90" s="50">
        <v>318</v>
      </c>
      <c r="AG90" s="50">
        <v>43122</v>
      </c>
      <c r="AH90" s="55">
        <v>76992500</v>
      </c>
      <c r="AI90" s="50" t="s">
        <v>393</v>
      </c>
      <c r="AJ90" s="50">
        <v>277</v>
      </c>
      <c r="AK90" s="64"/>
      <c r="AL90" s="55">
        <v>76992500</v>
      </c>
      <c r="AM90" s="69">
        <v>48650333</v>
      </c>
      <c r="AN90" s="69">
        <v>28342167</v>
      </c>
      <c r="AO90" s="58" t="s">
        <v>67</v>
      </c>
      <c r="AP90" s="64"/>
      <c r="AQ90" s="64"/>
      <c r="AR90" s="64"/>
      <c r="AS90" s="64"/>
      <c r="AT90" s="64"/>
      <c r="AU90" s="64"/>
      <c r="AV90" s="64"/>
      <c r="AW90" s="220"/>
    </row>
    <row r="91" spans="1:49" s="221" customFormat="1" ht="356.25" x14ac:dyDescent="0.25">
      <c r="A91" s="47">
        <v>87</v>
      </c>
      <c r="B91" s="47" t="s">
        <v>394</v>
      </c>
      <c r="C91" s="123" t="s">
        <v>49</v>
      </c>
      <c r="D91" s="63" t="s">
        <v>50</v>
      </c>
      <c r="E91" s="47" t="s">
        <v>89</v>
      </c>
      <c r="F91" s="63" t="s">
        <v>52</v>
      </c>
      <c r="G91" s="63" t="s">
        <v>53</v>
      </c>
      <c r="H91" s="124" t="s">
        <v>54</v>
      </c>
      <c r="I91" s="63" t="s">
        <v>55</v>
      </c>
      <c r="J91" s="63" t="s">
        <v>56</v>
      </c>
      <c r="K91" s="126">
        <v>801116</v>
      </c>
      <c r="L91" s="126" t="s">
        <v>57</v>
      </c>
      <c r="M91" s="47" t="s">
        <v>58</v>
      </c>
      <c r="N91" s="47" t="s">
        <v>59</v>
      </c>
      <c r="O91" s="125" t="s">
        <v>60</v>
      </c>
      <c r="P91" s="47" t="s">
        <v>395</v>
      </c>
      <c r="Q91" s="44">
        <v>5036700</v>
      </c>
      <c r="R91" s="45">
        <v>1</v>
      </c>
      <c r="S91" s="44">
        <f t="shared" si="2"/>
        <v>57922050</v>
      </c>
      <c r="T91" s="48" t="s">
        <v>168</v>
      </c>
      <c r="U91" s="48" t="s">
        <v>63</v>
      </c>
      <c r="V91" s="49" t="s">
        <v>64</v>
      </c>
      <c r="W91" s="48">
        <v>11.5</v>
      </c>
      <c r="X91" s="50" t="s">
        <v>396</v>
      </c>
      <c r="Y91" s="51">
        <v>43104</v>
      </c>
      <c r="Z91" s="52">
        <f t="shared" si="3"/>
        <v>57922050</v>
      </c>
      <c r="AA91" s="50"/>
      <c r="AB91" s="50">
        <v>279</v>
      </c>
      <c r="AC91" s="53">
        <v>43109</v>
      </c>
      <c r="AD91" s="44">
        <v>57922050</v>
      </c>
      <c r="AE91" s="54">
        <v>0</v>
      </c>
      <c r="AF91" s="50">
        <v>493</v>
      </c>
      <c r="AG91" s="51">
        <v>43126</v>
      </c>
      <c r="AH91" s="55">
        <v>57922050</v>
      </c>
      <c r="AI91" s="50" t="s">
        <v>397</v>
      </c>
      <c r="AJ91" s="50">
        <v>423</v>
      </c>
      <c r="AK91" s="64"/>
      <c r="AL91" s="55">
        <v>57922050</v>
      </c>
      <c r="AM91" s="69">
        <v>35592680</v>
      </c>
      <c r="AN91" s="69">
        <v>22329370</v>
      </c>
      <c r="AO91" s="58" t="s">
        <v>67</v>
      </c>
      <c r="AP91" s="64"/>
      <c r="AQ91" s="64"/>
      <c r="AR91" s="64"/>
      <c r="AS91" s="64"/>
      <c r="AT91" s="64"/>
      <c r="AU91" s="64"/>
      <c r="AV91" s="64"/>
      <c r="AW91" s="220"/>
    </row>
    <row r="92" spans="1:49" s="221" customFormat="1" ht="285" x14ac:dyDescent="0.25">
      <c r="A92" s="47">
        <v>88</v>
      </c>
      <c r="B92" s="47" t="s">
        <v>398</v>
      </c>
      <c r="C92" s="123" t="s">
        <v>49</v>
      </c>
      <c r="D92" s="63" t="s">
        <v>50</v>
      </c>
      <c r="E92" s="47" t="s">
        <v>89</v>
      </c>
      <c r="F92" s="63" t="s">
        <v>52</v>
      </c>
      <c r="G92" s="63" t="s">
        <v>53</v>
      </c>
      <c r="H92" s="124" t="s">
        <v>54</v>
      </c>
      <c r="I92" s="63" t="s">
        <v>55</v>
      </c>
      <c r="J92" s="63" t="s">
        <v>56</v>
      </c>
      <c r="K92" s="126">
        <v>801116</v>
      </c>
      <c r="L92" s="126" t="s">
        <v>57</v>
      </c>
      <c r="M92" s="47" t="s">
        <v>58</v>
      </c>
      <c r="N92" s="47" t="s">
        <v>59</v>
      </c>
      <c r="O92" s="125" t="s">
        <v>60</v>
      </c>
      <c r="P92" s="47" t="s">
        <v>223</v>
      </c>
      <c r="Q92" s="44">
        <v>4120000</v>
      </c>
      <c r="R92" s="45">
        <v>1</v>
      </c>
      <c r="S92" s="44">
        <f t="shared" si="2"/>
        <v>47380000</v>
      </c>
      <c r="T92" s="48" t="s">
        <v>168</v>
      </c>
      <c r="U92" s="48" t="s">
        <v>63</v>
      </c>
      <c r="V92" s="49" t="s">
        <v>64</v>
      </c>
      <c r="W92" s="48">
        <v>11.5</v>
      </c>
      <c r="X92" s="50" t="s">
        <v>399</v>
      </c>
      <c r="Y92" s="51">
        <v>43104</v>
      </c>
      <c r="Z92" s="52">
        <f t="shared" si="3"/>
        <v>47380000</v>
      </c>
      <c r="AA92" s="50"/>
      <c r="AB92" s="50">
        <v>280</v>
      </c>
      <c r="AC92" s="53">
        <v>43109</v>
      </c>
      <c r="AD92" s="44">
        <v>47380000</v>
      </c>
      <c r="AE92" s="54">
        <v>0</v>
      </c>
      <c r="AF92" s="50">
        <v>480</v>
      </c>
      <c r="AG92" s="50">
        <v>43126</v>
      </c>
      <c r="AH92" s="55">
        <v>47380000</v>
      </c>
      <c r="AI92" s="50" t="s">
        <v>400</v>
      </c>
      <c r="AJ92" s="50">
        <v>402</v>
      </c>
      <c r="AK92" s="64"/>
      <c r="AL92" s="55">
        <v>47380000</v>
      </c>
      <c r="AM92" s="69">
        <v>29114667</v>
      </c>
      <c r="AN92" s="69">
        <v>18265333</v>
      </c>
      <c r="AO92" s="58" t="s">
        <v>67</v>
      </c>
      <c r="AP92" s="64"/>
      <c r="AQ92" s="64"/>
      <c r="AR92" s="64"/>
      <c r="AS92" s="64"/>
      <c r="AT92" s="64"/>
      <c r="AU92" s="64"/>
      <c r="AV92" s="64"/>
      <c r="AW92" s="220"/>
    </row>
    <row r="93" spans="1:49" s="221" customFormat="1" ht="213.75" x14ac:dyDescent="0.25">
      <c r="A93" s="47">
        <v>89</v>
      </c>
      <c r="B93" s="47" t="s">
        <v>401</v>
      </c>
      <c r="C93" s="123" t="s">
        <v>49</v>
      </c>
      <c r="D93" s="63" t="s">
        <v>50</v>
      </c>
      <c r="E93" s="47" t="s">
        <v>89</v>
      </c>
      <c r="F93" s="63" t="s">
        <v>52</v>
      </c>
      <c r="G93" s="63" t="s">
        <v>53</v>
      </c>
      <c r="H93" s="124" t="s">
        <v>54</v>
      </c>
      <c r="I93" s="63" t="s">
        <v>55</v>
      </c>
      <c r="J93" s="63" t="s">
        <v>56</v>
      </c>
      <c r="K93" s="126">
        <v>801116</v>
      </c>
      <c r="L93" s="126" t="s">
        <v>57</v>
      </c>
      <c r="M93" s="47" t="s">
        <v>58</v>
      </c>
      <c r="N93" s="47" t="s">
        <v>59</v>
      </c>
      <c r="O93" s="125" t="s">
        <v>60</v>
      </c>
      <c r="P93" s="47" t="s">
        <v>402</v>
      </c>
      <c r="Q93" s="44">
        <v>1545000</v>
      </c>
      <c r="R93" s="45">
        <v>1</v>
      </c>
      <c r="S93" s="44">
        <f t="shared" si="2"/>
        <v>17767500</v>
      </c>
      <c r="T93" s="48" t="s">
        <v>168</v>
      </c>
      <c r="U93" s="48" t="s">
        <v>63</v>
      </c>
      <c r="V93" s="49" t="s">
        <v>64</v>
      </c>
      <c r="W93" s="48">
        <v>11.5</v>
      </c>
      <c r="X93" s="50" t="s">
        <v>403</v>
      </c>
      <c r="Y93" s="51">
        <v>43104</v>
      </c>
      <c r="Z93" s="52">
        <f t="shared" si="3"/>
        <v>17767500</v>
      </c>
      <c r="AA93" s="50"/>
      <c r="AB93" s="50">
        <v>281</v>
      </c>
      <c r="AC93" s="53">
        <v>43109</v>
      </c>
      <c r="AD93" s="44">
        <v>17767500</v>
      </c>
      <c r="AE93" s="54">
        <v>0</v>
      </c>
      <c r="AF93" s="50">
        <v>296</v>
      </c>
      <c r="AG93" s="50">
        <v>43122</v>
      </c>
      <c r="AH93" s="55">
        <v>17767500</v>
      </c>
      <c r="AI93" s="50" t="s">
        <v>404</v>
      </c>
      <c r="AJ93" s="50">
        <v>264</v>
      </c>
      <c r="AK93" s="64"/>
      <c r="AL93" s="55">
        <v>17767500</v>
      </c>
      <c r="AM93" s="69">
        <v>11278500</v>
      </c>
      <c r="AN93" s="69">
        <v>6489000</v>
      </c>
      <c r="AO93" s="58" t="s">
        <v>67</v>
      </c>
      <c r="AP93" s="64"/>
      <c r="AQ93" s="64"/>
      <c r="AR93" s="64"/>
      <c r="AS93" s="64"/>
      <c r="AT93" s="64"/>
      <c r="AU93" s="64"/>
      <c r="AV93" s="64"/>
      <c r="AW93" s="220"/>
    </row>
    <row r="94" spans="1:49" s="221" customFormat="1" ht="313.5" x14ac:dyDescent="0.25">
      <c r="A94" s="47">
        <v>90</v>
      </c>
      <c r="B94" s="47" t="s">
        <v>405</v>
      </c>
      <c r="C94" s="123" t="s">
        <v>49</v>
      </c>
      <c r="D94" s="63" t="s">
        <v>50</v>
      </c>
      <c r="E94" s="47" t="s">
        <v>51</v>
      </c>
      <c r="F94" s="63" t="s">
        <v>52</v>
      </c>
      <c r="G94" s="63" t="s">
        <v>53</v>
      </c>
      <c r="H94" s="124" t="s">
        <v>54</v>
      </c>
      <c r="I94" s="63" t="s">
        <v>55</v>
      </c>
      <c r="J94" s="63" t="s">
        <v>56</v>
      </c>
      <c r="K94" s="126">
        <v>801116</v>
      </c>
      <c r="L94" s="126" t="s">
        <v>57</v>
      </c>
      <c r="M94" s="47" t="s">
        <v>58</v>
      </c>
      <c r="N94" s="47" t="s">
        <v>59</v>
      </c>
      <c r="O94" s="125" t="s">
        <v>60</v>
      </c>
      <c r="P94" s="47" t="s">
        <v>406</v>
      </c>
      <c r="Q94" s="44">
        <v>7210000</v>
      </c>
      <c r="R94" s="47">
        <v>1</v>
      </c>
      <c r="S94" s="46">
        <f>+Q94*R94*W94-82915000</f>
        <v>0</v>
      </c>
      <c r="T94" s="48" t="s">
        <v>168</v>
      </c>
      <c r="U94" s="48" t="s">
        <v>63</v>
      </c>
      <c r="V94" s="49" t="s">
        <v>64</v>
      </c>
      <c r="W94" s="48">
        <v>11.5</v>
      </c>
      <c r="X94" s="50" t="s">
        <v>407</v>
      </c>
      <c r="Y94" s="60">
        <v>43104</v>
      </c>
      <c r="Z94" s="44">
        <f t="shared" si="3"/>
        <v>0</v>
      </c>
      <c r="AA94" s="64"/>
      <c r="AB94" s="50">
        <v>0</v>
      </c>
      <c r="AC94" s="60">
        <v>0</v>
      </c>
      <c r="AD94" s="44">
        <v>0</v>
      </c>
      <c r="AE94" s="64"/>
      <c r="AF94" s="50">
        <v>0</v>
      </c>
      <c r="AG94" s="50">
        <v>0</v>
      </c>
      <c r="AH94" s="55">
        <v>0</v>
      </c>
      <c r="AI94" s="50">
        <v>0</v>
      </c>
      <c r="AJ94" s="50">
        <v>0</v>
      </c>
      <c r="AK94" s="64"/>
      <c r="AL94" s="55">
        <v>0</v>
      </c>
      <c r="AM94" s="55">
        <v>0</v>
      </c>
      <c r="AN94" s="70">
        <f t="shared" ref="AN94" si="4">AL94-AM94</f>
        <v>0</v>
      </c>
      <c r="AO94" s="58" t="s">
        <v>67</v>
      </c>
      <c r="AP94" s="64"/>
      <c r="AQ94" s="58" t="s">
        <v>408</v>
      </c>
      <c r="AR94" s="61">
        <v>43150</v>
      </c>
      <c r="AS94" s="58" t="s">
        <v>78</v>
      </c>
      <c r="AT94" s="64"/>
      <c r="AU94" s="58" t="s">
        <v>79</v>
      </c>
      <c r="AV94" s="64"/>
      <c r="AW94" s="220"/>
    </row>
    <row r="95" spans="1:49" s="221" customFormat="1" ht="171" x14ac:dyDescent="0.25">
      <c r="A95" s="47">
        <v>91</v>
      </c>
      <c r="B95" s="47" t="s">
        <v>409</v>
      </c>
      <c r="C95" s="123" t="s">
        <v>49</v>
      </c>
      <c r="D95" s="63" t="s">
        <v>50</v>
      </c>
      <c r="E95" s="63" t="s">
        <v>390</v>
      </c>
      <c r="F95" s="63" t="s">
        <v>52</v>
      </c>
      <c r="G95" s="63" t="s">
        <v>53</v>
      </c>
      <c r="H95" s="124" t="s">
        <v>54</v>
      </c>
      <c r="I95" s="63" t="s">
        <v>55</v>
      </c>
      <c r="J95" s="63" t="s">
        <v>56</v>
      </c>
      <c r="K95" s="126">
        <v>801116</v>
      </c>
      <c r="L95" s="126" t="s">
        <v>57</v>
      </c>
      <c r="M95" s="47" t="s">
        <v>58</v>
      </c>
      <c r="N95" s="47" t="s">
        <v>59</v>
      </c>
      <c r="O95" s="125" t="s">
        <v>60</v>
      </c>
      <c r="P95" s="47" t="s">
        <v>410</v>
      </c>
      <c r="Q95" s="44">
        <v>11900000</v>
      </c>
      <c r="R95" s="47">
        <v>1</v>
      </c>
      <c r="S95" s="44">
        <f>119000000-24457140-14280000-55000000-25262860</f>
        <v>0</v>
      </c>
      <c r="T95" s="48" t="s">
        <v>168</v>
      </c>
      <c r="U95" s="48" t="s">
        <v>63</v>
      </c>
      <c r="V95" s="49" t="s">
        <v>411</v>
      </c>
      <c r="W95" s="48">
        <v>10</v>
      </c>
      <c r="X95" s="50"/>
      <c r="Y95" s="60">
        <v>43102</v>
      </c>
      <c r="Z95" s="44">
        <f t="shared" si="3"/>
        <v>0</v>
      </c>
      <c r="AA95" s="64"/>
      <c r="AB95" s="50">
        <v>0</v>
      </c>
      <c r="AC95" s="64"/>
      <c r="AD95" s="44">
        <v>0</v>
      </c>
      <c r="AE95" s="64"/>
      <c r="AF95" s="50">
        <v>0</v>
      </c>
      <c r="AG95" s="50">
        <v>0</v>
      </c>
      <c r="AH95" s="55">
        <v>0</v>
      </c>
      <c r="AI95" s="50">
        <v>0</v>
      </c>
      <c r="AJ95" s="50">
        <v>0</v>
      </c>
      <c r="AK95" s="64"/>
      <c r="AL95" s="55">
        <v>0</v>
      </c>
      <c r="AM95" s="55">
        <v>0</v>
      </c>
      <c r="AN95" s="64"/>
      <c r="AO95" s="58" t="s">
        <v>67</v>
      </c>
      <c r="AP95" s="64"/>
      <c r="AQ95" s="64"/>
      <c r="AR95" s="64"/>
      <c r="AS95" s="64"/>
      <c r="AT95" s="64"/>
      <c r="AU95" s="64"/>
      <c r="AV95" s="64"/>
      <c r="AW95" s="220"/>
    </row>
    <row r="96" spans="1:49" s="221" customFormat="1" ht="228" x14ac:dyDescent="0.25">
      <c r="A96" s="47">
        <v>92</v>
      </c>
      <c r="B96" s="47" t="s">
        <v>412</v>
      </c>
      <c r="C96" s="123" t="s">
        <v>49</v>
      </c>
      <c r="D96" s="63" t="s">
        <v>50</v>
      </c>
      <c r="E96" s="47" t="s">
        <v>51</v>
      </c>
      <c r="F96" s="63" t="s">
        <v>52</v>
      </c>
      <c r="G96" s="63" t="s">
        <v>53</v>
      </c>
      <c r="H96" s="124" t="s">
        <v>54</v>
      </c>
      <c r="I96" s="63" t="s">
        <v>55</v>
      </c>
      <c r="J96" s="63" t="s">
        <v>56</v>
      </c>
      <c r="K96" s="126">
        <v>801116</v>
      </c>
      <c r="L96" s="126" t="s">
        <v>57</v>
      </c>
      <c r="M96" s="47" t="s">
        <v>58</v>
      </c>
      <c r="N96" s="47" t="s">
        <v>59</v>
      </c>
      <c r="O96" s="125" t="s">
        <v>60</v>
      </c>
      <c r="P96" s="47" t="s">
        <v>413</v>
      </c>
      <c r="Q96" s="44">
        <f>+S96/10/R96</f>
        <v>0</v>
      </c>
      <c r="R96" s="47">
        <v>2</v>
      </c>
      <c r="S96" s="46">
        <f>293177807-38259350-38259350-17767500-27192000-37389000-60000000-39088500+38455195+65147500+82915000-90000000-11611000-30000000-6798000-19961400-60000000-1002140-2367262</f>
        <v>0</v>
      </c>
      <c r="T96" s="48" t="s">
        <v>168</v>
      </c>
      <c r="U96" s="48" t="s">
        <v>63</v>
      </c>
      <c r="V96" s="49" t="s">
        <v>411</v>
      </c>
      <c r="W96" s="48">
        <v>10</v>
      </c>
      <c r="X96" s="50"/>
      <c r="Y96" s="60">
        <v>43102</v>
      </c>
      <c r="Z96" s="44">
        <f t="shared" si="3"/>
        <v>0</v>
      </c>
      <c r="AA96" s="64"/>
      <c r="AB96" s="50">
        <v>0</v>
      </c>
      <c r="AC96" s="64"/>
      <c r="AD96" s="44">
        <v>0</v>
      </c>
      <c r="AE96" s="44">
        <v>0</v>
      </c>
      <c r="AF96" s="50">
        <v>0</v>
      </c>
      <c r="AG96" s="50">
        <v>0</v>
      </c>
      <c r="AH96" s="55">
        <v>0</v>
      </c>
      <c r="AI96" s="50">
        <v>0</v>
      </c>
      <c r="AJ96" s="50">
        <v>0</v>
      </c>
      <c r="AK96" s="64"/>
      <c r="AL96" s="55">
        <v>0</v>
      </c>
      <c r="AM96" s="55">
        <v>0</v>
      </c>
      <c r="AN96" s="64"/>
      <c r="AO96" s="58" t="s">
        <v>67</v>
      </c>
      <c r="AP96" s="64"/>
      <c r="AQ96" s="58" t="s">
        <v>68</v>
      </c>
      <c r="AR96" s="60">
        <v>43339</v>
      </c>
      <c r="AS96" s="58" t="s">
        <v>69</v>
      </c>
      <c r="AT96" s="64"/>
      <c r="AU96" s="58" t="s">
        <v>414</v>
      </c>
      <c r="AV96" s="64"/>
      <c r="AW96" s="220"/>
    </row>
    <row r="97" spans="1:49" s="221" customFormat="1" ht="228" x14ac:dyDescent="0.25">
      <c r="A97" s="47">
        <v>93</v>
      </c>
      <c r="B97" s="47" t="s">
        <v>415</v>
      </c>
      <c r="C97" s="123" t="s">
        <v>49</v>
      </c>
      <c r="D97" s="63" t="s">
        <v>50</v>
      </c>
      <c r="E97" s="47" t="s">
        <v>89</v>
      </c>
      <c r="F97" s="63" t="s">
        <v>52</v>
      </c>
      <c r="G97" s="63" t="s">
        <v>53</v>
      </c>
      <c r="H97" s="124" t="s">
        <v>54</v>
      </c>
      <c r="I97" s="63" t="s">
        <v>55</v>
      </c>
      <c r="J97" s="63" t="s">
        <v>56</v>
      </c>
      <c r="K97" s="126">
        <v>801116</v>
      </c>
      <c r="L97" s="126" t="s">
        <v>57</v>
      </c>
      <c r="M97" s="47" t="s">
        <v>58</v>
      </c>
      <c r="N97" s="47" t="s">
        <v>59</v>
      </c>
      <c r="O97" s="125" t="s">
        <v>60</v>
      </c>
      <c r="P97" s="47" t="s">
        <v>416</v>
      </c>
      <c r="Q97" s="44">
        <f>+S97/R97/W97</f>
        <v>8352203.177083333</v>
      </c>
      <c r="R97" s="47">
        <v>8</v>
      </c>
      <c r="S97" s="44">
        <f>939530000-137718495</f>
        <v>801811505</v>
      </c>
      <c r="T97" s="48" t="s">
        <v>417</v>
      </c>
      <c r="U97" s="48" t="s">
        <v>417</v>
      </c>
      <c r="V97" s="49" t="s">
        <v>64</v>
      </c>
      <c r="W97" s="48">
        <v>12</v>
      </c>
      <c r="X97" s="50" t="s">
        <v>418</v>
      </c>
      <c r="Y97" s="60">
        <v>43110</v>
      </c>
      <c r="Z97" s="44">
        <f t="shared" si="3"/>
        <v>801811505</v>
      </c>
      <c r="AA97" s="64"/>
      <c r="AB97" s="50">
        <v>541</v>
      </c>
      <c r="AC97" s="64"/>
      <c r="AD97" s="44">
        <v>801811505</v>
      </c>
      <c r="AE97" s="64"/>
      <c r="AF97" s="48" t="s">
        <v>419</v>
      </c>
      <c r="AG97" s="48" t="s">
        <v>420</v>
      </c>
      <c r="AH97" s="69">
        <v>518242340</v>
      </c>
      <c r="AI97" s="50" t="s">
        <v>421</v>
      </c>
      <c r="AJ97" s="50" t="e">
        <v>#N/A</v>
      </c>
      <c r="AK97" s="65">
        <v>137718495</v>
      </c>
      <c r="AL97" s="69">
        <v>518242340</v>
      </c>
      <c r="AM97" s="69">
        <v>518242340</v>
      </c>
      <c r="AN97" s="64"/>
      <c r="AO97" s="58" t="s">
        <v>67</v>
      </c>
      <c r="AP97" s="64"/>
      <c r="AQ97" s="58" t="s">
        <v>68</v>
      </c>
      <c r="AR97" s="60">
        <v>43339</v>
      </c>
      <c r="AS97" s="58" t="s">
        <v>69</v>
      </c>
      <c r="AT97" s="64"/>
      <c r="AU97" s="64"/>
      <c r="AV97" s="64"/>
      <c r="AW97" s="220"/>
    </row>
    <row r="98" spans="1:49" s="221" customFormat="1" ht="228" x14ac:dyDescent="0.25">
      <c r="A98" s="47">
        <v>94</v>
      </c>
      <c r="B98" s="47" t="s">
        <v>422</v>
      </c>
      <c r="C98" s="123" t="s">
        <v>49</v>
      </c>
      <c r="D98" s="63" t="s">
        <v>50</v>
      </c>
      <c r="E98" s="47" t="s">
        <v>51</v>
      </c>
      <c r="F98" s="63" t="s">
        <v>52</v>
      </c>
      <c r="G98" s="63" t="s">
        <v>53</v>
      </c>
      <c r="H98" s="124" t="s">
        <v>54</v>
      </c>
      <c r="I98" s="63" t="s">
        <v>55</v>
      </c>
      <c r="J98" s="63" t="s">
        <v>56</v>
      </c>
      <c r="K98" s="126">
        <v>801116</v>
      </c>
      <c r="L98" s="126" t="s">
        <v>57</v>
      </c>
      <c r="M98" s="47" t="s">
        <v>58</v>
      </c>
      <c r="N98" s="47" t="s">
        <v>59</v>
      </c>
      <c r="O98" s="125" t="s">
        <v>60</v>
      </c>
      <c r="P98" s="47" t="s">
        <v>416</v>
      </c>
      <c r="Q98" s="44">
        <f>+S98/W98/R98</f>
        <v>9910760.458333334</v>
      </c>
      <c r="R98" s="47">
        <v>4</v>
      </c>
      <c r="S98" s="46">
        <f>543548000-67831498</f>
        <v>475716502</v>
      </c>
      <c r="T98" s="48" t="s">
        <v>417</v>
      </c>
      <c r="U98" s="48" t="s">
        <v>417</v>
      </c>
      <c r="V98" s="49" t="s">
        <v>64</v>
      </c>
      <c r="W98" s="48">
        <v>12</v>
      </c>
      <c r="X98" s="50" t="s">
        <v>423</v>
      </c>
      <c r="Y98" s="60">
        <v>43110</v>
      </c>
      <c r="Z98" s="44">
        <f t="shared" si="3"/>
        <v>475716502</v>
      </c>
      <c r="AA98" s="64"/>
      <c r="AB98" s="50">
        <v>541</v>
      </c>
      <c r="AC98" s="64"/>
      <c r="AD98" s="44">
        <v>475716502</v>
      </c>
      <c r="AE98" s="64"/>
      <c r="AF98" s="48" t="s">
        <v>419</v>
      </c>
      <c r="AG98" s="48" t="s">
        <v>420</v>
      </c>
      <c r="AH98" s="69">
        <v>255253690</v>
      </c>
      <c r="AI98" s="50" t="s">
        <v>421</v>
      </c>
      <c r="AJ98" s="50" t="e">
        <v>#N/A</v>
      </c>
      <c r="AK98" s="65">
        <v>67831498</v>
      </c>
      <c r="AL98" s="69">
        <v>255253690</v>
      </c>
      <c r="AM98" s="69">
        <v>255253690</v>
      </c>
      <c r="AN98" s="64"/>
      <c r="AO98" s="58" t="s">
        <v>67</v>
      </c>
      <c r="AP98" s="64"/>
      <c r="AQ98" s="58" t="s">
        <v>68</v>
      </c>
      <c r="AR98" s="60">
        <v>43339</v>
      </c>
      <c r="AS98" s="58" t="s">
        <v>69</v>
      </c>
      <c r="AT98" s="64"/>
      <c r="AU98" s="64"/>
      <c r="AV98" s="64"/>
      <c r="AW98" s="220"/>
    </row>
    <row r="99" spans="1:49" s="221" customFormat="1" ht="285" x14ac:dyDescent="0.25">
      <c r="A99" s="47">
        <v>95</v>
      </c>
      <c r="B99" s="47" t="s">
        <v>424</v>
      </c>
      <c r="C99" s="47" t="s">
        <v>49</v>
      </c>
      <c r="D99" s="47" t="s">
        <v>50</v>
      </c>
      <c r="E99" s="47" t="s">
        <v>89</v>
      </c>
      <c r="F99" s="47" t="s">
        <v>425</v>
      </c>
      <c r="G99" s="47" t="s">
        <v>426</v>
      </c>
      <c r="H99" s="47" t="s">
        <v>427</v>
      </c>
      <c r="I99" s="47" t="s">
        <v>55</v>
      </c>
      <c r="J99" s="47" t="s">
        <v>56</v>
      </c>
      <c r="K99" s="63">
        <v>82101600</v>
      </c>
      <c r="L99" s="63" t="s">
        <v>57</v>
      </c>
      <c r="M99" s="63" t="s">
        <v>58</v>
      </c>
      <c r="N99" s="63" t="s">
        <v>59</v>
      </c>
      <c r="O99" s="125" t="s">
        <v>60</v>
      </c>
      <c r="P99" s="47" t="s">
        <v>428</v>
      </c>
      <c r="Q99" s="44">
        <f>+S99/W99/R99</f>
        <v>0</v>
      </c>
      <c r="R99" s="47">
        <v>1</v>
      </c>
      <c r="S99" s="44">
        <f>81250000/2-40625000</f>
        <v>0</v>
      </c>
      <c r="T99" s="48" t="s">
        <v>429</v>
      </c>
      <c r="U99" s="48" t="s">
        <v>429</v>
      </c>
      <c r="V99" s="49" t="s">
        <v>411</v>
      </c>
      <c r="W99" s="48">
        <v>8</v>
      </c>
      <c r="X99" s="50"/>
      <c r="Y99" s="64"/>
      <c r="Z99" s="44">
        <f t="shared" si="3"/>
        <v>0</v>
      </c>
      <c r="AA99" s="64"/>
      <c r="AB99" s="50">
        <v>0</v>
      </c>
      <c r="AC99" s="64"/>
      <c r="AD99" s="44">
        <v>0</v>
      </c>
      <c r="AE99" s="64"/>
      <c r="AF99" s="50">
        <v>0</v>
      </c>
      <c r="AG99" s="50">
        <v>0</v>
      </c>
      <c r="AH99" s="55">
        <v>0</v>
      </c>
      <c r="AI99" s="50">
        <v>0</v>
      </c>
      <c r="AJ99" s="50">
        <v>0</v>
      </c>
      <c r="AK99" s="64"/>
      <c r="AL99" s="55">
        <v>0</v>
      </c>
      <c r="AM99" s="55">
        <v>0</v>
      </c>
      <c r="AN99" s="64"/>
      <c r="AO99" s="58" t="s">
        <v>67</v>
      </c>
      <c r="AP99" s="64"/>
      <c r="AQ99" s="64"/>
      <c r="AR99" s="64"/>
      <c r="AS99" s="64"/>
      <c r="AT99" s="64"/>
      <c r="AU99" s="64"/>
      <c r="AV99" s="64"/>
      <c r="AW99" s="220"/>
    </row>
    <row r="100" spans="1:49" s="221" customFormat="1" ht="285" x14ac:dyDescent="0.25">
      <c r="A100" s="47">
        <v>96</v>
      </c>
      <c r="B100" s="47" t="s">
        <v>430</v>
      </c>
      <c r="C100" s="47" t="s">
        <v>49</v>
      </c>
      <c r="D100" s="47" t="s">
        <v>50</v>
      </c>
      <c r="E100" s="47" t="s">
        <v>89</v>
      </c>
      <c r="F100" s="47" t="s">
        <v>425</v>
      </c>
      <c r="G100" s="47" t="s">
        <v>426</v>
      </c>
      <c r="H100" s="47" t="s">
        <v>427</v>
      </c>
      <c r="I100" s="47" t="s">
        <v>55</v>
      </c>
      <c r="J100" s="47" t="s">
        <v>56</v>
      </c>
      <c r="K100" s="63">
        <v>82101600</v>
      </c>
      <c r="L100" s="63" t="s">
        <v>57</v>
      </c>
      <c r="M100" s="63" t="s">
        <v>58</v>
      </c>
      <c r="N100" s="63" t="s">
        <v>59</v>
      </c>
      <c r="O100" s="125" t="s">
        <v>60</v>
      </c>
      <c r="P100" s="47" t="s">
        <v>428</v>
      </c>
      <c r="Q100" s="44">
        <f>+S100/W100/R100</f>
        <v>0</v>
      </c>
      <c r="R100" s="47">
        <v>1</v>
      </c>
      <c r="S100" s="44">
        <f>81250000/2-40625000</f>
        <v>0</v>
      </c>
      <c r="T100" s="48" t="s">
        <v>429</v>
      </c>
      <c r="U100" s="48" t="s">
        <v>429</v>
      </c>
      <c r="V100" s="49" t="s">
        <v>431</v>
      </c>
      <c r="W100" s="48">
        <v>4</v>
      </c>
      <c r="X100" s="50"/>
      <c r="Y100" s="64"/>
      <c r="Z100" s="44">
        <f t="shared" si="3"/>
        <v>0</v>
      </c>
      <c r="AA100" s="64"/>
      <c r="AB100" s="50">
        <v>0</v>
      </c>
      <c r="AC100" s="64"/>
      <c r="AD100" s="44">
        <v>0</v>
      </c>
      <c r="AE100" s="64"/>
      <c r="AF100" s="50">
        <v>0</v>
      </c>
      <c r="AG100" s="50">
        <v>0</v>
      </c>
      <c r="AH100" s="55">
        <v>0</v>
      </c>
      <c r="AI100" s="50">
        <v>0</v>
      </c>
      <c r="AJ100" s="50">
        <v>0</v>
      </c>
      <c r="AK100" s="64"/>
      <c r="AL100" s="55">
        <v>0</v>
      </c>
      <c r="AM100" s="55">
        <v>0</v>
      </c>
      <c r="AN100" s="64"/>
      <c r="AO100" s="58" t="s">
        <v>67</v>
      </c>
      <c r="AP100" s="64"/>
      <c r="AQ100" s="64"/>
      <c r="AR100" s="64"/>
      <c r="AS100" s="64"/>
      <c r="AT100" s="64"/>
      <c r="AU100" s="64"/>
      <c r="AV100" s="64"/>
      <c r="AW100" s="220"/>
    </row>
    <row r="101" spans="1:49" s="221" customFormat="1" ht="285" x14ac:dyDescent="0.25">
      <c r="A101" s="47">
        <v>97</v>
      </c>
      <c r="B101" s="47" t="s">
        <v>432</v>
      </c>
      <c r="C101" s="47" t="s">
        <v>49</v>
      </c>
      <c r="D101" s="47" t="s">
        <v>50</v>
      </c>
      <c r="E101" s="47" t="s">
        <v>51</v>
      </c>
      <c r="F101" s="47" t="s">
        <v>425</v>
      </c>
      <c r="G101" s="47" t="s">
        <v>426</v>
      </c>
      <c r="H101" s="47" t="s">
        <v>427</v>
      </c>
      <c r="I101" s="47" t="s">
        <v>55</v>
      </c>
      <c r="J101" s="47" t="s">
        <v>56</v>
      </c>
      <c r="K101" s="63">
        <v>82101600</v>
      </c>
      <c r="L101" s="63" t="s">
        <v>57</v>
      </c>
      <c r="M101" s="63" t="s">
        <v>58</v>
      </c>
      <c r="N101" s="63" t="s">
        <v>59</v>
      </c>
      <c r="O101" s="125" t="s">
        <v>60</v>
      </c>
      <c r="P101" s="47" t="s">
        <v>428</v>
      </c>
      <c r="Q101" s="44">
        <f>+S101/W101/R101</f>
        <v>0</v>
      </c>
      <c r="R101" s="47">
        <v>1</v>
      </c>
      <c r="S101" s="46">
        <f>81250000/2-40625000</f>
        <v>0</v>
      </c>
      <c r="T101" s="48" t="s">
        <v>429</v>
      </c>
      <c r="U101" s="48" t="s">
        <v>429</v>
      </c>
      <c r="V101" s="49" t="s">
        <v>411</v>
      </c>
      <c r="W101" s="48">
        <v>8</v>
      </c>
      <c r="X101" s="50"/>
      <c r="Y101" s="64"/>
      <c r="Z101" s="44">
        <f t="shared" si="3"/>
        <v>0</v>
      </c>
      <c r="AA101" s="64"/>
      <c r="AB101" s="50">
        <v>0</v>
      </c>
      <c r="AC101" s="64"/>
      <c r="AD101" s="44">
        <v>0</v>
      </c>
      <c r="AE101" s="64"/>
      <c r="AF101" s="50">
        <v>0</v>
      </c>
      <c r="AG101" s="50">
        <v>0</v>
      </c>
      <c r="AH101" s="55">
        <v>0</v>
      </c>
      <c r="AI101" s="50">
        <v>0</v>
      </c>
      <c r="AJ101" s="50">
        <v>0</v>
      </c>
      <c r="AK101" s="64"/>
      <c r="AL101" s="55">
        <v>0</v>
      </c>
      <c r="AM101" s="55">
        <v>0</v>
      </c>
      <c r="AN101" s="64"/>
      <c r="AO101" s="58" t="s">
        <v>67</v>
      </c>
      <c r="AP101" s="64"/>
      <c r="AQ101" s="64"/>
      <c r="AR101" s="64"/>
      <c r="AS101" s="64"/>
      <c r="AT101" s="64"/>
      <c r="AU101" s="64"/>
      <c r="AV101" s="64"/>
      <c r="AW101" s="220"/>
    </row>
    <row r="102" spans="1:49" s="221" customFormat="1" ht="256.5" x14ac:dyDescent="0.25">
      <c r="A102" s="47">
        <v>98</v>
      </c>
      <c r="B102" s="47" t="s">
        <v>433</v>
      </c>
      <c r="C102" s="47" t="s">
        <v>49</v>
      </c>
      <c r="D102" s="47" t="s">
        <v>50</v>
      </c>
      <c r="E102" s="47" t="s">
        <v>51</v>
      </c>
      <c r="F102" s="47" t="s">
        <v>425</v>
      </c>
      <c r="G102" s="47" t="s">
        <v>426</v>
      </c>
      <c r="H102" s="47" t="s">
        <v>427</v>
      </c>
      <c r="I102" s="47" t="s">
        <v>55</v>
      </c>
      <c r="J102" s="47" t="s">
        <v>56</v>
      </c>
      <c r="K102" s="63">
        <v>82101600</v>
      </c>
      <c r="L102" s="63" t="s">
        <v>57</v>
      </c>
      <c r="M102" s="63" t="s">
        <v>58</v>
      </c>
      <c r="N102" s="63" t="s">
        <v>59</v>
      </c>
      <c r="O102" s="125" t="s">
        <v>60</v>
      </c>
      <c r="P102" s="47" t="s">
        <v>434</v>
      </c>
      <c r="Q102" s="44">
        <f>+S102/W102/R102</f>
        <v>0</v>
      </c>
      <c r="R102" s="47">
        <v>1</v>
      </c>
      <c r="S102" s="46">
        <f>81250000/2-40625000</f>
        <v>0</v>
      </c>
      <c r="T102" s="48" t="s">
        <v>429</v>
      </c>
      <c r="U102" s="48" t="s">
        <v>429</v>
      </c>
      <c r="V102" s="49" t="s">
        <v>431</v>
      </c>
      <c r="W102" s="48">
        <v>4</v>
      </c>
      <c r="X102" s="50"/>
      <c r="Y102" s="64"/>
      <c r="Z102" s="44">
        <f t="shared" si="3"/>
        <v>0</v>
      </c>
      <c r="AA102" s="64"/>
      <c r="AB102" s="50">
        <v>0</v>
      </c>
      <c r="AC102" s="64"/>
      <c r="AD102" s="44">
        <v>0</v>
      </c>
      <c r="AE102" s="64"/>
      <c r="AF102" s="50">
        <v>0</v>
      </c>
      <c r="AG102" s="50">
        <v>0</v>
      </c>
      <c r="AH102" s="55">
        <v>0</v>
      </c>
      <c r="AI102" s="50">
        <v>0</v>
      </c>
      <c r="AJ102" s="50">
        <v>0</v>
      </c>
      <c r="AK102" s="64"/>
      <c r="AL102" s="55">
        <v>0</v>
      </c>
      <c r="AM102" s="55">
        <v>0</v>
      </c>
      <c r="AN102" s="64"/>
      <c r="AO102" s="58" t="s">
        <v>67</v>
      </c>
      <c r="AP102" s="64"/>
      <c r="AQ102" s="64"/>
      <c r="AR102" s="64"/>
      <c r="AS102" s="64"/>
      <c r="AT102" s="64"/>
      <c r="AU102" s="64"/>
      <c r="AV102" s="64"/>
      <c r="AW102" s="220"/>
    </row>
    <row r="103" spans="1:49" s="221" customFormat="1" ht="313.5" x14ac:dyDescent="0.25">
      <c r="A103" s="47">
        <v>99</v>
      </c>
      <c r="B103" s="47" t="s">
        <v>435</v>
      </c>
      <c r="C103" s="47" t="s">
        <v>49</v>
      </c>
      <c r="D103" s="47" t="s">
        <v>50</v>
      </c>
      <c r="E103" s="47" t="s">
        <v>89</v>
      </c>
      <c r="F103" s="47" t="s">
        <v>436</v>
      </c>
      <c r="G103" s="47" t="s">
        <v>437</v>
      </c>
      <c r="H103" s="47" t="s">
        <v>438</v>
      </c>
      <c r="I103" s="47" t="s">
        <v>55</v>
      </c>
      <c r="J103" s="47" t="s">
        <v>56</v>
      </c>
      <c r="K103" s="47" t="s">
        <v>439</v>
      </c>
      <c r="L103" s="47"/>
      <c r="M103" s="47"/>
      <c r="N103" s="47"/>
      <c r="O103" s="125" t="s">
        <v>60</v>
      </c>
      <c r="P103" s="222" t="s">
        <v>440</v>
      </c>
      <c r="Q103" s="44">
        <f>+S103/R103</f>
        <v>56210.25</v>
      </c>
      <c r="R103" s="47">
        <v>1200</v>
      </c>
      <c r="S103" s="44">
        <f>80040000-583400-2004300-10000000</f>
        <v>67452300</v>
      </c>
      <c r="T103" s="48" t="s">
        <v>417</v>
      </c>
      <c r="U103" s="48" t="s">
        <v>417</v>
      </c>
      <c r="V103" s="49" t="s">
        <v>441</v>
      </c>
      <c r="W103" s="48">
        <v>12</v>
      </c>
      <c r="X103" s="50"/>
      <c r="Y103" s="64"/>
      <c r="Z103" s="44">
        <f t="shared" si="3"/>
        <v>67452300</v>
      </c>
      <c r="AA103" s="64"/>
      <c r="AB103" s="50" t="e">
        <v>#N/A</v>
      </c>
      <c r="AC103" s="64"/>
      <c r="AD103" s="44"/>
      <c r="AE103" s="64"/>
      <c r="AF103" s="50">
        <v>0</v>
      </c>
      <c r="AG103" s="50">
        <v>0</v>
      </c>
      <c r="AH103" s="55">
        <v>0</v>
      </c>
      <c r="AI103" s="50">
        <v>0</v>
      </c>
      <c r="AJ103" s="50">
        <v>0</v>
      </c>
      <c r="AK103" s="64"/>
      <c r="AL103" s="55">
        <v>0</v>
      </c>
      <c r="AM103" s="55">
        <v>0</v>
      </c>
      <c r="AN103" s="64"/>
      <c r="AO103" s="58" t="s">
        <v>67</v>
      </c>
      <c r="AP103" s="64"/>
      <c r="AQ103" s="64"/>
      <c r="AR103" s="64"/>
      <c r="AS103" s="64"/>
      <c r="AT103" s="64"/>
      <c r="AU103" s="64"/>
      <c r="AV103" s="64"/>
      <c r="AW103" s="220"/>
    </row>
    <row r="104" spans="1:49" s="221" customFormat="1" ht="270.75" x14ac:dyDescent="0.25">
      <c r="A104" s="47">
        <v>100</v>
      </c>
      <c r="B104" s="47" t="s">
        <v>442</v>
      </c>
      <c r="C104" s="123" t="s">
        <v>49</v>
      </c>
      <c r="D104" s="63" t="s">
        <v>50</v>
      </c>
      <c r="E104" s="47" t="s">
        <v>89</v>
      </c>
      <c r="F104" s="63" t="s">
        <v>52</v>
      </c>
      <c r="G104" s="63" t="s">
        <v>53</v>
      </c>
      <c r="H104" s="124" t="s">
        <v>54</v>
      </c>
      <c r="I104" s="63" t="s">
        <v>55</v>
      </c>
      <c r="J104" s="63" t="s">
        <v>56</v>
      </c>
      <c r="K104" s="126">
        <v>801116</v>
      </c>
      <c r="L104" s="126" t="s">
        <v>57</v>
      </c>
      <c r="M104" s="47" t="s">
        <v>58</v>
      </c>
      <c r="N104" s="47" t="s">
        <v>59</v>
      </c>
      <c r="O104" s="125" t="s">
        <v>60</v>
      </c>
      <c r="P104" s="47" t="s">
        <v>443</v>
      </c>
      <c r="Q104" s="44">
        <v>3326900</v>
      </c>
      <c r="R104" s="45">
        <v>1</v>
      </c>
      <c r="S104" s="44">
        <f>Q104*11.5</f>
        <v>38259350</v>
      </c>
      <c r="T104" s="48" t="s">
        <v>444</v>
      </c>
      <c r="U104" s="48" t="s">
        <v>445</v>
      </c>
      <c r="V104" s="49" t="s">
        <v>64</v>
      </c>
      <c r="W104" s="48">
        <v>11.5</v>
      </c>
      <c r="X104" s="50" t="s">
        <v>446</v>
      </c>
      <c r="Y104" s="51">
        <v>43115</v>
      </c>
      <c r="Z104" s="52">
        <f t="shared" si="3"/>
        <v>38259350</v>
      </c>
      <c r="AA104" s="50"/>
      <c r="AB104" s="50">
        <v>507</v>
      </c>
      <c r="AC104" s="53">
        <v>43116</v>
      </c>
      <c r="AD104" s="44">
        <v>38259350</v>
      </c>
      <c r="AE104" s="54">
        <v>0</v>
      </c>
      <c r="AF104" s="50">
        <v>437</v>
      </c>
      <c r="AG104" s="50">
        <v>43125</v>
      </c>
      <c r="AH104" s="55">
        <v>38259350</v>
      </c>
      <c r="AI104" s="50" t="s">
        <v>447</v>
      </c>
      <c r="AJ104" s="50">
        <v>310</v>
      </c>
      <c r="AK104" s="64"/>
      <c r="AL104" s="55">
        <v>38259350</v>
      </c>
      <c r="AM104" s="69">
        <v>23842783</v>
      </c>
      <c r="AN104" s="69">
        <v>14416567</v>
      </c>
      <c r="AO104" s="58" t="s">
        <v>67</v>
      </c>
      <c r="AP104" s="64"/>
      <c r="AQ104" s="64"/>
      <c r="AR104" s="64"/>
      <c r="AS104" s="64"/>
      <c r="AT104" s="64"/>
      <c r="AU104" s="64"/>
      <c r="AV104" s="64"/>
      <c r="AW104" s="220"/>
    </row>
    <row r="105" spans="1:49" s="221" customFormat="1" ht="384.75" x14ac:dyDescent="0.25">
      <c r="A105" s="64">
        <f t="shared" ref="A105:A161" si="5">A104+1</f>
        <v>101</v>
      </c>
      <c r="B105" s="47" t="s">
        <v>448</v>
      </c>
      <c r="C105" s="123" t="s">
        <v>49</v>
      </c>
      <c r="D105" s="63" t="s">
        <v>50</v>
      </c>
      <c r="E105" s="47" t="s">
        <v>89</v>
      </c>
      <c r="F105" s="63" t="s">
        <v>52</v>
      </c>
      <c r="G105" s="63" t="s">
        <v>53</v>
      </c>
      <c r="H105" s="124" t="s">
        <v>54</v>
      </c>
      <c r="I105" s="63" t="s">
        <v>55</v>
      </c>
      <c r="J105" s="63" t="s">
        <v>56</v>
      </c>
      <c r="K105" s="126">
        <v>801117</v>
      </c>
      <c r="L105" s="126" t="s">
        <v>57</v>
      </c>
      <c r="M105" s="47" t="s">
        <v>449</v>
      </c>
      <c r="N105" s="47" t="s">
        <v>450</v>
      </c>
      <c r="O105" s="125" t="s">
        <v>451</v>
      </c>
      <c r="P105" s="47" t="s">
        <v>452</v>
      </c>
      <c r="Q105" s="44">
        <v>3326900</v>
      </c>
      <c r="R105" s="45">
        <v>1</v>
      </c>
      <c r="S105" s="44">
        <v>38259350</v>
      </c>
      <c r="T105" s="48" t="s">
        <v>444</v>
      </c>
      <c r="U105" s="48" t="s">
        <v>445</v>
      </c>
      <c r="V105" s="49" t="s">
        <v>64</v>
      </c>
      <c r="W105" s="48">
        <v>11.5</v>
      </c>
      <c r="X105" s="50" t="s">
        <v>453</v>
      </c>
      <c r="Y105" s="51">
        <v>43115</v>
      </c>
      <c r="Z105" s="52">
        <f t="shared" si="3"/>
        <v>38259350</v>
      </c>
      <c r="AA105" s="50"/>
      <c r="AB105" s="50">
        <v>506</v>
      </c>
      <c r="AC105" s="53">
        <v>43116</v>
      </c>
      <c r="AD105" s="44">
        <v>38259350</v>
      </c>
      <c r="AE105" s="54">
        <v>0</v>
      </c>
      <c r="AF105" s="50">
        <v>324</v>
      </c>
      <c r="AG105" s="50">
        <v>43123</v>
      </c>
      <c r="AH105" s="55">
        <v>38259350</v>
      </c>
      <c r="AI105" s="50" t="s">
        <v>454</v>
      </c>
      <c r="AJ105" s="50">
        <v>285</v>
      </c>
      <c r="AK105" s="64"/>
      <c r="AL105" s="55">
        <v>38259350</v>
      </c>
      <c r="AM105" s="69">
        <v>24175473</v>
      </c>
      <c r="AN105" s="69">
        <v>14083877</v>
      </c>
      <c r="AO105" s="58" t="s">
        <v>67</v>
      </c>
      <c r="AP105" s="64"/>
      <c r="AQ105" s="64"/>
      <c r="AR105" s="64"/>
      <c r="AS105" s="64"/>
      <c r="AT105" s="64"/>
      <c r="AU105" s="64"/>
      <c r="AV105" s="64"/>
      <c r="AW105" s="220"/>
    </row>
    <row r="106" spans="1:49" s="221" customFormat="1" ht="270.75" x14ac:dyDescent="0.25">
      <c r="A106" s="64">
        <f t="shared" si="5"/>
        <v>102</v>
      </c>
      <c r="B106" s="47" t="s">
        <v>455</v>
      </c>
      <c r="C106" s="123" t="s">
        <v>49</v>
      </c>
      <c r="D106" s="63" t="s">
        <v>50</v>
      </c>
      <c r="E106" s="47" t="s">
        <v>51</v>
      </c>
      <c r="F106" s="63" t="s">
        <v>52</v>
      </c>
      <c r="G106" s="63" t="s">
        <v>53</v>
      </c>
      <c r="H106" s="124" t="s">
        <v>54</v>
      </c>
      <c r="I106" s="63" t="s">
        <v>55</v>
      </c>
      <c r="J106" s="63" t="s">
        <v>56</v>
      </c>
      <c r="K106" s="126">
        <v>801116</v>
      </c>
      <c r="L106" s="126" t="s">
        <v>57</v>
      </c>
      <c r="M106" s="47" t="s">
        <v>58</v>
      </c>
      <c r="N106" s="47" t="s">
        <v>59</v>
      </c>
      <c r="O106" s="125" t="s">
        <v>60</v>
      </c>
      <c r="P106" s="47" t="s">
        <v>378</v>
      </c>
      <c r="Q106" s="44">
        <v>5665000</v>
      </c>
      <c r="R106" s="45">
        <v>1</v>
      </c>
      <c r="S106" s="46">
        <v>17767500</v>
      </c>
      <c r="T106" s="48" t="s">
        <v>444</v>
      </c>
      <c r="U106" s="48" t="s">
        <v>63</v>
      </c>
      <c r="V106" s="49" t="s">
        <v>64</v>
      </c>
      <c r="W106" s="48">
        <v>11.5</v>
      </c>
      <c r="X106" s="50" t="s">
        <v>456</v>
      </c>
      <c r="Y106" s="51">
        <v>43115</v>
      </c>
      <c r="Z106" s="52">
        <f t="shared" si="3"/>
        <v>17767500</v>
      </c>
      <c r="AA106" s="50" t="s">
        <v>457</v>
      </c>
      <c r="AB106" s="50">
        <v>501</v>
      </c>
      <c r="AC106" s="53">
        <v>43116</v>
      </c>
      <c r="AD106" s="44">
        <v>17767500</v>
      </c>
      <c r="AE106" s="54">
        <v>0</v>
      </c>
      <c r="AF106" s="50">
        <v>362</v>
      </c>
      <c r="AG106" s="50">
        <v>43123</v>
      </c>
      <c r="AH106" s="55">
        <v>17767500</v>
      </c>
      <c r="AI106" s="50" t="s">
        <v>380</v>
      </c>
      <c r="AJ106" s="50">
        <v>303</v>
      </c>
      <c r="AK106" s="64"/>
      <c r="AL106" s="55">
        <v>17767500</v>
      </c>
      <c r="AM106" s="69">
        <v>17767500</v>
      </c>
      <c r="AN106" s="69">
        <v>0</v>
      </c>
      <c r="AO106" s="58" t="s">
        <v>67</v>
      </c>
      <c r="AP106" s="64"/>
      <c r="AQ106" s="64"/>
      <c r="AR106" s="64"/>
      <c r="AS106" s="64"/>
      <c r="AT106" s="64"/>
      <c r="AU106" s="64"/>
      <c r="AV106" s="64"/>
      <c r="AW106" s="220"/>
    </row>
    <row r="107" spans="1:49" s="221" customFormat="1" ht="370.5" x14ac:dyDescent="0.25">
      <c r="A107" s="64">
        <f t="shared" si="5"/>
        <v>103</v>
      </c>
      <c r="B107" s="47" t="s">
        <v>458</v>
      </c>
      <c r="C107" s="123" t="s">
        <v>49</v>
      </c>
      <c r="D107" s="63" t="s">
        <v>50</v>
      </c>
      <c r="E107" s="47" t="s">
        <v>89</v>
      </c>
      <c r="F107" s="63" t="s">
        <v>52</v>
      </c>
      <c r="G107" s="63" t="s">
        <v>53</v>
      </c>
      <c r="H107" s="124" t="s">
        <v>54</v>
      </c>
      <c r="I107" s="63" t="s">
        <v>55</v>
      </c>
      <c r="J107" s="63" t="s">
        <v>56</v>
      </c>
      <c r="K107" s="126">
        <v>801116</v>
      </c>
      <c r="L107" s="126" t="s">
        <v>57</v>
      </c>
      <c r="M107" s="47" t="s">
        <v>58</v>
      </c>
      <c r="N107" s="47" t="s">
        <v>59</v>
      </c>
      <c r="O107" s="125" t="s">
        <v>60</v>
      </c>
      <c r="P107" s="47" t="s">
        <v>459</v>
      </c>
      <c r="Q107" s="44">
        <v>2472000</v>
      </c>
      <c r="R107" s="45">
        <v>1</v>
      </c>
      <c r="S107" s="44">
        <f>27192000-7931000</f>
        <v>19261000</v>
      </c>
      <c r="T107" s="48" t="s">
        <v>444</v>
      </c>
      <c r="U107" s="48" t="s">
        <v>63</v>
      </c>
      <c r="V107" s="49" t="s">
        <v>64</v>
      </c>
      <c r="W107" s="48">
        <v>11</v>
      </c>
      <c r="X107" s="50" t="s">
        <v>460</v>
      </c>
      <c r="Y107" s="51">
        <v>43122</v>
      </c>
      <c r="Z107" s="52">
        <f t="shared" si="3"/>
        <v>19261000</v>
      </c>
      <c r="AA107" s="50" t="s">
        <v>412</v>
      </c>
      <c r="AB107" s="50">
        <v>555</v>
      </c>
      <c r="AC107" s="53">
        <v>43122</v>
      </c>
      <c r="AD107" s="44">
        <v>27192000</v>
      </c>
      <c r="AE107" s="54">
        <v>7931000</v>
      </c>
      <c r="AF107" s="50">
        <v>464</v>
      </c>
      <c r="AG107" s="50">
        <v>43126</v>
      </c>
      <c r="AH107" s="55">
        <v>19261000</v>
      </c>
      <c r="AI107" s="50" t="s">
        <v>461</v>
      </c>
      <c r="AJ107" s="50">
        <v>391</v>
      </c>
      <c r="AK107" s="54">
        <v>7931000</v>
      </c>
      <c r="AL107" s="55">
        <v>19261000</v>
      </c>
      <c r="AM107" s="69">
        <v>12373734</v>
      </c>
      <c r="AN107" s="69">
        <v>6887266</v>
      </c>
      <c r="AO107" s="58" t="s">
        <v>67</v>
      </c>
      <c r="AP107" s="64"/>
      <c r="AQ107" s="58" t="s">
        <v>68</v>
      </c>
      <c r="AR107" s="60">
        <v>43339</v>
      </c>
      <c r="AS107" s="58" t="s">
        <v>69</v>
      </c>
      <c r="AT107" s="64"/>
      <c r="AU107" s="64"/>
      <c r="AV107" s="64"/>
      <c r="AW107" s="220"/>
    </row>
    <row r="108" spans="1:49" s="221" customFormat="1" ht="213.75" x14ac:dyDescent="0.25">
      <c r="A108" s="64">
        <f t="shared" si="5"/>
        <v>104</v>
      </c>
      <c r="B108" s="47" t="s">
        <v>462</v>
      </c>
      <c r="C108" s="123" t="s">
        <v>49</v>
      </c>
      <c r="D108" s="63" t="s">
        <v>50</v>
      </c>
      <c r="E108" s="47" t="s">
        <v>89</v>
      </c>
      <c r="F108" s="63" t="s">
        <v>52</v>
      </c>
      <c r="G108" s="63" t="s">
        <v>53</v>
      </c>
      <c r="H108" s="124" t="s">
        <v>54</v>
      </c>
      <c r="I108" s="63" t="s">
        <v>55</v>
      </c>
      <c r="J108" s="63" t="s">
        <v>56</v>
      </c>
      <c r="K108" s="126">
        <v>801116</v>
      </c>
      <c r="L108" s="126" t="s">
        <v>57</v>
      </c>
      <c r="M108" s="47" t="s">
        <v>58</v>
      </c>
      <c r="N108" s="47" t="s">
        <v>59</v>
      </c>
      <c r="O108" s="125" t="s">
        <v>60</v>
      </c>
      <c r="P108" s="47" t="s">
        <v>463</v>
      </c>
      <c r="Q108" s="44">
        <v>3399000</v>
      </c>
      <c r="R108" s="45">
        <v>1</v>
      </c>
      <c r="S108" s="44">
        <v>37389000</v>
      </c>
      <c r="T108" s="48" t="s">
        <v>168</v>
      </c>
      <c r="U108" s="48" t="s">
        <v>63</v>
      </c>
      <c r="V108" s="49" t="s">
        <v>64</v>
      </c>
      <c r="W108" s="48">
        <v>11</v>
      </c>
      <c r="X108" s="50" t="s">
        <v>464</v>
      </c>
      <c r="Y108" s="51">
        <v>43122</v>
      </c>
      <c r="Z108" s="52">
        <f t="shared" si="3"/>
        <v>37389000</v>
      </c>
      <c r="AA108" s="50" t="s">
        <v>412</v>
      </c>
      <c r="AB108" s="50">
        <v>556</v>
      </c>
      <c r="AC108" s="53">
        <v>43122</v>
      </c>
      <c r="AD108" s="44">
        <v>37389000</v>
      </c>
      <c r="AE108" s="54">
        <v>0</v>
      </c>
      <c r="AF108" s="50">
        <v>475</v>
      </c>
      <c r="AG108" s="50">
        <v>43126</v>
      </c>
      <c r="AH108" s="55">
        <v>37389000</v>
      </c>
      <c r="AI108" s="50" t="s">
        <v>465</v>
      </c>
      <c r="AJ108" s="50">
        <v>401</v>
      </c>
      <c r="AK108" s="64"/>
      <c r="AL108" s="55">
        <v>37389000</v>
      </c>
      <c r="AM108" s="69">
        <v>24019600</v>
      </c>
      <c r="AN108" s="69">
        <v>13369400</v>
      </c>
      <c r="AO108" s="58" t="s">
        <v>67</v>
      </c>
      <c r="AP108" s="64"/>
      <c r="AQ108" s="64"/>
      <c r="AR108" s="64"/>
      <c r="AS108" s="64"/>
      <c r="AT108" s="64"/>
      <c r="AU108" s="64"/>
      <c r="AV108" s="64"/>
      <c r="AW108" s="220"/>
    </row>
    <row r="109" spans="1:49" s="221" customFormat="1" ht="399" x14ac:dyDescent="0.25">
      <c r="A109" s="64">
        <f t="shared" si="5"/>
        <v>105</v>
      </c>
      <c r="B109" s="47" t="s">
        <v>466</v>
      </c>
      <c r="C109" s="47" t="s">
        <v>49</v>
      </c>
      <c r="D109" s="47" t="s">
        <v>50</v>
      </c>
      <c r="E109" s="47" t="s">
        <v>51</v>
      </c>
      <c r="F109" s="47" t="s">
        <v>52</v>
      </c>
      <c r="G109" s="63" t="s">
        <v>53</v>
      </c>
      <c r="H109" s="124" t="s">
        <v>54</v>
      </c>
      <c r="I109" s="47" t="s">
        <v>55</v>
      </c>
      <c r="J109" s="47" t="s">
        <v>56</v>
      </c>
      <c r="K109" s="63">
        <v>82101600</v>
      </c>
      <c r="L109" s="63" t="s">
        <v>57</v>
      </c>
      <c r="M109" s="63" t="s">
        <v>58</v>
      </c>
      <c r="N109" s="63" t="s">
        <v>59</v>
      </c>
      <c r="O109" s="125" t="s">
        <v>60</v>
      </c>
      <c r="P109" s="47" t="s">
        <v>467</v>
      </c>
      <c r="Q109" s="44">
        <v>10000000</v>
      </c>
      <c r="R109" s="45">
        <v>1</v>
      </c>
      <c r="S109" s="46">
        <v>60000000</v>
      </c>
      <c r="T109" s="48" t="s">
        <v>62</v>
      </c>
      <c r="U109" s="48" t="s">
        <v>63</v>
      </c>
      <c r="V109" s="49" t="s">
        <v>64</v>
      </c>
      <c r="W109" s="48">
        <v>6</v>
      </c>
      <c r="X109" s="50" t="s">
        <v>468</v>
      </c>
      <c r="Y109" s="51">
        <v>43126</v>
      </c>
      <c r="Z109" s="52">
        <f t="shared" si="3"/>
        <v>60000000</v>
      </c>
      <c r="AA109" s="50" t="s">
        <v>412</v>
      </c>
      <c r="AB109" s="50">
        <v>571</v>
      </c>
      <c r="AC109" s="53">
        <v>43126</v>
      </c>
      <c r="AD109" s="44">
        <v>60000000</v>
      </c>
      <c r="AE109" s="54">
        <v>0</v>
      </c>
      <c r="AF109" s="50">
        <v>508</v>
      </c>
      <c r="AG109" s="50">
        <v>43129</v>
      </c>
      <c r="AH109" s="55">
        <v>60000000</v>
      </c>
      <c r="AI109" s="50" t="s">
        <v>469</v>
      </c>
      <c r="AJ109" s="50">
        <v>427</v>
      </c>
      <c r="AK109" s="64"/>
      <c r="AL109" s="55">
        <v>60000000</v>
      </c>
      <c r="AM109" s="69">
        <v>60000000</v>
      </c>
      <c r="AN109" s="69">
        <v>0</v>
      </c>
      <c r="AO109" s="58" t="s">
        <v>67</v>
      </c>
      <c r="AP109" s="64"/>
      <c r="AQ109" s="64"/>
      <c r="AR109" s="64"/>
      <c r="AS109" s="64"/>
      <c r="AT109" s="64"/>
      <c r="AU109" s="64"/>
      <c r="AV109" s="64"/>
      <c r="AW109" s="220"/>
    </row>
    <row r="110" spans="1:49" s="221" customFormat="1" ht="242.25" x14ac:dyDescent="0.25">
      <c r="A110" s="64">
        <f t="shared" si="5"/>
        <v>106</v>
      </c>
      <c r="B110" s="47" t="s">
        <v>470</v>
      </c>
      <c r="C110" s="47" t="s">
        <v>49</v>
      </c>
      <c r="D110" s="47" t="s">
        <v>50</v>
      </c>
      <c r="E110" s="47" t="s">
        <v>89</v>
      </c>
      <c r="F110" s="47" t="s">
        <v>52</v>
      </c>
      <c r="G110" s="63" t="s">
        <v>53</v>
      </c>
      <c r="H110" s="124" t="s">
        <v>54</v>
      </c>
      <c r="I110" s="47" t="s">
        <v>55</v>
      </c>
      <c r="J110" s="47" t="s">
        <v>56</v>
      </c>
      <c r="K110" s="63">
        <v>82101600</v>
      </c>
      <c r="L110" s="63" t="s">
        <v>57</v>
      </c>
      <c r="M110" s="63" t="s">
        <v>58</v>
      </c>
      <c r="N110" s="63" t="s">
        <v>59</v>
      </c>
      <c r="O110" s="125" t="s">
        <v>60</v>
      </c>
      <c r="P110" s="47" t="s">
        <v>471</v>
      </c>
      <c r="Q110" s="44">
        <v>3553500</v>
      </c>
      <c r="R110" s="45">
        <v>1</v>
      </c>
      <c r="S110" s="44">
        <f>Q110*11</f>
        <v>39088500</v>
      </c>
      <c r="T110" s="48" t="s">
        <v>444</v>
      </c>
      <c r="U110" s="48" t="s">
        <v>63</v>
      </c>
      <c r="V110" s="49" t="s">
        <v>64</v>
      </c>
      <c r="W110" s="48">
        <v>11</v>
      </c>
      <c r="X110" s="50" t="s">
        <v>472</v>
      </c>
      <c r="Y110" s="51">
        <v>43106</v>
      </c>
      <c r="Z110" s="52">
        <f t="shared" si="3"/>
        <v>39088500</v>
      </c>
      <c r="AA110" s="50" t="s">
        <v>412</v>
      </c>
      <c r="AB110" s="50">
        <v>588</v>
      </c>
      <c r="AC110" s="53">
        <v>43126</v>
      </c>
      <c r="AD110" s="44">
        <v>39088500</v>
      </c>
      <c r="AE110" s="54">
        <v>0</v>
      </c>
      <c r="AF110" s="50">
        <v>507</v>
      </c>
      <c r="AG110" s="50">
        <v>43126</v>
      </c>
      <c r="AH110" s="55">
        <v>39088500</v>
      </c>
      <c r="AI110" s="50" t="s">
        <v>473</v>
      </c>
      <c r="AJ110" s="50">
        <v>428</v>
      </c>
      <c r="AK110" s="64"/>
      <c r="AL110" s="55">
        <v>39088500</v>
      </c>
      <c r="AM110" s="69">
        <v>24874500</v>
      </c>
      <c r="AN110" s="69">
        <v>14214000</v>
      </c>
      <c r="AO110" s="58" t="s">
        <v>67</v>
      </c>
      <c r="AP110" s="64"/>
      <c r="AQ110" s="64"/>
      <c r="AR110" s="64"/>
      <c r="AS110" s="64"/>
      <c r="AT110" s="64"/>
      <c r="AU110" s="64"/>
      <c r="AV110" s="64"/>
      <c r="AW110" s="220"/>
    </row>
    <row r="111" spans="1:49" s="221" customFormat="1" ht="327.75" x14ac:dyDescent="0.25">
      <c r="A111" s="64">
        <f t="shared" si="5"/>
        <v>107</v>
      </c>
      <c r="B111" s="47" t="s">
        <v>474</v>
      </c>
      <c r="C111" s="47" t="s">
        <v>49</v>
      </c>
      <c r="D111" s="47" t="s">
        <v>50</v>
      </c>
      <c r="E111" s="47" t="s">
        <v>89</v>
      </c>
      <c r="F111" s="47" t="s">
        <v>436</v>
      </c>
      <c r="G111" s="47" t="s">
        <v>437</v>
      </c>
      <c r="H111" s="47" t="s">
        <v>438</v>
      </c>
      <c r="I111" s="47" t="s">
        <v>55</v>
      </c>
      <c r="J111" s="47" t="s">
        <v>56</v>
      </c>
      <c r="K111" s="47" t="s">
        <v>439</v>
      </c>
      <c r="L111" s="47"/>
      <c r="M111" s="47"/>
      <c r="N111" s="47"/>
      <c r="O111" s="125" t="s">
        <v>60</v>
      </c>
      <c r="P111" s="47" t="s">
        <v>475</v>
      </c>
      <c r="Q111" s="66">
        <v>0</v>
      </c>
      <c r="R111" s="47">
        <v>1</v>
      </c>
      <c r="S111" s="44">
        <v>583400</v>
      </c>
      <c r="T111" s="48" t="s">
        <v>417</v>
      </c>
      <c r="U111" s="47" t="s">
        <v>417</v>
      </c>
      <c r="V111" s="49" t="s">
        <v>64</v>
      </c>
      <c r="W111" s="50" t="s">
        <v>439</v>
      </c>
      <c r="X111" s="50" t="s">
        <v>476</v>
      </c>
      <c r="Y111" s="60">
        <v>43139</v>
      </c>
      <c r="Z111" s="44">
        <f>S111</f>
        <v>583400</v>
      </c>
      <c r="AA111" s="66" t="s">
        <v>435</v>
      </c>
      <c r="AB111" s="50">
        <v>640</v>
      </c>
      <c r="AC111" s="60">
        <v>43140</v>
      </c>
      <c r="AD111" s="44">
        <v>583400</v>
      </c>
      <c r="AE111" s="52">
        <v>47200</v>
      </c>
      <c r="AF111" s="48" t="s">
        <v>477</v>
      </c>
      <c r="AG111" s="48" t="s">
        <v>478</v>
      </c>
      <c r="AH111" s="55">
        <v>536200</v>
      </c>
      <c r="AI111" s="48" t="s">
        <v>479</v>
      </c>
      <c r="AJ111" s="50">
        <v>11127</v>
      </c>
      <c r="AK111" s="64"/>
      <c r="AL111" s="55">
        <v>536200</v>
      </c>
      <c r="AM111" s="55">
        <v>536200</v>
      </c>
      <c r="AN111" s="70">
        <f t="shared" ref="AN111:AN112" si="6">AL111-AM111</f>
        <v>0</v>
      </c>
      <c r="AO111" s="58" t="s">
        <v>67</v>
      </c>
      <c r="AP111" s="70"/>
      <c r="AQ111" s="64" t="s">
        <v>480</v>
      </c>
      <c r="AR111" s="64"/>
      <c r="AS111" s="64"/>
      <c r="AT111" s="64"/>
      <c r="AU111" s="64"/>
      <c r="AV111" s="64"/>
      <c r="AW111" s="220"/>
    </row>
    <row r="112" spans="1:49" s="221" customFormat="1" ht="327.75" x14ac:dyDescent="0.25">
      <c r="A112" s="64">
        <f t="shared" si="5"/>
        <v>108</v>
      </c>
      <c r="B112" s="47" t="s">
        <v>481</v>
      </c>
      <c r="C112" s="47" t="s">
        <v>49</v>
      </c>
      <c r="D112" s="47" t="s">
        <v>50</v>
      </c>
      <c r="E112" s="47" t="s">
        <v>89</v>
      </c>
      <c r="F112" s="47" t="s">
        <v>436</v>
      </c>
      <c r="G112" s="47" t="s">
        <v>437</v>
      </c>
      <c r="H112" s="47" t="s">
        <v>438</v>
      </c>
      <c r="I112" s="47" t="s">
        <v>55</v>
      </c>
      <c r="J112" s="47" t="s">
        <v>56</v>
      </c>
      <c r="K112" s="47" t="s">
        <v>439</v>
      </c>
      <c r="L112" s="47"/>
      <c r="M112" s="47"/>
      <c r="N112" s="47"/>
      <c r="O112" s="125" t="s">
        <v>60</v>
      </c>
      <c r="P112" s="47" t="s">
        <v>475</v>
      </c>
      <c r="Q112" s="64"/>
      <c r="R112" s="64"/>
      <c r="S112" s="64"/>
      <c r="T112" s="48" t="s">
        <v>417</v>
      </c>
      <c r="U112" s="47" t="s">
        <v>417</v>
      </c>
      <c r="V112" s="49" t="s">
        <v>64</v>
      </c>
      <c r="W112" s="50" t="s">
        <v>439</v>
      </c>
      <c r="X112" s="50" t="s">
        <v>476</v>
      </c>
      <c r="Y112" s="60">
        <v>43139</v>
      </c>
      <c r="Z112" s="64"/>
      <c r="AA112" s="66" t="s">
        <v>435</v>
      </c>
      <c r="AB112" s="50">
        <v>640</v>
      </c>
      <c r="AC112" s="60">
        <v>43140</v>
      </c>
      <c r="AD112" s="52">
        <v>0</v>
      </c>
      <c r="AE112" s="64">
        <v>0</v>
      </c>
      <c r="AF112" s="48" t="s">
        <v>477</v>
      </c>
      <c r="AG112" s="48" t="s">
        <v>478</v>
      </c>
      <c r="AH112" s="55">
        <v>0</v>
      </c>
      <c r="AI112" s="48" t="s">
        <v>479</v>
      </c>
      <c r="AJ112" s="50">
        <v>11127</v>
      </c>
      <c r="AK112" s="64"/>
      <c r="AL112" s="55">
        <v>0</v>
      </c>
      <c r="AM112" s="55">
        <v>0</v>
      </c>
      <c r="AN112" s="70">
        <f t="shared" si="6"/>
        <v>0</v>
      </c>
      <c r="AO112" s="58" t="s">
        <v>67</v>
      </c>
      <c r="AP112" s="64"/>
      <c r="AQ112" s="64" t="s">
        <v>480</v>
      </c>
      <c r="AR112" s="64"/>
      <c r="AS112" s="64"/>
      <c r="AT112" s="64"/>
      <c r="AU112" s="64"/>
      <c r="AV112" s="64"/>
      <c r="AW112" s="220"/>
    </row>
    <row r="113" spans="1:49" s="221" customFormat="1" ht="128.25" x14ac:dyDescent="0.25">
      <c r="A113" s="64">
        <f t="shared" si="5"/>
        <v>109</v>
      </c>
      <c r="B113" s="47" t="s">
        <v>482</v>
      </c>
      <c r="C113" s="123" t="s">
        <v>49</v>
      </c>
      <c r="D113" s="63" t="s">
        <v>50</v>
      </c>
      <c r="E113" s="47" t="s">
        <v>89</v>
      </c>
      <c r="F113" s="63" t="s">
        <v>52</v>
      </c>
      <c r="G113" s="63" t="s">
        <v>53</v>
      </c>
      <c r="H113" s="63" t="s">
        <v>54</v>
      </c>
      <c r="I113" s="63" t="s">
        <v>55</v>
      </c>
      <c r="J113" s="63" t="s">
        <v>56</v>
      </c>
      <c r="K113" s="63">
        <v>801116</v>
      </c>
      <c r="L113" s="126" t="s">
        <v>57</v>
      </c>
      <c r="M113" s="47" t="s">
        <v>58</v>
      </c>
      <c r="N113" s="47" t="s">
        <v>59</v>
      </c>
      <c r="O113" s="125" t="s">
        <v>60</v>
      </c>
      <c r="P113" s="47" t="s">
        <v>483</v>
      </c>
      <c r="Q113" s="50" t="s">
        <v>439</v>
      </c>
      <c r="R113" s="50" t="s">
        <v>439</v>
      </c>
      <c r="S113" s="44">
        <v>30000000</v>
      </c>
      <c r="T113" s="48" t="s">
        <v>417</v>
      </c>
      <c r="U113" s="47" t="s">
        <v>417</v>
      </c>
      <c r="V113" s="49" t="s">
        <v>441</v>
      </c>
      <c r="W113" s="48">
        <v>6</v>
      </c>
      <c r="X113" s="64"/>
      <c r="Y113" s="64"/>
      <c r="Z113" s="64"/>
      <c r="AA113" s="64"/>
      <c r="AB113" s="50">
        <v>0</v>
      </c>
      <c r="AC113" s="64"/>
      <c r="AD113" s="52">
        <v>0</v>
      </c>
      <c r="AE113" s="64"/>
      <c r="AF113" s="50">
        <v>0</v>
      </c>
      <c r="AG113" s="50">
        <v>0</v>
      </c>
      <c r="AH113" s="55">
        <v>0</v>
      </c>
      <c r="AI113" s="50">
        <v>0</v>
      </c>
      <c r="AJ113" s="50">
        <v>0</v>
      </c>
      <c r="AK113" s="64"/>
      <c r="AL113" s="55">
        <v>0</v>
      </c>
      <c r="AM113" s="55">
        <v>0</v>
      </c>
      <c r="AN113" s="64"/>
      <c r="AO113" s="58" t="s">
        <v>67</v>
      </c>
      <c r="AP113" s="64"/>
      <c r="AQ113" s="64"/>
      <c r="AR113" s="64"/>
      <c r="AS113" s="64"/>
      <c r="AT113" s="64"/>
      <c r="AU113" s="64"/>
      <c r="AV113" s="64"/>
      <c r="AW113" s="220"/>
    </row>
    <row r="114" spans="1:49" s="221" customFormat="1" ht="213.75" x14ac:dyDescent="0.25">
      <c r="A114" s="64">
        <f t="shared" si="5"/>
        <v>110</v>
      </c>
      <c r="B114" s="47" t="s">
        <v>484</v>
      </c>
      <c r="C114" s="123" t="s">
        <v>49</v>
      </c>
      <c r="D114" s="63" t="s">
        <v>50</v>
      </c>
      <c r="E114" s="47" t="s">
        <v>51</v>
      </c>
      <c r="F114" s="63" t="s">
        <v>425</v>
      </c>
      <c r="G114" s="63" t="s">
        <v>485</v>
      </c>
      <c r="H114" s="63" t="s">
        <v>486</v>
      </c>
      <c r="I114" s="63" t="s">
        <v>55</v>
      </c>
      <c r="J114" s="63" t="s">
        <v>56</v>
      </c>
      <c r="K114" s="63">
        <v>84131501</v>
      </c>
      <c r="L114" s="126" t="s">
        <v>57</v>
      </c>
      <c r="M114" s="47" t="s">
        <v>58</v>
      </c>
      <c r="N114" s="47" t="s">
        <v>59</v>
      </c>
      <c r="O114" s="125" t="s">
        <v>60</v>
      </c>
      <c r="P114" s="47" t="s">
        <v>487</v>
      </c>
      <c r="Q114" s="50" t="s">
        <v>439</v>
      </c>
      <c r="R114" s="50" t="s">
        <v>439</v>
      </c>
      <c r="S114" s="67">
        <f>30000000-12000000-14056087-1859356-929678</f>
        <v>1154879</v>
      </c>
      <c r="T114" s="48" t="s">
        <v>417</v>
      </c>
      <c r="U114" s="47" t="s">
        <v>417</v>
      </c>
      <c r="V114" s="49" t="s">
        <v>441</v>
      </c>
      <c r="W114" s="48">
        <v>6</v>
      </c>
      <c r="X114" s="64"/>
      <c r="Y114" s="64"/>
      <c r="Z114" s="64"/>
      <c r="AA114" s="64"/>
      <c r="AB114" s="50">
        <v>0</v>
      </c>
      <c r="AC114" s="64"/>
      <c r="AD114" s="52">
        <v>0</v>
      </c>
      <c r="AE114" s="64"/>
      <c r="AF114" s="50">
        <v>0</v>
      </c>
      <c r="AG114" s="50">
        <v>0</v>
      </c>
      <c r="AH114" s="55">
        <v>0</v>
      </c>
      <c r="AI114" s="50">
        <v>0</v>
      </c>
      <c r="AJ114" s="50">
        <v>0</v>
      </c>
      <c r="AK114" s="64"/>
      <c r="AL114" s="55">
        <v>0</v>
      </c>
      <c r="AM114" s="55">
        <v>0</v>
      </c>
      <c r="AN114" s="64"/>
      <c r="AO114" s="58" t="s">
        <v>67</v>
      </c>
      <c r="AP114" s="64"/>
      <c r="AQ114" s="64"/>
      <c r="AR114" s="64"/>
      <c r="AS114" s="64"/>
      <c r="AT114" s="64"/>
      <c r="AU114" s="64"/>
      <c r="AV114" s="64"/>
      <c r="AW114" s="220"/>
    </row>
    <row r="115" spans="1:49" s="221" customFormat="1" ht="213.75" x14ac:dyDescent="0.25">
      <c r="A115" s="64">
        <f t="shared" si="5"/>
        <v>111</v>
      </c>
      <c r="B115" s="47" t="s">
        <v>488</v>
      </c>
      <c r="C115" s="123" t="s">
        <v>49</v>
      </c>
      <c r="D115" s="63" t="s">
        <v>50</v>
      </c>
      <c r="E115" s="63" t="s">
        <v>390</v>
      </c>
      <c r="F115" s="63" t="s">
        <v>425</v>
      </c>
      <c r="G115" s="63" t="s">
        <v>485</v>
      </c>
      <c r="H115" s="63" t="s">
        <v>486</v>
      </c>
      <c r="I115" s="63" t="s">
        <v>55</v>
      </c>
      <c r="J115" s="63" t="s">
        <v>56</v>
      </c>
      <c r="K115" s="63">
        <v>84131501</v>
      </c>
      <c r="L115" s="126" t="s">
        <v>57</v>
      </c>
      <c r="M115" s="47" t="s">
        <v>58</v>
      </c>
      <c r="N115" s="47" t="s">
        <v>59</v>
      </c>
      <c r="O115" s="125" t="s">
        <v>60</v>
      </c>
      <c r="P115" s="47" t="s">
        <v>489</v>
      </c>
      <c r="Q115" s="50" t="s">
        <v>439</v>
      </c>
      <c r="R115" s="50" t="s">
        <v>439</v>
      </c>
      <c r="S115" s="44">
        <f>30000000-300000-4000000-119276-1047000-95119-9098844-600000-8737140</f>
        <v>6002621</v>
      </c>
      <c r="T115" s="48" t="s">
        <v>417</v>
      </c>
      <c r="U115" s="47" t="s">
        <v>417</v>
      </c>
      <c r="V115" s="49" t="s">
        <v>441</v>
      </c>
      <c r="W115" s="48">
        <v>6</v>
      </c>
      <c r="X115" s="64"/>
      <c r="Y115" s="64"/>
      <c r="Z115" s="64"/>
      <c r="AA115" s="64"/>
      <c r="AB115" s="50">
        <v>0</v>
      </c>
      <c r="AC115" s="64"/>
      <c r="AD115" s="52">
        <v>0</v>
      </c>
      <c r="AE115" s="64"/>
      <c r="AF115" s="50">
        <v>0</v>
      </c>
      <c r="AG115" s="50">
        <v>0</v>
      </c>
      <c r="AH115" s="55">
        <v>0</v>
      </c>
      <c r="AI115" s="50">
        <v>0</v>
      </c>
      <c r="AJ115" s="50">
        <v>0</v>
      </c>
      <c r="AK115" s="64"/>
      <c r="AL115" s="55">
        <v>0</v>
      </c>
      <c r="AM115" s="55">
        <v>0</v>
      </c>
      <c r="AN115" s="64"/>
      <c r="AO115" s="58" t="s">
        <v>67</v>
      </c>
      <c r="AP115" s="64"/>
      <c r="AQ115" s="64"/>
      <c r="AR115" s="64"/>
      <c r="AS115" s="64"/>
      <c r="AT115" s="64"/>
      <c r="AU115" s="64"/>
      <c r="AV115" s="64"/>
      <c r="AW115" s="220"/>
    </row>
    <row r="116" spans="1:49" s="221" customFormat="1" ht="409.5" x14ac:dyDescent="0.25">
      <c r="A116" s="64">
        <f t="shared" si="5"/>
        <v>112</v>
      </c>
      <c r="B116" s="47" t="s">
        <v>490</v>
      </c>
      <c r="C116" s="123" t="s">
        <v>49</v>
      </c>
      <c r="D116" s="63" t="s">
        <v>50</v>
      </c>
      <c r="E116" s="47" t="s">
        <v>51</v>
      </c>
      <c r="F116" s="63" t="s">
        <v>425</v>
      </c>
      <c r="G116" s="63" t="s">
        <v>485</v>
      </c>
      <c r="H116" s="63" t="s">
        <v>486</v>
      </c>
      <c r="I116" s="63" t="s">
        <v>55</v>
      </c>
      <c r="J116" s="63" t="s">
        <v>56</v>
      </c>
      <c r="K116" s="63">
        <v>84131501</v>
      </c>
      <c r="L116" s="126" t="s">
        <v>57</v>
      </c>
      <c r="M116" s="47" t="s">
        <v>58</v>
      </c>
      <c r="N116" s="47" t="s">
        <v>59</v>
      </c>
      <c r="O116" s="125" t="s">
        <v>60</v>
      </c>
      <c r="P116" s="47" t="s">
        <v>491</v>
      </c>
      <c r="Q116" s="50">
        <v>0</v>
      </c>
      <c r="R116" s="50">
        <v>1</v>
      </c>
      <c r="S116" s="44">
        <v>12000000</v>
      </c>
      <c r="T116" s="48" t="s">
        <v>492</v>
      </c>
      <c r="U116" s="47" t="s">
        <v>492</v>
      </c>
      <c r="V116" s="51" t="s">
        <v>493</v>
      </c>
      <c r="W116" s="50" t="s">
        <v>439</v>
      </c>
      <c r="X116" s="50" t="s">
        <v>494</v>
      </c>
      <c r="Y116" s="51">
        <v>43153</v>
      </c>
      <c r="Z116" s="68">
        <f>S116</f>
        <v>12000000</v>
      </c>
      <c r="AA116" s="64">
        <v>110</v>
      </c>
      <c r="AB116" s="50">
        <v>665</v>
      </c>
      <c r="AC116" s="60">
        <v>43159</v>
      </c>
      <c r="AD116" s="52">
        <v>26056087</v>
      </c>
      <c r="AE116" s="64"/>
      <c r="AF116" s="50">
        <v>1475</v>
      </c>
      <c r="AG116" s="60">
        <v>43159</v>
      </c>
      <c r="AH116" s="69">
        <v>26056087</v>
      </c>
      <c r="AI116" s="64" t="s">
        <v>495</v>
      </c>
      <c r="AJ116" s="50">
        <v>454</v>
      </c>
      <c r="AK116" s="64"/>
      <c r="AL116" s="69">
        <v>26056087</v>
      </c>
      <c r="AM116" s="69">
        <v>26056087</v>
      </c>
      <c r="AN116" s="70">
        <f>AL116-AM116</f>
        <v>0</v>
      </c>
      <c r="AO116" s="58" t="s">
        <v>67</v>
      </c>
      <c r="AP116" s="64"/>
      <c r="AQ116" s="64" t="s">
        <v>496</v>
      </c>
      <c r="AR116" s="64"/>
      <c r="AS116" s="64"/>
      <c r="AT116" s="64"/>
      <c r="AU116" s="64"/>
      <c r="AV116" s="64"/>
      <c r="AW116" s="220"/>
    </row>
    <row r="117" spans="1:49" s="221" customFormat="1" ht="409.5" x14ac:dyDescent="0.25">
      <c r="A117" s="64">
        <f t="shared" si="5"/>
        <v>113</v>
      </c>
      <c r="B117" s="47" t="s">
        <v>497</v>
      </c>
      <c r="C117" s="123" t="s">
        <v>49</v>
      </c>
      <c r="D117" s="63" t="s">
        <v>50</v>
      </c>
      <c r="E117" s="47" t="s">
        <v>51</v>
      </c>
      <c r="F117" s="63" t="s">
        <v>425</v>
      </c>
      <c r="G117" s="63" t="s">
        <v>485</v>
      </c>
      <c r="H117" s="63" t="s">
        <v>486</v>
      </c>
      <c r="I117" s="63" t="s">
        <v>55</v>
      </c>
      <c r="J117" s="63" t="s">
        <v>56</v>
      </c>
      <c r="K117" s="63">
        <v>84131501</v>
      </c>
      <c r="L117" s="126" t="s">
        <v>57</v>
      </c>
      <c r="M117" s="47" t="s">
        <v>58</v>
      </c>
      <c r="N117" s="47" t="s">
        <v>59</v>
      </c>
      <c r="O117" s="125" t="s">
        <v>60</v>
      </c>
      <c r="P117" s="47" t="s">
        <v>491</v>
      </c>
      <c r="Q117" s="50">
        <v>0</v>
      </c>
      <c r="R117" s="50">
        <v>1</v>
      </c>
      <c r="S117" s="44">
        <v>14056087</v>
      </c>
      <c r="T117" s="48" t="s">
        <v>492</v>
      </c>
      <c r="U117" s="47" t="s">
        <v>492</v>
      </c>
      <c r="V117" s="49" t="s">
        <v>493</v>
      </c>
      <c r="W117" s="50" t="s">
        <v>439</v>
      </c>
      <c r="X117" s="50" t="s">
        <v>498</v>
      </c>
      <c r="Y117" s="50">
        <v>43159</v>
      </c>
      <c r="Z117" s="68">
        <f>S117</f>
        <v>14056087</v>
      </c>
      <c r="AA117" s="64"/>
      <c r="AB117" s="50">
        <v>665</v>
      </c>
      <c r="AC117" s="60">
        <v>43159</v>
      </c>
      <c r="AD117" s="52">
        <v>0</v>
      </c>
      <c r="AE117" s="64"/>
      <c r="AF117" s="50">
        <v>1475</v>
      </c>
      <c r="AG117" s="60">
        <v>43159</v>
      </c>
      <c r="AH117" s="55">
        <v>0</v>
      </c>
      <c r="AI117" s="64" t="s">
        <v>495</v>
      </c>
      <c r="AJ117" s="50">
        <v>454</v>
      </c>
      <c r="AK117" s="64"/>
      <c r="AL117" s="55">
        <v>0</v>
      </c>
      <c r="AM117" s="55">
        <v>0</v>
      </c>
      <c r="AN117" s="70"/>
      <c r="AO117" s="58" t="s">
        <v>67</v>
      </c>
      <c r="AP117" s="64"/>
      <c r="AQ117" s="64" t="s">
        <v>496</v>
      </c>
      <c r="AR117" s="58" t="s">
        <v>499</v>
      </c>
      <c r="AS117" s="64"/>
      <c r="AT117" s="64"/>
      <c r="AU117" s="64"/>
      <c r="AV117" s="64"/>
      <c r="AW117" s="220"/>
    </row>
    <row r="118" spans="1:49" s="221" customFormat="1" ht="128.25" x14ac:dyDescent="0.25">
      <c r="A118" s="64">
        <f t="shared" si="5"/>
        <v>114</v>
      </c>
      <c r="B118" s="47" t="s">
        <v>500</v>
      </c>
      <c r="C118" s="123" t="s">
        <v>49</v>
      </c>
      <c r="D118" s="63" t="s">
        <v>50</v>
      </c>
      <c r="E118" s="47" t="s">
        <v>89</v>
      </c>
      <c r="F118" s="63" t="s">
        <v>52</v>
      </c>
      <c r="G118" s="63" t="s">
        <v>53</v>
      </c>
      <c r="H118" s="124" t="s">
        <v>54</v>
      </c>
      <c r="I118" s="63" t="s">
        <v>55</v>
      </c>
      <c r="J118" s="63" t="s">
        <v>56</v>
      </c>
      <c r="K118" s="126">
        <v>801116</v>
      </c>
      <c r="L118" s="126" t="s">
        <v>57</v>
      </c>
      <c r="M118" s="47" t="s">
        <v>58</v>
      </c>
      <c r="N118" s="47" t="s">
        <v>59</v>
      </c>
      <c r="O118" s="125" t="s">
        <v>60</v>
      </c>
      <c r="P118" s="47" t="s">
        <v>501</v>
      </c>
      <c r="Q118" s="64"/>
      <c r="R118" s="64"/>
      <c r="S118" s="70"/>
      <c r="T118" s="64"/>
      <c r="U118" s="47"/>
      <c r="V118" s="64"/>
      <c r="W118" s="64"/>
      <c r="X118" s="64"/>
      <c r="Y118" s="64"/>
      <c r="Z118" s="64"/>
      <c r="AA118" s="64"/>
      <c r="AB118" s="50">
        <v>0</v>
      </c>
      <c r="AC118" s="64"/>
      <c r="AD118" s="52"/>
      <c r="AE118" s="64"/>
      <c r="AF118" s="50">
        <v>0</v>
      </c>
      <c r="AG118" s="50">
        <v>0</v>
      </c>
      <c r="AH118" s="55">
        <v>0</v>
      </c>
      <c r="AI118" s="50">
        <v>0</v>
      </c>
      <c r="AJ118" s="50">
        <v>0</v>
      </c>
      <c r="AK118" s="64"/>
      <c r="AL118" s="55">
        <v>0</v>
      </c>
      <c r="AM118" s="55">
        <v>0</v>
      </c>
      <c r="AN118" s="71">
        <f>AL118+AL119-AM118-AM119</f>
        <v>0</v>
      </c>
      <c r="AO118" s="58" t="s">
        <v>67</v>
      </c>
      <c r="AP118" s="64"/>
      <c r="AQ118" s="64"/>
      <c r="AR118" s="64"/>
      <c r="AS118" s="64"/>
      <c r="AT118" s="64"/>
      <c r="AU118" s="64"/>
      <c r="AV118" s="64"/>
      <c r="AW118" s="220"/>
    </row>
    <row r="119" spans="1:49" s="221" customFormat="1" ht="128.25" x14ac:dyDescent="0.25">
      <c r="A119" s="64">
        <f t="shared" si="5"/>
        <v>115</v>
      </c>
      <c r="B119" s="47" t="s">
        <v>502</v>
      </c>
      <c r="C119" s="123" t="s">
        <v>49</v>
      </c>
      <c r="D119" s="63" t="s">
        <v>50</v>
      </c>
      <c r="E119" s="47" t="s">
        <v>51</v>
      </c>
      <c r="F119" s="63" t="s">
        <v>52</v>
      </c>
      <c r="G119" s="63" t="s">
        <v>53</v>
      </c>
      <c r="H119" s="124" t="s">
        <v>54</v>
      </c>
      <c r="I119" s="63" t="s">
        <v>55</v>
      </c>
      <c r="J119" s="63" t="s">
        <v>56</v>
      </c>
      <c r="K119" s="126">
        <v>801116</v>
      </c>
      <c r="L119" s="126" t="s">
        <v>57</v>
      </c>
      <c r="M119" s="47" t="s">
        <v>58</v>
      </c>
      <c r="N119" s="47" t="s">
        <v>59</v>
      </c>
      <c r="O119" s="125" t="s">
        <v>60</v>
      </c>
      <c r="P119" s="47" t="s">
        <v>501</v>
      </c>
      <c r="Q119" s="64"/>
      <c r="R119" s="64"/>
      <c r="S119" s="70"/>
      <c r="T119" s="64"/>
      <c r="U119" s="47"/>
      <c r="V119" s="64"/>
      <c r="W119" s="64"/>
      <c r="X119" s="64"/>
      <c r="Y119" s="64"/>
      <c r="Z119" s="64"/>
      <c r="AA119" s="64"/>
      <c r="AB119" s="50">
        <v>0</v>
      </c>
      <c r="AC119" s="64"/>
      <c r="AD119" s="52"/>
      <c r="AE119" s="64"/>
      <c r="AF119" s="50">
        <v>0</v>
      </c>
      <c r="AG119" s="50">
        <v>0</v>
      </c>
      <c r="AH119" s="55">
        <v>0</v>
      </c>
      <c r="AI119" s="50">
        <v>0</v>
      </c>
      <c r="AJ119" s="50">
        <v>0</v>
      </c>
      <c r="AK119" s="64"/>
      <c r="AL119" s="55">
        <v>0</v>
      </c>
      <c r="AM119" s="55">
        <v>0</v>
      </c>
      <c r="AN119" s="64"/>
      <c r="AO119" s="58" t="s">
        <v>67</v>
      </c>
      <c r="AP119" s="64"/>
      <c r="AQ119" s="64"/>
      <c r="AR119" s="64"/>
      <c r="AS119" s="64"/>
      <c r="AT119" s="64"/>
      <c r="AU119" s="64"/>
      <c r="AV119" s="64"/>
      <c r="AW119" s="220"/>
    </row>
    <row r="120" spans="1:49" s="221" customFormat="1" ht="399" x14ac:dyDescent="0.25">
      <c r="A120" s="64">
        <f t="shared" si="5"/>
        <v>116</v>
      </c>
      <c r="B120" s="47" t="s">
        <v>503</v>
      </c>
      <c r="C120" s="123" t="s">
        <v>49</v>
      </c>
      <c r="D120" s="63" t="s">
        <v>50</v>
      </c>
      <c r="E120" s="63" t="s">
        <v>390</v>
      </c>
      <c r="F120" s="63" t="s">
        <v>425</v>
      </c>
      <c r="G120" s="63" t="s">
        <v>485</v>
      </c>
      <c r="H120" s="63" t="s">
        <v>486</v>
      </c>
      <c r="I120" s="63" t="s">
        <v>55</v>
      </c>
      <c r="J120" s="63" t="s">
        <v>56</v>
      </c>
      <c r="K120" s="63">
        <v>84131501</v>
      </c>
      <c r="L120" s="126" t="s">
        <v>57</v>
      </c>
      <c r="M120" s="47" t="s">
        <v>58</v>
      </c>
      <c r="N120" s="47" t="s">
        <v>59</v>
      </c>
      <c r="O120" s="125" t="s">
        <v>60</v>
      </c>
      <c r="P120" s="47" t="s">
        <v>504</v>
      </c>
      <c r="Q120" s="64"/>
      <c r="R120" s="64">
        <v>1</v>
      </c>
      <c r="S120" s="72">
        <v>300000</v>
      </c>
      <c r="T120" s="48" t="s">
        <v>505</v>
      </c>
      <c r="U120" s="48" t="s">
        <v>505</v>
      </c>
      <c r="V120" s="49">
        <v>43165</v>
      </c>
      <c r="W120" s="48" t="s">
        <v>439</v>
      </c>
      <c r="X120" s="48" t="s">
        <v>506</v>
      </c>
      <c r="Y120" s="49">
        <v>43164</v>
      </c>
      <c r="Z120" s="72">
        <v>300000</v>
      </c>
      <c r="AA120" s="50" t="s">
        <v>488</v>
      </c>
      <c r="AB120" s="50">
        <v>684</v>
      </c>
      <c r="AC120" s="60">
        <v>43165</v>
      </c>
      <c r="AD120" s="52">
        <v>300000</v>
      </c>
      <c r="AE120" s="64"/>
      <c r="AF120" s="50">
        <v>1569</v>
      </c>
      <c r="AG120" s="50">
        <v>43173</v>
      </c>
      <c r="AH120" s="55">
        <v>300000</v>
      </c>
      <c r="AI120" s="50" t="s">
        <v>507</v>
      </c>
      <c r="AJ120" s="50">
        <v>1526</v>
      </c>
      <c r="AK120" s="64"/>
      <c r="AL120" s="55">
        <v>300000</v>
      </c>
      <c r="AM120" s="69">
        <v>300000</v>
      </c>
      <c r="AN120" s="69">
        <v>0</v>
      </c>
      <c r="AO120" s="58" t="s">
        <v>67</v>
      </c>
      <c r="AP120" s="64"/>
      <c r="AQ120" s="64"/>
      <c r="AR120" s="64"/>
      <c r="AS120" s="64"/>
      <c r="AT120" s="64"/>
      <c r="AU120" s="64"/>
      <c r="AV120" s="64"/>
      <c r="AW120" s="220"/>
    </row>
    <row r="121" spans="1:49" s="221" customFormat="1" ht="299.25" x14ac:dyDescent="0.25">
      <c r="A121" s="64">
        <f t="shared" si="5"/>
        <v>117</v>
      </c>
      <c r="B121" s="47" t="s">
        <v>508</v>
      </c>
      <c r="C121" s="123" t="s">
        <v>49</v>
      </c>
      <c r="D121" s="63" t="s">
        <v>50</v>
      </c>
      <c r="E121" s="47" t="s">
        <v>51</v>
      </c>
      <c r="F121" s="63" t="s">
        <v>52</v>
      </c>
      <c r="G121" s="63" t="s">
        <v>53</v>
      </c>
      <c r="H121" s="124" t="s">
        <v>54</v>
      </c>
      <c r="I121" s="63" t="s">
        <v>55</v>
      </c>
      <c r="J121" s="63" t="s">
        <v>56</v>
      </c>
      <c r="K121" s="126">
        <v>801116</v>
      </c>
      <c r="L121" s="126" t="s">
        <v>57</v>
      </c>
      <c r="M121" s="47" t="s">
        <v>58</v>
      </c>
      <c r="N121" s="47" t="s">
        <v>59</v>
      </c>
      <c r="O121" s="125" t="s">
        <v>60</v>
      </c>
      <c r="P121" s="47" t="s">
        <v>509</v>
      </c>
      <c r="Q121" s="72">
        <v>11611000</v>
      </c>
      <c r="R121" s="50">
        <v>1</v>
      </c>
      <c r="S121" s="44">
        <v>11611000</v>
      </c>
      <c r="T121" s="64"/>
      <c r="U121" s="47" t="s">
        <v>63</v>
      </c>
      <c r="V121" s="51">
        <v>43165</v>
      </c>
      <c r="W121" s="50" t="s">
        <v>439</v>
      </c>
      <c r="X121" s="50" t="s">
        <v>510</v>
      </c>
      <c r="Y121" s="51">
        <v>43164</v>
      </c>
      <c r="Z121" s="68">
        <f>S121</f>
        <v>11611000</v>
      </c>
      <c r="AA121" s="50" t="s">
        <v>490</v>
      </c>
      <c r="AB121" s="50">
        <v>683</v>
      </c>
      <c r="AC121" s="60">
        <v>43165</v>
      </c>
      <c r="AD121" s="52">
        <v>11611000</v>
      </c>
      <c r="AE121" s="64"/>
      <c r="AF121" s="48" t="s">
        <v>511</v>
      </c>
      <c r="AG121" s="48" t="s">
        <v>512</v>
      </c>
      <c r="AH121" s="69">
        <v>6675800</v>
      </c>
      <c r="AI121" s="64" t="s">
        <v>513</v>
      </c>
      <c r="AJ121" s="48" t="s">
        <v>514</v>
      </c>
      <c r="AK121" s="64"/>
      <c r="AL121" s="69">
        <v>6675800</v>
      </c>
      <c r="AM121" s="69">
        <v>6675800</v>
      </c>
      <c r="AN121" s="64"/>
      <c r="AO121" s="58" t="s">
        <v>67</v>
      </c>
      <c r="AP121" s="64"/>
      <c r="AQ121" s="64"/>
      <c r="AR121" s="64"/>
      <c r="AS121" s="64"/>
      <c r="AT121" s="64"/>
      <c r="AU121" s="64"/>
      <c r="AV121" s="64"/>
      <c r="AW121" s="220"/>
    </row>
    <row r="122" spans="1:49" s="221" customFormat="1" ht="185.25" x14ac:dyDescent="0.25">
      <c r="A122" s="64">
        <f t="shared" si="5"/>
        <v>118</v>
      </c>
      <c r="B122" s="47" t="s">
        <v>515</v>
      </c>
      <c r="C122" s="123" t="s">
        <v>49</v>
      </c>
      <c r="D122" s="123" t="s">
        <v>50</v>
      </c>
      <c r="E122" s="123" t="s">
        <v>89</v>
      </c>
      <c r="F122" s="123" t="s">
        <v>52</v>
      </c>
      <c r="G122" s="123" t="s">
        <v>53</v>
      </c>
      <c r="H122" s="123" t="s">
        <v>54</v>
      </c>
      <c r="I122" s="123" t="s">
        <v>55</v>
      </c>
      <c r="J122" s="123" t="s">
        <v>56</v>
      </c>
      <c r="K122" s="123">
        <v>801116</v>
      </c>
      <c r="L122" s="123" t="s">
        <v>57</v>
      </c>
      <c r="M122" s="123" t="s">
        <v>58</v>
      </c>
      <c r="N122" s="123" t="s">
        <v>59</v>
      </c>
      <c r="O122" s="123" t="s">
        <v>60</v>
      </c>
      <c r="P122" s="47" t="s">
        <v>516</v>
      </c>
      <c r="Q122" s="64"/>
      <c r="R122" s="64"/>
      <c r="S122" s="73"/>
      <c r="T122" s="64"/>
      <c r="U122" s="47"/>
      <c r="V122" s="64"/>
      <c r="W122" s="64"/>
      <c r="X122" s="64"/>
      <c r="Y122" s="64"/>
      <c r="Z122" s="64"/>
      <c r="AA122" s="64"/>
      <c r="AB122" s="50">
        <v>0</v>
      </c>
      <c r="AC122" s="64"/>
      <c r="AD122" s="52"/>
      <c r="AE122" s="64"/>
      <c r="AF122" s="50">
        <v>0</v>
      </c>
      <c r="AG122" s="50">
        <v>0</v>
      </c>
      <c r="AH122" s="55">
        <v>0</v>
      </c>
      <c r="AI122" s="50">
        <v>0</v>
      </c>
      <c r="AJ122" s="50">
        <v>0</v>
      </c>
      <c r="AK122" s="64"/>
      <c r="AL122" s="55">
        <v>0</v>
      </c>
      <c r="AM122" s="55">
        <v>0</v>
      </c>
      <c r="AN122" s="64">
        <f>AL122-AM122</f>
        <v>0</v>
      </c>
      <c r="AO122" s="58" t="s">
        <v>67</v>
      </c>
      <c r="AP122" s="64"/>
      <c r="AQ122" s="64"/>
      <c r="AR122" s="64"/>
      <c r="AS122" s="64"/>
      <c r="AT122" s="64"/>
      <c r="AU122" s="64"/>
      <c r="AV122" s="64"/>
      <c r="AW122" s="220"/>
    </row>
    <row r="123" spans="1:49" s="221" customFormat="1" ht="409.5" x14ac:dyDescent="0.25">
      <c r="A123" s="64">
        <f t="shared" si="5"/>
        <v>119</v>
      </c>
      <c r="B123" s="47" t="s">
        <v>517</v>
      </c>
      <c r="C123" s="123" t="s">
        <v>49</v>
      </c>
      <c r="D123" s="63" t="s">
        <v>50</v>
      </c>
      <c r="E123" s="47" t="s">
        <v>51</v>
      </c>
      <c r="F123" s="63" t="s">
        <v>52</v>
      </c>
      <c r="G123" s="63" t="s">
        <v>53</v>
      </c>
      <c r="H123" s="124" t="s">
        <v>54</v>
      </c>
      <c r="I123" s="63" t="s">
        <v>55</v>
      </c>
      <c r="J123" s="63" t="s">
        <v>56</v>
      </c>
      <c r="K123" s="126">
        <v>801116</v>
      </c>
      <c r="L123" s="126" t="s">
        <v>57</v>
      </c>
      <c r="M123" s="47" t="s">
        <v>58</v>
      </c>
      <c r="N123" s="47" t="s">
        <v>59</v>
      </c>
      <c r="O123" s="125" t="s">
        <v>60</v>
      </c>
      <c r="P123" s="47" t="s">
        <v>518</v>
      </c>
      <c r="Q123" s="64"/>
      <c r="R123" s="64"/>
      <c r="S123" s="64"/>
      <c r="T123" s="64"/>
      <c r="U123" s="47"/>
      <c r="V123" s="64"/>
      <c r="W123" s="64"/>
      <c r="X123" s="64"/>
      <c r="Y123" s="64"/>
      <c r="Z123" s="64"/>
      <c r="AA123" s="64"/>
      <c r="AB123" s="50">
        <v>0</v>
      </c>
      <c r="AC123" s="64"/>
      <c r="AD123" s="52">
        <v>0</v>
      </c>
      <c r="AE123" s="64"/>
      <c r="AF123" s="50">
        <v>0</v>
      </c>
      <c r="AG123" s="50">
        <v>0</v>
      </c>
      <c r="AH123" s="55">
        <v>0</v>
      </c>
      <c r="AI123" s="50">
        <v>0</v>
      </c>
      <c r="AJ123" s="50">
        <v>0</v>
      </c>
      <c r="AK123" s="64"/>
      <c r="AL123" s="55">
        <v>0</v>
      </c>
      <c r="AM123" s="55">
        <v>0</v>
      </c>
      <c r="AN123" s="65">
        <f>AL123-AM123</f>
        <v>0</v>
      </c>
      <c r="AO123" s="58" t="s">
        <v>67</v>
      </c>
      <c r="AP123" s="64"/>
      <c r="AQ123" s="64"/>
      <c r="AR123" s="64"/>
      <c r="AS123" s="64"/>
      <c r="AT123" s="64"/>
      <c r="AU123" s="64"/>
      <c r="AV123" s="64"/>
      <c r="AW123" s="220"/>
    </row>
    <row r="124" spans="1:49" s="221" customFormat="1" ht="185.25" x14ac:dyDescent="0.25">
      <c r="A124" s="64">
        <f t="shared" si="5"/>
        <v>120</v>
      </c>
      <c r="B124" s="47" t="s">
        <v>519</v>
      </c>
      <c r="C124" s="123" t="s">
        <v>49</v>
      </c>
      <c r="D124" s="63" t="s">
        <v>50</v>
      </c>
      <c r="E124" s="47" t="s">
        <v>89</v>
      </c>
      <c r="F124" s="63" t="s">
        <v>52</v>
      </c>
      <c r="G124" s="63" t="s">
        <v>53</v>
      </c>
      <c r="H124" s="124" t="s">
        <v>54</v>
      </c>
      <c r="I124" s="63" t="s">
        <v>55</v>
      </c>
      <c r="J124" s="63" t="s">
        <v>56</v>
      </c>
      <c r="K124" s="126">
        <v>801116</v>
      </c>
      <c r="L124" s="126" t="s">
        <v>57</v>
      </c>
      <c r="M124" s="47" t="s">
        <v>58</v>
      </c>
      <c r="N124" s="47" t="s">
        <v>59</v>
      </c>
      <c r="O124" s="125" t="s">
        <v>60</v>
      </c>
      <c r="P124" s="48" t="s">
        <v>520</v>
      </c>
      <c r="Q124" s="64"/>
      <c r="R124" s="64"/>
      <c r="S124" s="64"/>
      <c r="T124" s="64"/>
      <c r="U124" s="47"/>
      <c r="V124" s="64"/>
      <c r="W124" s="64"/>
      <c r="X124" s="64"/>
      <c r="Y124" s="64"/>
      <c r="Z124" s="64"/>
      <c r="AA124" s="64"/>
      <c r="AB124" s="50">
        <v>0</v>
      </c>
      <c r="AC124" s="64"/>
      <c r="AD124" s="52"/>
      <c r="AE124" s="64"/>
      <c r="AF124" s="50">
        <v>0</v>
      </c>
      <c r="AG124" s="50">
        <v>0</v>
      </c>
      <c r="AH124" s="55">
        <v>0</v>
      </c>
      <c r="AI124" s="50">
        <v>0</v>
      </c>
      <c r="AJ124" s="50">
        <v>0</v>
      </c>
      <c r="AK124" s="64"/>
      <c r="AL124" s="55">
        <v>0</v>
      </c>
      <c r="AM124" s="55">
        <v>0</v>
      </c>
      <c r="AN124" s="65">
        <f>AL124-AM124</f>
        <v>0</v>
      </c>
      <c r="AO124" s="64"/>
      <c r="AP124" s="64"/>
      <c r="AQ124" s="64"/>
      <c r="AR124" s="64"/>
      <c r="AS124" s="64"/>
      <c r="AT124" s="64"/>
      <c r="AU124" s="64"/>
      <c r="AV124" s="64"/>
      <c r="AW124" s="220"/>
    </row>
    <row r="125" spans="1:49" s="221" customFormat="1" ht="185.25" x14ac:dyDescent="0.25">
      <c r="A125" s="64">
        <f t="shared" si="5"/>
        <v>121</v>
      </c>
      <c r="B125" s="47" t="s">
        <v>521</v>
      </c>
      <c r="C125" s="123" t="s">
        <v>49</v>
      </c>
      <c r="D125" s="63" t="s">
        <v>50</v>
      </c>
      <c r="E125" s="47" t="s">
        <v>51</v>
      </c>
      <c r="F125" s="63" t="s">
        <v>52</v>
      </c>
      <c r="G125" s="63" t="s">
        <v>53</v>
      </c>
      <c r="H125" s="124" t="s">
        <v>54</v>
      </c>
      <c r="I125" s="63" t="s">
        <v>55</v>
      </c>
      <c r="J125" s="63" t="s">
        <v>56</v>
      </c>
      <c r="K125" s="126">
        <v>801117</v>
      </c>
      <c r="L125" s="126" t="s">
        <v>57</v>
      </c>
      <c r="M125" s="47" t="s">
        <v>449</v>
      </c>
      <c r="N125" s="47" t="s">
        <v>450</v>
      </c>
      <c r="O125" s="125" t="s">
        <v>451</v>
      </c>
      <c r="P125" s="47" t="s">
        <v>522</v>
      </c>
      <c r="Q125" s="64"/>
      <c r="R125" s="64"/>
      <c r="S125" s="64"/>
      <c r="T125" s="64"/>
      <c r="U125" s="47"/>
      <c r="V125" s="64"/>
      <c r="W125" s="64"/>
      <c r="X125" s="64"/>
      <c r="Y125" s="64"/>
      <c r="Z125" s="64"/>
      <c r="AA125" s="64"/>
      <c r="AB125" s="50">
        <v>0</v>
      </c>
      <c r="AC125" s="64"/>
      <c r="AD125" s="52"/>
      <c r="AE125" s="64"/>
      <c r="AF125" s="50">
        <v>0</v>
      </c>
      <c r="AG125" s="50">
        <v>0</v>
      </c>
      <c r="AH125" s="55">
        <v>0</v>
      </c>
      <c r="AI125" s="50">
        <v>0</v>
      </c>
      <c r="AJ125" s="50">
        <v>0</v>
      </c>
      <c r="AK125" s="64"/>
      <c r="AL125" s="55">
        <v>0</v>
      </c>
      <c r="AM125" s="55">
        <v>0</v>
      </c>
      <c r="AN125" s="65">
        <f>AL125-AM125</f>
        <v>0</v>
      </c>
      <c r="AO125" s="64"/>
      <c r="AP125" s="64"/>
      <c r="AQ125" s="64"/>
      <c r="AR125" s="64"/>
      <c r="AS125" s="64"/>
      <c r="AT125" s="64"/>
      <c r="AU125" s="64"/>
      <c r="AV125" s="64"/>
      <c r="AW125" s="220"/>
    </row>
    <row r="126" spans="1:49" s="221" customFormat="1" ht="409.5" x14ac:dyDescent="0.25">
      <c r="A126" s="64">
        <f t="shared" si="5"/>
        <v>122</v>
      </c>
      <c r="B126" s="47" t="s">
        <v>523</v>
      </c>
      <c r="C126" s="123" t="s">
        <v>49</v>
      </c>
      <c r="D126" s="63" t="s">
        <v>50</v>
      </c>
      <c r="E126" s="47" t="s">
        <v>51</v>
      </c>
      <c r="F126" s="63" t="s">
        <v>52</v>
      </c>
      <c r="G126" s="63" t="s">
        <v>53</v>
      </c>
      <c r="H126" s="124" t="s">
        <v>54</v>
      </c>
      <c r="I126" s="63" t="s">
        <v>55</v>
      </c>
      <c r="J126" s="63" t="s">
        <v>56</v>
      </c>
      <c r="K126" s="126">
        <v>801116</v>
      </c>
      <c r="L126" s="126" t="s">
        <v>57</v>
      </c>
      <c r="M126" s="47" t="s">
        <v>58</v>
      </c>
      <c r="N126" s="47" t="s">
        <v>59</v>
      </c>
      <c r="O126" s="125" t="s">
        <v>60</v>
      </c>
      <c r="P126" s="47" t="s">
        <v>524</v>
      </c>
      <c r="Q126" s="70">
        <v>10000000</v>
      </c>
      <c r="R126" s="64">
        <v>1</v>
      </c>
      <c r="S126" s="70">
        <v>30000000</v>
      </c>
      <c r="T126" s="47" t="s">
        <v>62</v>
      </c>
      <c r="U126" s="47"/>
      <c r="V126" s="60">
        <v>43202</v>
      </c>
      <c r="W126" s="64">
        <v>3</v>
      </c>
      <c r="X126" s="64" t="s">
        <v>525</v>
      </c>
      <c r="Y126" s="60">
        <v>43202</v>
      </c>
      <c r="Z126" s="70">
        <v>30000000</v>
      </c>
      <c r="AA126" s="64" t="s">
        <v>412</v>
      </c>
      <c r="AB126" s="50">
        <v>788</v>
      </c>
      <c r="AC126" s="60">
        <v>43203</v>
      </c>
      <c r="AD126" s="70">
        <v>30000000</v>
      </c>
      <c r="AE126" s="64"/>
      <c r="AF126" s="50">
        <v>2144</v>
      </c>
      <c r="AG126" s="50">
        <v>43276</v>
      </c>
      <c r="AH126" s="55">
        <v>30000000</v>
      </c>
      <c r="AI126" s="50" t="s">
        <v>469</v>
      </c>
      <c r="AJ126" s="50">
        <v>427</v>
      </c>
      <c r="AK126" s="64"/>
      <c r="AL126" s="55">
        <v>30000000</v>
      </c>
      <c r="AM126" s="69">
        <v>10000000</v>
      </c>
      <c r="AN126" s="69">
        <v>20000000</v>
      </c>
      <c r="AO126" s="64"/>
      <c r="AP126" s="64"/>
      <c r="AQ126" s="64"/>
      <c r="AR126" s="64"/>
      <c r="AS126" s="64"/>
      <c r="AT126" s="64"/>
      <c r="AU126" s="64"/>
      <c r="AV126" s="64"/>
      <c r="AW126" s="220"/>
    </row>
    <row r="127" spans="1:49" s="221" customFormat="1" ht="270.75" x14ac:dyDescent="0.25">
      <c r="A127" s="64">
        <f t="shared" si="5"/>
        <v>123</v>
      </c>
      <c r="B127" s="47" t="s">
        <v>526</v>
      </c>
      <c r="C127" s="123" t="s">
        <v>49</v>
      </c>
      <c r="D127" s="63" t="s">
        <v>50</v>
      </c>
      <c r="E127" s="47" t="s">
        <v>51</v>
      </c>
      <c r="F127" s="63" t="s">
        <v>52</v>
      </c>
      <c r="G127" s="63" t="s">
        <v>53</v>
      </c>
      <c r="H127" s="124" t="s">
        <v>54</v>
      </c>
      <c r="I127" s="63" t="s">
        <v>55</v>
      </c>
      <c r="J127" s="63" t="s">
        <v>56</v>
      </c>
      <c r="K127" s="126">
        <v>801117</v>
      </c>
      <c r="L127" s="126" t="s">
        <v>57</v>
      </c>
      <c r="M127" s="47" t="s">
        <v>449</v>
      </c>
      <c r="N127" s="47" t="s">
        <v>450</v>
      </c>
      <c r="O127" s="125" t="s">
        <v>451</v>
      </c>
      <c r="P127" s="47" t="s">
        <v>527</v>
      </c>
      <c r="Q127" s="70">
        <v>4532000</v>
      </c>
      <c r="R127" s="64">
        <v>1</v>
      </c>
      <c r="S127" s="70">
        <v>6798000</v>
      </c>
      <c r="T127" s="47" t="s">
        <v>62</v>
      </c>
      <c r="U127" s="47"/>
      <c r="V127" s="60">
        <v>43202</v>
      </c>
      <c r="W127" s="64">
        <v>1.5</v>
      </c>
      <c r="X127" s="64" t="s">
        <v>528</v>
      </c>
      <c r="Y127" s="60">
        <v>43202</v>
      </c>
      <c r="Z127" s="70">
        <v>6798000</v>
      </c>
      <c r="AA127" s="64" t="s">
        <v>412</v>
      </c>
      <c r="AB127" s="50">
        <v>789</v>
      </c>
      <c r="AC127" s="60">
        <v>43203</v>
      </c>
      <c r="AD127" s="70">
        <v>6798000</v>
      </c>
      <c r="AE127" s="64"/>
      <c r="AF127" s="50">
        <v>1842</v>
      </c>
      <c r="AG127" s="50">
        <v>43214</v>
      </c>
      <c r="AH127" s="55">
        <v>6798000</v>
      </c>
      <c r="AI127" s="50" t="s">
        <v>104</v>
      </c>
      <c r="AJ127" s="50">
        <v>347</v>
      </c>
      <c r="AK127" s="64"/>
      <c r="AL127" s="55">
        <v>6798000</v>
      </c>
      <c r="AM127" s="69">
        <v>5438400</v>
      </c>
      <c r="AN127" s="69">
        <v>1359600</v>
      </c>
      <c r="AO127" s="64"/>
      <c r="AP127" s="64"/>
      <c r="AQ127" s="64"/>
      <c r="AR127" s="64"/>
      <c r="AS127" s="64"/>
      <c r="AT127" s="64"/>
      <c r="AU127" s="64"/>
      <c r="AV127" s="64"/>
      <c r="AW127" s="220"/>
    </row>
    <row r="128" spans="1:49" s="221" customFormat="1" ht="370.5" x14ac:dyDescent="0.25">
      <c r="A128" s="64">
        <f t="shared" si="5"/>
        <v>124</v>
      </c>
      <c r="B128" s="47" t="s">
        <v>529</v>
      </c>
      <c r="C128" s="123" t="s">
        <v>49</v>
      </c>
      <c r="D128" s="63" t="s">
        <v>50</v>
      </c>
      <c r="E128" s="63" t="s">
        <v>390</v>
      </c>
      <c r="F128" s="63" t="s">
        <v>425</v>
      </c>
      <c r="G128" s="63" t="s">
        <v>485</v>
      </c>
      <c r="H128" s="63" t="s">
        <v>486</v>
      </c>
      <c r="I128" s="63" t="s">
        <v>55</v>
      </c>
      <c r="J128" s="63" t="s">
        <v>56</v>
      </c>
      <c r="K128" s="63">
        <v>84131501</v>
      </c>
      <c r="L128" s="126" t="s">
        <v>57</v>
      </c>
      <c r="M128" s="47" t="s">
        <v>58</v>
      </c>
      <c r="N128" s="47" t="s">
        <v>59</v>
      </c>
      <c r="O128" s="125" t="s">
        <v>60</v>
      </c>
      <c r="P128" s="47" t="s">
        <v>530</v>
      </c>
      <c r="Q128" s="70">
        <v>4000000</v>
      </c>
      <c r="R128" s="64">
        <v>1</v>
      </c>
      <c r="S128" s="70">
        <v>4000000</v>
      </c>
      <c r="T128" s="64" t="s">
        <v>505</v>
      </c>
      <c r="U128" s="47"/>
      <c r="V128" s="60">
        <v>43203</v>
      </c>
      <c r="W128" s="64">
        <v>2</v>
      </c>
      <c r="X128" s="64" t="s">
        <v>531</v>
      </c>
      <c r="Y128" s="60">
        <v>43203</v>
      </c>
      <c r="Z128" s="70">
        <v>4000000</v>
      </c>
      <c r="AA128" s="64" t="s">
        <v>488</v>
      </c>
      <c r="AB128" s="50">
        <v>790</v>
      </c>
      <c r="AC128" s="60">
        <v>43203</v>
      </c>
      <c r="AD128" s="70">
        <v>4000000</v>
      </c>
      <c r="AE128" s="64"/>
      <c r="AF128" s="48" t="s">
        <v>532</v>
      </c>
      <c r="AG128" s="48" t="s">
        <v>533</v>
      </c>
      <c r="AH128" s="55">
        <v>2200000</v>
      </c>
      <c r="AI128" s="48" t="s">
        <v>534</v>
      </c>
      <c r="AJ128" s="48" t="s">
        <v>535</v>
      </c>
      <c r="AK128" s="64"/>
      <c r="AL128" s="55">
        <v>2200000</v>
      </c>
      <c r="AM128" s="55">
        <v>2200000</v>
      </c>
      <c r="AN128" s="65">
        <f>AL128-AM128</f>
        <v>0</v>
      </c>
      <c r="AO128" s="64"/>
      <c r="AP128" s="64"/>
      <c r="AQ128" s="64"/>
      <c r="AR128" s="64"/>
      <c r="AS128" s="64"/>
      <c r="AT128" s="64"/>
      <c r="AU128" s="64"/>
      <c r="AV128" s="64"/>
      <c r="AW128" s="220"/>
    </row>
    <row r="129" spans="1:49" s="221" customFormat="1" ht="199.5" x14ac:dyDescent="0.25">
      <c r="A129" s="64">
        <f t="shared" si="5"/>
        <v>125</v>
      </c>
      <c r="B129" s="47" t="s">
        <v>536</v>
      </c>
      <c r="C129" s="123" t="s">
        <v>49</v>
      </c>
      <c r="D129" s="63" t="s">
        <v>50</v>
      </c>
      <c r="E129" s="63" t="s">
        <v>390</v>
      </c>
      <c r="F129" s="63" t="s">
        <v>425</v>
      </c>
      <c r="G129" s="63" t="s">
        <v>485</v>
      </c>
      <c r="H129" s="63" t="s">
        <v>486</v>
      </c>
      <c r="I129" s="63" t="s">
        <v>55</v>
      </c>
      <c r="J129" s="63" t="s">
        <v>56</v>
      </c>
      <c r="K129" s="63">
        <v>84131501</v>
      </c>
      <c r="L129" s="126" t="s">
        <v>57</v>
      </c>
      <c r="M129" s="47" t="s">
        <v>58</v>
      </c>
      <c r="N129" s="47" t="s">
        <v>59</v>
      </c>
      <c r="O129" s="125" t="s">
        <v>60</v>
      </c>
      <c r="P129" s="47" t="s">
        <v>537</v>
      </c>
      <c r="Q129" s="70">
        <v>119276</v>
      </c>
      <c r="R129" s="50">
        <v>1</v>
      </c>
      <c r="S129" s="73">
        <v>119276</v>
      </c>
      <c r="T129" s="64" t="s">
        <v>505</v>
      </c>
      <c r="U129" s="47"/>
      <c r="V129" s="60">
        <v>43210</v>
      </c>
      <c r="W129" s="64">
        <v>1</v>
      </c>
      <c r="X129" s="64" t="s">
        <v>538</v>
      </c>
      <c r="Y129" s="60">
        <v>43209</v>
      </c>
      <c r="Z129" s="73">
        <v>119276</v>
      </c>
      <c r="AA129" s="64" t="s">
        <v>488</v>
      </c>
      <c r="AB129" s="50">
        <v>800</v>
      </c>
      <c r="AC129" s="60">
        <v>43210</v>
      </c>
      <c r="AD129" s="70">
        <v>119276</v>
      </c>
      <c r="AE129" s="64"/>
      <c r="AF129" s="50">
        <v>1863</v>
      </c>
      <c r="AG129" s="50">
        <v>43227</v>
      </c>
      <c r="AH129" s="55">
        <v>119276</v>
      </c>
      <c r="AI129" s="50" t="s">
        <v>507</v>
      </c>
      <c r="AJ129" s="50">
        <v>1932</v>
      </c>
      <c r="AK129" s="64"/>
      <c r="AL129" s="55">
        <v>119276</v>
      </c>
      <c r="AM129" s="69">
        <v>119276</v>
      </c>
      <c r="AN129" s="69">
        <v>0</v>
      </c>
      <c r="AO129" s="64"/>
      <c r="AP129" s="64"/>
      <c r="AQ129" s="64"/>
      <c r="AR129" s="64"/>
      <c r="AS129" s="64"/>
      <c r="AT129" s="64"/>
      <c r="AU129" s="64"/>
      <c r="AV129" s="64"/>
      <c r="AW129" s="220"/>
    </row>
    <row r="130" spans="1:49" s="221" customFormat="1" ht="285" x14ac:dyDescent="0.25">
      <c r="A130" s="64">
        <f t="shared" si="5"/>
        <v>126</v>
      </c>
      <c r="B130" s="47" t="s">
        <v>539</v>
      </c>
      <c r="C130" s="123" t="s">
        <v>49</v>
      </c>
      <c r="D130" s="63" t="s">
        <v>50</v>
      </c>
      <c r="E130" s="63" t="s">
        <v>390</v>
      </c>
      <c r="F130" s="63" t="s">
        <v>425</v>
      </c>
      <c r="G130" s="63" t="s">
        <v>485</v>
      </c>
      <c r="H130" s="63" t="s">
        <v>486</v>
      </c>
      <c r="I130" s="63" t="s">
        <v>55</v>
      </c>
      <c r="J130" s="63" t="s">
        <v>56</v>
      </c>
      <c r="K130" s="63">
        <v>84131502</v>
      </c>
      <c r="L130" s="126" t="s">
        <v>57</v>
      </c>
      <c r="M130" s="47" t="s">
        <v>449</v>
      </c>
      <c r="N130" s="47" t="s">
        <v>450</v>
      </c>
      <c r="O130" s="125" t="s">
        <v>451</v>
      </c>
      <c r="P130" s="47" t="s">
        <v>540</v>
      </c>
      <c r="Q130" s="70">
        <v>1047000</v>
      </c>
      <c r="R130" s="50">
        <v>1</v>
      </c>
      <c r="S130" s="70">
        <v>1047000</v>
      </c>
      <c r="T130" s="70" t="s">
        <v>541</v>
      </c>
      <c r="U130" s="70"/>
      <c r="V130" s="60">
        <v>43210</v>
      </c>
      <c r="W130" s="64">
        <v>1</v>
      </c>
      <c r="X130" s="64" t="s">
        <v>542</v>
      </c>
      <c r="Y130" s="60">
        <v>43209</v>
      </c>
      <c r="Z130" s="70">
        <v>1047000</v>
      </c>
      <c r="AA130" s="64" t="s">
        <v>109</v>
      </c>
      <c r="AB130" s="50">
        <v>799</v>
      </c>
      <c r="AC130" s="60">
        <v>43210</v>
      </c>
      <c r="AD130" s="70">
        <v>1047000</v>
      </c>
      <c r="AE130" s="64"/>
      <c r="AF130" s="50">
        <v>1840</v>
      </c>
      <c r="AG130" s="50">
        <v>43214</v>
      </c>
      <c r="AH130" s="55">
        <v>1047000</v>
      </c>
      <c r="AI130" s="50" t="s">
        <v>507</v>
      </c>
      <c r="AJ130" s="50">
        <v>1935</v>
      </c>
      <c r="AK130" s="47"/>
      <c r="AL130" s="55">
        <v>1047000</v>
      </c>
      <c r="AM130" s="69">
        <v>1047000</v>
      </c>
      <c r="AN130" s="69">
        <v>0</v>
      </c>
      <c r="AO130" s="64"/>
      <c r="AP130" s="64"/>
      <c r="AQ130" s="64"/>
      <c r="AR130" s="64"/>
      <c r="AS130" s="64"/>
      <c r="AT130" s="64"/>
      <c r="AU130" s="64"/>
      <c r="AV130" s="64"/>
      <c r="AW130" s="220"/>
    </row>
    <row r="131" spans="1:49" s="221" customFormat="1" ht="213.75" x14ac:dyDescent="0.25">
      <c r="A131" s="64">
        <f t="shared" si="5"/>
        <v>127</v>
      </c>
      <c r="B131" s="47" t="s">
        <v>543</v>
      </c>
      <c r="C131" s="123" t="s">
        <v>49</v>
      </c>
      <c r="D131" s="63" t="s">
        <v>50</v>
      </c>
      <c r="E131" s="47" t="s">
        <v>89</v>
      </c>
      <c r="F131" s="63" t="s">
        <v>52</v>
      </c>
      <c r="G131" s="63" t="s">
        <v>53</v>
      </c>
      <c r="H131" s="124" t="s">
        <v>54</v>
      </c>
      <c r="I131" s="63" t="s">
        <v>55</v>
      </c>
      <c r="J131" s="63" t="s">
        <v>56</v>
      </c>
      <c r="K131" s="126">
        <v>801116</v>
      </c>
      <c r="L131" s="126" t="s">
        <v>57</v>
      </c>
      <c r="M131" s="47" t="s">
        <v>58</v>
      </c>
      <c r="N131" s="47" t="s">
        <v>59</v>
      </c>
      <c r="O131" s="125" t="s">
        <v>60</v>
      </c>
      <c r="P131" s="47" t="s">
        <v>544</v>
      </c>
      <c r="Q131" s="64"/>
      <c r="R131" s="64"/>
      <c r="S131" s="73"/>
      <c r="T131" s="64"/>
      <c r="U131" s="47"/>
      <c r="V131" s="64"/>
      <c r="W131" s="64"/>
      <c r="X131" s="64"/>
      <c r="Y131" s="64"/>
      <c r="Z131" s="64"/>
      <c r="AA131" s="64"/>
      <c r="AB131" s="50">
        <v>0</v>
      </c>
      <c r="AC131" s="64"/>
      <c r="AD131" s="52"/>
      <c r="AE131" s="64"/>
      <c r="AF131" s="50">
        <v>0</v>
      </c>
      <c r="AG131" s="50">
        <v>0</v>
      </c>
      <c r="AH131" s="55">
        <v>0</v>
      </c>
      <c r="AI131" s="50">
        <v>0</v>
      </c>
      <c r="AJ131" s="50">
        <v>0</v>
      </c>
      <c r="AK131" s="64"/>
      <c r="AL131" s="55">
        <v>0</v>
      </c>
      <c r="AM131" s="55">
        <v>0</v>
      </c>
      <c r="AN131" s="65">
        <f t="shared" ref="AN131:AN139" si="7">AL131-AM131</f>
        <v>0</v>
      </c>
      <c r="AO131" s="64"/>
      <c r="AP131" s="64"/>
      <c r="AQ131" s="64"/>
      <c r="AR131" s="64"/>
      <c r="AS131" s="64"/>
      <c r="AT131" s="64"/>
      <c r="AU131" s="64"/>
      <c r="AV131" s="64"/>
      <c r="AW131" s="220"/>
    </row>
    <row r="132" spans="1:49" s="221" customFormat="1" ht="128.25" x14ac:dyDescent="0.25">
      <c r="A132" s="64">
        <f t="shared" si="5"/>
        <v>128</v>
      </c>
      <c r="B132" s="47" t="s">
        <v>545</v>
      </c>
      <c r="C132" s="123" t="s">
        <v>49</v>
      </c>
      <c r="D132" s="63" t="s">
        <v>50</v>
      </c>
      <c r="E132" s="47" t="s">
        <v>89</v>
      </c>
      <c r="F132" s="63" t="s">
        <v>52</v>
      </c>
      <c r="G132" s="63" t="s">
        <v>53</v>
      </c>
      <c r="H132" s="124" t="s">
        <v>54</v>
      </c>
      <c r="I132" s="63" t="s">
        <v>55</v>
      </c>
      <c r="J132" s="63" t="s">
        <v>56</v>
      </c>
      <c r="K132" s="126">
        <v>801117</v>
      </c>
      <c r="L132" s="126" t="s">
        <v>57</v>
      </c>
      <c r="M132" s="47" t="s">
        <v>449</v>
      </c>
      <c r="N132" s="47" t="s">
        <v>450</v>
      </c>
      <c r="O132" s="125" t="s">
        <v>451</v>
      </c>
      <c r="P132" s="47" t="s">
        <v>546</v>
      </c>
      <c r="Q132" s="64"/>
      <c r="R132" s="64"/>
      <c r="S132" s="64"/>
      <c r="T132" s="64"/>
      <c r="U132" s="47"/>
      <c r="V132" s="64"/>
      <c r="W132" s="64"/>
      <c r="X132" s="64"/>
      <c r="Y132" s="64"/>
      <c r="Z132" s="64"/>
      <c r="AA132" s="64"/>
      <c r="AB132" s="50">
        <v>0</v>
      </c>
      <c r="AC132" s="64"/>
      <c r="AD132" s="52"/>
      <c r="AE132" s="64"/>
      <c r="AF132" s="50">
        <v>0</v>
      </c>
      <c r="AG132" s="50">
        <v>0</v>
      </c>
      <c r="AH132" s="55">
        <v>0</v>
      </c>
      <c r="AI132" s="50">
        <v>0</v>
      </c>
      <c r="AJ132" s="50">
        <v>0</v>
      </c>
      <c r="AK132" s="64"/>
      <c r="AL132" s="55">
        <v>0</v>
      </c>
      <c r="AM132" s="55">
        <v>0</v>
      </c>
      <c r="AN132" s="65">
        <f t="shared" si="7"/>
        <v>0</v>
      </c>
      <c r="AO132" s="64"/>
      <c r="AP132" s="64"/>
      <c r="AQ132" s="64"/>
      <c r="AR132" s="64"/>
      <c r="AS132" s="64"/>
      <c r="AT132" s="64"/>
      <c r="AU132" s="64"/>
      <c r="AV132" s="64"/>
      <c r="AW132" s="220"/>
    </row>
    <row r="133" spans="1:49" s="221" customFormat="1" ht="128.25" x14ac:dyDescent="0.25">
      <c r="A133" s="64">
        <f t="shared" si="5"/>
        <v>129</v>
      </c>
      <c r="B133" s="47" t="s">
        <v>547</v>
      </c>
      <c r="C133" s="123" t="s">
        <v>49</v>
      </c>
      <c r="D133" s="63" t="s">
        <v>50</v>
      </c>
      <c r="E133" s="47" t="s">
        <v>51</v>
      </c>
      <c r="F133" s="63" t="s">
        <v>52</v>
      </c>
      <c r="G133" s="63" t="s">
        <v>53</v>
      </c>
      <c r="H133" s="124" t="s">
        <v>54</v>
      </c>
      <c r="I133" s="63" t="s">
        <v>55</v>
      </c>
      <c r="J133" s="63" t="s">
        <v>56</v>
      </c>
      <c r="K133" s="126">
        <v>801117</v>
      </c>
      <c r="L133" s="126" t="s">
        <v>57</v>
      </c>
      <c r="M133" s="47" t="s">
        <v>449</v>
      </c>
      <c r="N133" s="47" t="s">
        <v>450</v>
      </c>
      <c r="O133" s="125" t="s">
        <v>451</v>
      </c>
      <c r="P133" s="47" t="s">
        <v>546</v>
      </c>
      <c r="Q133" s="64"/>
      <c r="R133" s="64"/>
      <c r="S133" s="64"/>
      <c r="T133" s="64"/>
      <c r="U133" s="47"/>
      <c r="V133" s="64"/>
      <c r="W133" s="64"/>
      <c r="X133" s="64"/>
      <c r="Y133" s="64"/>
      <c r="Z133" s="64"/>
      <c r="AA133" s="64"/>
      <c r="AB133" s="50">
        <v>0</v>
      </c>
      <c r="AC133" s="64"/>
      <c r="AD133" s="52"/>
      <c r="AE133" s="64"/>
      <c r="AF133" s="50">
        <v>0</v>
      </c>
      <c r="AG133" s="50">
        <v>0</v>
      </c>
      <c r="AH133" s="55">
        <v>0</v>
      </c>
      <c r="AI133" s="50">
        <v>0</v>
      </c>
      <c r="AJ133" s="50">
        <v>0</v>
      </c>
      <c r="AK133" s="64"/>
      <c r="AL133" s="55">
        <v>0</v>
      </c>
      <c r="AM133" s="55">
        <v>0</v>
      </c>
      <c r="AN133" s="65">
        <f t="shared" si="7"/>
        <v>0</v>
      </c>
      <c r="AO133" s="64"/>
      <c r="AP133" s="64"/>
      <c r="AQ133" s="64"/>
      <c r="AR133" s="64"/>
      <c r="AS133" s="64"/>
      <c r="AT133" s="64"/>
      <c r="AU133" s="64"/>
      <c r="AV133" s="64"/>
      <c r="AW133" s="220"/>
    </row>
    <row r="134" spans="1:49" s="221" customFormat="1" ht="384.75" x14ac:dyDescent="0.25">
      <c r="A134" s="64">
        <f t="shared" si="5"/>
        <v>130</v>
      </c>
      <c r="B134" s="47" t="s">
        <v>548</v>
      </c>
      <c r="C134" s="123" t="s">
        <v>49</v>
      </c>
      <c r="D134" s="63" t="s">
        <v>50</v>
      </c>
      <c r="E134" s="47" t="s">
        <v>51</v>
      </c>
      <c r="F134" s="63" t="s">
        <v>52</v>
      </c>
      <c r="G134" s="63" t="s">
        <v>53</v>
      </c>
      <c r="H134" s="124" t="s">
        <v>54</v>
      </c>
      <c r="I134" s="63" t="s">
        <v>55</v>
      </c>
      <c r="J134" s="63" t="s">
        <v>56</v>
      </c>
      <c r="K134" s="126">
        <v>801116</v>
      </c>
      <c r="L134" s="126" t="s">
        <v>57</v>
      </c>
      <c r="M134" s="47" t="s">
        <v>58</v>
      </c>
      <c r="N134" s="47" t="s">
        <v>59</v>
      </c>
      <c r="O134" s="125" t="s">
        <v>60</v>
      </c>
      <c r="P134" s="47" t="s">
        <v>549</v>
      </c>
      <c r="Q134" s="64"/>
      <c r="R134" s="64"/>
      <c r="S134" s="64"/>
      <c r="T134" s="64"/>
      <c r="U134" s="47"/>
      <c r="V134" s="64"/>
      <c r="W134" s="64"/>
      <c r="X134" s="64"/>
      <c r="Y134" s="64"/>
      <c r="Z134" s="64"/>
      <c r="AA134" s="64"/>
      <c r="AB134" s="50">
        <v>0</v>
      </c>
      <c r="AC134" s="64"/>
      <c r="AD134" s="52">
        <v>0</v>
      </c>
      <c r="AE134" s="64"/>
      <c r="AF134" s="50">
        <v>0</v>
      </c>
      <c r="AG134" s="50">
        <v>0</v>
      </c>
      <c r="AH134" s="55">
        <v>0</v>
      </c>
      <c r="AI134" s="50">
        <v>0</v>
      </c>
      <c r="AJ134" s="50">
        <v>0</v>
      </c>
      <c r="AK134" s="64"/>
      <c r="AL134" s="55">
        <v>0</v>
      </c>
      <c r="AM134" s="55">
        <v>0</v>
      </c>
      <c r="AN134" s="65">
        <f t="shared" si="7"/>
        <v>0</v>
      </c>
      <c r="AO134" s="64"/>
      <c r="AP134" s="64"/>
      <c r="AQ134" s="64"/>
      <c r="AR134" s="64"/>
      <c r="AS134" s="64"/>
      <c r="AT134" s="64"/>
      <c r="AU134" s="64"/>
      <c r="AV134" s="64"/>
      <c r="AW134" s="220"/>
    </row>
    <row r="135" spans="1:49" s="221" customFormat="1" ht="327.75" x14ac:dyDescent="0.25">
      <c r="A135" s="64">
        <f t="shared" si="5"/>
        <v>131</v>
      </c>
      <c r="B135" s="47" t="s">
        <v>550</v>
      </c>
      <c r="C135" s="47" t="s">
        <v>49</v>
      </c>
      <c r="D135" s="47" t="s">
        <v>50</v>
      </c>
      <c r="E135" s="47" t="s">
        <v>89</v>
      </c>
      <c r="F135" s="47" t="s">
        <v>436</v>
      </c>
      <c r="G135" s="47" t="s">
        <v>437</v>
      </c>
      <c r="H135" s="47" t="s">
        <v>438</v>
      </c>
      <c r="I135" s="47" t="s">
        <v>55</v>
      </c>
      <c r="J135" s="47" t="s">
        <v>56</v>
      </c>
      <c r="K135" s="47" t="s">
        <v>439</v>
      </c>
      <c r="L135" s="47"/>
      <c r="M135" s="47"/>
      <c r="N135" s="47"/>
      <c r="O135" s="125" t="s">
        <v>60</v>
      </c>
      <c r="P135" s="47" t="s">
        <v>551</v>
      </c>
      <c r="Q135" s="64"/>
      <c r="R135" s="64">
        <v>1</v>
      </c>
      <c r="S135" s="70">
        <v>2004300</v>
      </c>
      <c r="T135" s="64" t="s">
        <v>505</v>
      </c>
      <c r="U135" s="64" t="s">
        <v>505</v>
      </c>
      <c r="V135" s="223">
        <v>43221</v>
      </c>
      <c r="W135" s="64"/>
      <c r="X135" s="64" t="s">
        <v>552</v>
      </c>
      <c r="Y135" s="60">
        <v>43229</v>
      </c>
      <c r="Z135" s="70">
        <v>2004300</v>
      </c>
      <c r="AA135" s="64"/>
      <c r="AB135" s="50">
        <v>820</v>
      </c>
      <c r="AC135" s="60">
        <v>43229</v>
      </c>
      <c r="AD135" s="52">
        <v>2004300</v>
      </c>
      <c r="AE135" s="64"/>
      <c r="AF135" s="48" t="s">
        <v>553</v>
      </c>
      <c r="AG135" s="48" t="s">
        <v>554</v>
      </c>
      <c r="AH135" s="55">
        <v>2004300</v>
      </c>
      <c r="AI135" s="48" t="s">
        <v>479</v>
      </c>
      <c r="AJ135" s="50">
        <v>2059</v>
      </c>
      <c r="AK135" s="64"/>
      <c r="AL135" s="55">
        <v>2004300</v>
      </c>
      <c r="AM135" s="55">
        <v>2004300</v>
      </c>
      <c r="AN135" s="70">
        <f t="shared" si="7"/>
        <v>0</v>
      </c>
      <c r="AO135" s="64"/>
      <c r="AP135" s="64"/>
      <c r="AQ135" s="64"/>
      <c r="AR135" s="64"/>
      <c r="AS135" s="64"/>
      <c r="AT135" s="64"/>
      <c r="AU135" s="64"/>
      <c r="AV135" s="64"/>
      <c r="AW135" s="220"/>
    </row>
    <row r="136" spans="1:49" s="221" customFormat="1" ht="370.5" x14ac:dyDescent="0.25">
      <c r="A136" s="64">
        <f t="shared" si="5"/>
        <v>132</v>
      </c>
      <c r="B136" s="47" t="s">
        <v>555</v>
      </c>
      <c r="C136" s="123" t="s">
        <v>49</v>
      </c>
      <c r="D136" s="63" t="s">
        <v>50</v>
      </c>
      <c r="E136" s="63" t="s">
        <v>390</v>
      </c>
      <c r="F136" s="63" t="s">
        <v>425</v>
      </c>
      <c r="G136" s="63" t="s">
        <v>485</v>
      </c>
      <c r="H136" s="63" t="s">
        <v>486</v>
      </c>
      <c r="I136" s="63" t="s">
        <v>55</v>
      </c>
      <c r="J136" s="63" t="s">
        <v>56</v>
      </c>
      <c r="K136" s="63">
        <v>84131501</v>
      </c>
      <c r="L136" s="126" t="s">
        <v>57</v>
      </c>
      <c r="M136" s="47" t="s">
        <v>58</v>
      </c>
      <c r="N136" s="47" t="s">
        <v>59</v>
      </c>
      <c r="O136" s="125" t="s">
        <v>60</v>
      </c>
      <c r="P136" s="47" t="s">
        <v>556</v>
      </c>
      <c r="Q136" s="64"/>
      <c r="R136" s="64">
        <v>1</v>
      </c>
      <c r="S136" s="70">
        <v>95119</v>
      </c>
      <c r="T136" s="64" t="s">
        <v>505</v>
      </c>
      <c r="U136" s="64" t="s">
        <v>505</v>
      </c>
      <c r="V136" s="223">
        <v>43221</v>
      </c>
      <c r="W136" s="64"/>
      <c r="X136" s="64" t="s">
        <v>557</v>
      </c>
      <c r="Y136" s="60">
        <v>43229</v>
      </c>
      <c r="Z136" s="70">
        <v>95119</v>
      </c>
      <c r="AA136" s="64"/>
      <c r="AB136" s="50">
        <v>821</v>
      </c>
      <c r="AC136" s="60">
        <v>43230</v>
      </c>
      <c r="AD136" s="52">
        <v>95119</v>
      </c>
      <c r="AE136" s="64"/>
      <c r="AF136" s="50">
        <v>2006</v>
      </c>
      <c r="AG136" s="50">
        <v>43258</v>
      </c>
      <c r="AH136" s="55">
        <v>95119</v>
      </c>
      <c r="AI136" s="50" t="s">
        <v>507</v>
      </c>
      <c r="AJ136" s="50">
        <v>2186</v>
      </c>
      <c r="AK136" s="64"/>
      <c r="AL136" s="55">
        <v>95119</v>
      </c>
      <c r="AM136" s="69">
        <v>95119</v>
      </c>
      <c r="AN136" s="69">
        <v>0</v>
      </c>
      <c r="AO136" s="64"/>
      <c r="AP136" s="64"/>
      <c r="AQ136" s="64"/>
      <c r="AR136" s="64"/>
      <c r="AS136" s="64"/>
      <c r="AT136" s="64"/>
      <c r="AU136" s="64"/>
      <c r="AV136" s="64"/>
      <c r="AW136" s="220"/>
    </row>
    <row r="137" spans="1:49" s="221" customFormat="1" ht="409.5" x14ac:dyDescent="0.25">
      <c r="A137" s="64">
        <f t="shared" si="5"/>
        <v>133</v>
      </c>
      <c r="B137" s="47" t="s">
        <v>558</v>
      </c>
      <c r="C137" s="123" t="s">
        <v>49</v>
      </c>
      <c r="D137" s="63" t="s">
        <v>50</v>
      </c>
      <c r="E137" s="63" t="s">
        <v>390</v>
      </c>
      <c r="F137" s="63" t="s">
        <v>425</v>
      </c>
      <c r="G137" s="63" t="s">
        <v>485</v>
      </c>
      <c r="H137" s="63" t="s">
        <v>486</v>
      </c>
      <c r="I137" s="63" t="s">
        <v>55</v>
      </c>
      <c r="J137" s="63" t="s">
        <v>56</v>
      </c>
      <c r="K137" s="63">
        <v>84131501</v>
      </c>
      <c r="L137" s="126" t="s">
        <v>57</v>
      </c>
      <c r="M137" s="47" t="s">
        <v>58</v>
      </c>
      <c r="N137" s="47" t="s">
        <v>59</v>
      </c>
      <c r="O137" s="125" t="s">
        <v>60</v>
      </c>
      <c r="P137" s="47" t="s">
        <v>559</v>
      </c>
      <c r="Q137" s="64"/>
      <c r="R137" s="64">
        <v>1</v>
      </c>
      <c r="S137" s="73">
        <v>9098844</v>
      </c>
      <c r="T137" s="64" t="s">
        <v>492</v>
      </c>
      <c r="U137" s="47" t="s">
        <v>492</v>
      </c>
      <c r="V137" s="223">
        <v>43221</v>
      </c>
      <c r="W137" s="64"/>
      <c r="X137" s="64" t="s">
        <v>560</v>
      </c>
      <c r="Y137" s="60">
        <v>43231</v>
      </c>
      <c r="Z137" s="70">
        <v>9098844</v>
      </c>
      <c r="AA137" s="64"/>
      <c r="AB137" s="50">
        <v>823</v>
      </c>
      <c r="AC137" s="60">
        <v>43231</v>
      </c>
      <c r="AD137" s="52">
        <v>9098844</v>
      </c>
      <c r="AE137" s="64"/>
      <c r="AF137" s="50">
        <v>1910</v>
      </c>
      <c r="AG137" s="50">
        <v>43235</v>
      </c>
      <c r="AH137" s="55">
        <v>9098844</v>
      </c>
      <c r="AI137" s="50" t="s">
        <v>495</v>
      </c>
      <c r="AJ137" s="50">
        <v>434</v>
      </c>
      <c r="AK137" s="64"/>
      <c r="AL137" s="55">
        <v>9098844</v>
      </c>
      <c r="AM137" s="69">
        <v>9098844</v>
      </c>
      <c r="AN137" s="69">
        <v>0</v>
      </c>
      <c r="AO137" s="64"/>
      <c r="AP137" s="64"/>
      <c r="AQ137" s="64"/>
      <c r="AR137" s="64"/>
      <c r="AS137" s="64"/>
      <c r="AT137" s="64"/>
      <c r="AU137" s="64"/>
      <c r="AV137" s="64"/>
      <c r="AW137" s="220"/>
    </row>
    <row r="138" spans="1:49" s="221" customFormat="1" ht="409.5" x14ac:dyDescent="0.25">
      <c r="A138" s="64">
        <f t="shared" si="5"/>
        <v>134</v>
      </c>
      <c r="B138" s="47" t="s">
        <v>561</v>
      </c>
      <c r="C138" s="47" t="s">
        <v>49</v>
      </c>
      <c r="D138" s="47" t="s">
        <v>50</v>
      </c>
      <c r="E138" s="47" t="s">
        <v>89</v>
      </c>
      <c r="F138" s="47" t="s">
        <v>436</v>
      </c>
      <c r="G138" s="47" t="s">
        <v>437</v>
      </c>
      <c r="H138" s="47" t="s">
        <v>438</v>
      </c>
      <c r="I138" s="47" t="s">
        <v>55</v>
      </c>
      <c r="J138" s="47" t="s">
        <v>56</v>
      </c>
      <c r="K138" s="47" t="s">
        <v>439</v>
      </c>
      <c r="L138" s="47"/>
      <c r="M138" s="47"/>
      <c r="N138" s="47"/>
      <c r="O138" s="125" t="s">
        <v>60</v>
      </c>
      <c r="P138" s="47" t="s">
        <v>551</v>
      </c>
      <c r="Q138" s="64"/>
      <c r="R138" s="64">
        <v>1</v>
      </c>
      <c r="S138" s="73">
        <v>10000000</v>
      </c>
      <c r="T138" s="64" t="s">
        <v>505</v>
      </c>
      <c r="U138" s="47" t="s">
        <v>505</v>
      </c>
      <c r="V138" s="223">
        <v>43221</v>
      </c>
      <c r="W138" s="64"/>
      <c r="X138" s="64" t="s">
        <v>562</v>
      </c>
      <c r="Y138" s="60">
        <v>43241</v>
      </c>
      <c r="Z138" s="70">
        <v>10000000</v>
      </c>
      <c r="AA138" s="64"/>
      <c r="AB138" s="50">
        <v>847</v>
      </c>
      <c r="AC138" s="60">
        <v>43242</v>
      </c>
      <c r="AD138" s="52">
        <v>10000000</v>
      </c>
      <c r="AE138" s="64"/>
      <c r="AF138" s="48" t="s">
        <v>563</v>
      </c>
      <c r="AG138" s="48" t="s">
        <v>564</v>
      </c>
      <c r="AH138" s="55">
        <v>3475000</v>
      </c>
      <c r="AI138" s="48" t="s">
        <v>565</v>
      </c>
      <c r="AJ138" s="48" t="s">
        <v>566</v>
      </c>
      <c r="AK138" s="64"/>
      <c r="AL138" s="55">
        <v>3475000</v>
      </c>
      <c r="AM138" s="55">
        <v>3475000</v>
      </c>
      <c r="AN138" s="70">
        <f t="shared" si="7"/>
        <v>0</v>
      </c>
      <c r="AO138" s="64"/>
      <c r="AP138" s="64"/>
      <c r="AQ138" s="64"/>
      <c r="AR138" s="64"/>
      <c r="AS138" s="64"/>
      <c r="AT138" s="64"/>
      <c r="AU138" s="64"/>
      <c r="AV138" s="64"/>
      <c r="AW138" s="220"/>
    </row>
    <row r="139" spans="1:49" s="221" customFormat="1" ht="199.5" x14ac:dyDescent="0.25">
      <c r="A139" s="64">
        <f t="shared" si="5"/>
        <v>135</v>
      </c>
      <c r="B139" s="47" t="s">
        <v>567</v>
      </c>
      <c r="C139" s="123" t="s">
        <v>49</v>
      </c>
      <c r="D139" s="63" t="s">
        <v>50</v>
      </c>
      <c r="E139" s="47" t="s">
        <v>89</v>
      </c>
      <c r="F139" s="63" t="s">
        <v>52</v>
      </c>
      <c r="G139" s="63" t="s">
        <v>53</v>
      </c>
      <c r="H139" s="124" t="s">
        <v>54</v>
      </c>
      <c r="I139" s="63" t="s">
        <v>55</v>
      </c>
      <c r="J139" s="63" t="s">
        <v>56</v>
      </c>
      <c r="K139" s="126">
        <v>801116</v>
      </c>
      <c r="L139" s="126" t="s">
        <v>57</v>
      </c>
      <c r="M139" s="47" t="s">
        <v>58</v>
      </c>
      <c r="N139" s="47" t="s">
        <v>59</v>
      </c>
      <c r="O139" s="125" t="s">
        <v>60</v>
      </c>
      <c r="P139" s="47" t="s">
        <v>568</v>
      </c>
      <c r="Q139" s="64"/>
      <c r="R139" s="64"/>
      <c r="S139" s="73"/>
      <c r="T139" s="64"/>
      <c r="U139" s="47"/>
      <c r="V139" s="64"/>
      <c r="W139" s="64"/>
      <c r="X139" s="64"/>
      <c r="Y139" s="64"/>
      <c r="Z139" s="64"/>
      <c r="AA139" s="64"/>
      <c r="AB139" s="50">
        <v>0</v>
      </c>
      <c r="AC139" s="64"/>
      <c r="AD139" s="52"/>
      <c r="AE139" s="64"/>
      <c r="AF139" s="50">
        <v>0</v>
      </c>
      <c r="AG139" s="50">
        <v>0</v>
      </c>
      <c r="AH139" s="55">
        <v>0</v>
      </c>
      <c r="AI139" s="50">
        <v>0</v>
      </c>
      <c r="AJ139" s="50">
        <v>0</v>
      </c>
      <c r="AK139" s="64"/>
      <c r="AL139" s="55">
        <v>0</v>
      </c>
      <c r="AM139" s="55">
        <v>0</v>
      </c>
      <c r="AN139" s="70">
        <f t="shared" si="7"/>
        <v>0</v>
      </c>
      <c r="AO139" s="64"/>
      <c r="AP139" s="64"/>
      <c r="AQ139" s="64"/>
      <c r="AR139" s="64"/>
      <c r="AS139" s="64"/>
      <c r="AT139" s="64"/>
      <c r="AU139" s="64"/>
      <c r="AV139" s="64"/>
      <c r="AW139" s="220"/>
    </row>
    <row r="140" spans="1:49" s="221" customFormat="1" ht="327.75" x14ac:dyDescent="0.25">
      <c r="A140" s="64">
        <f t="shared" si="5"/>
        <v>136</v>
      </c>
      <c r="B140" s="47" t="s">
        <v>569</v>
      </c>
      <c r="C140" s="47" t="s">
        <v>49</v>
      </c>
      <c r="D140" s="47" t="s">
        <v>50</v>
      </c>
      <c r="E140" s="47" t="s">
        <v>89</v>
      </c>
      <c r="F140" s="47" t="s">
        <v>436</v>
      </c>
      <c r="G140" s="47" t="s">
        <v>437</v>
      </c>
      <c r="H140" s="47" t="s">
        <v>438</v>
      </c>
      <c r="I140" s="47" t="s">
        <v>55</v>
      </c>
      <c r="J140" s="47" t="s">
        <v>56</v>
      </c>
      <c r="K140" s="47" t="s">
        <v>439</v>
      </c>
      <c r="L140" s="47"/>
      <c r="M140" s="47"/>
      <c r="N140" s="47"/>
      <c r="O140" s="125" t="s">
        <v>60</v>
      </c>
      <c r="P140" s="47" t="s">
        <v>570</v>
      </c>
      <c r="Q140" s="64"/>
      <c r="R140" s="64"/>
      <c r="S140" s="64"/>
      <c r="T140" s="64"/>
      <c r="U140" s="47"/>
      <c r="V140" s="64"/>
      <c r="W140" s="64"/>
      <c r="X140" s="64"/>
      <c r="Y140" s="64"/>
      <c r="Z140" s="64"/>
      <c r="AA140" s="64"/>
      <c r="AB140" s="50">
        <v>0</v>
      </c>
      <c r="AC140" s="60">
        <v>0</v>
      </c>
      <c r="AD140" s="50">
        <v>0</v>
      </c>
      <c r="AE140" s="64"/>
      <c r="AF140" s="50">
        <v>0</v>
      </c>
      <c r="AG140" s="50">
        <v>0</v>
      </c>
      <c r="AH140" s="55">
        <v>0</v>
      </c>
      <c r="AI140" s="50">
        <v>0</v>
      </c>
      <c r="AJ140" s="50">
        <v>0</v>
      </c>
      <c r="AK140" s="64"/>
      <c r="AL140" s="55">
        <v>0</v>
      </c>
      <c r="AM140" s="55">
        <v>0</v>
      </c>
      <c r="AN140" s="70">
        <f>AL140-AM140</f>
        <v>0</v>
      </c>
      <c r="AO140" s="64"/>
      <c r="AP140" s="64"/>
      <c r="AQ140" s="64"/>
      <c r="AR140" s="64"/>
      <c r="AS140" s="64"/>
      <c r="AT140" s="64"/>
      <c r="AU140" s="64"/>
      <c r="AV140" s="64"/>
      <c r="AW140" s="220"/>
    </row>
    <row r="141" spans="1:49" s="221" customFormat="1" ht="370.5" x14ac:dyDescent="0.25">
      <c r="A141" s="64">
        <f t="shared" si="5"/>
        <v>137</v>
      </c>
      <c r="B141" s="47" t="s">
        <v>571</v>
      </c>
      <c r="C141" s="123" t="s">
        <v>49</v>
      </c>
      <c r="D141" s="63" t="s">
        <v>50</v>
      </c>
      <c r="E141" s="63" t="s">
        <v>390</v>
      </c>
      <c r="F141" s="63" t="s">
        <v>425</v>
      </c>
      <c r="G141" s="63" t="s">
        <v>485</v>
      </c>
      <c r="H141" s="63" t="s">
        <v>486</v>
      </c>
      <c r="I141" s="63" t="s">
        <v>55</v>
      </c>
      <c r="J141" s="63" t="s">
        <v>56</v>
      </c>
      <c r="K141" s="63">
        <v>84131501</v>
      </c>
      <c r="L141" s="126" t="s">
        <v>57</v>
      </c>
      <c r="M141" s="47" t="s">
        <v>58</v>
      </c>
      <c r="N141" s="47" t="s">
        <v>59</v>
      </c>
      <c r="O141" s="125" t="s">
        <v>60</v>
      </c>
      <c r="P141" s="47" t="s">
        <v>530</v>
      </c>
      <c r="Q141" s="64"/>
      <c r="R141" s="64"/>
      <c r="S141" s="64"/>
      <c r="T141" s="64"/>
      <c r="U141" s="47"/>
      <c r="V141" s="64"/>
      <c r="W141" s="64"/>
      <c r="X141" s="64"/>
      <c r="Y141" s="64"/>
      <c r="Z141" s="64"/>
      <c r="AA141" s="64"/>
      <c r="AB141" s="50">
        <v>0</v>
      </c>
      <c r="AC141" s="60">
        <v>0</v>
      </c>
      <c r="AD141" s="50">
        <v>0</v>
      </c>
      <c r="AE141" s="64"/>
      <c r="AF141" s="50">
        <v>0</v>
      </c>
      <c r="AG141" s="50">
        <v>0</v>
      </c>
      <c r="AH141" s="55">
        <v>0</v>
      </c>
      <c r="AI141" s="50">
        <v>0</v>
      </c>
      <c r="AJ141" s="50">
        <v>0</v>
      </c>
      <c r="AK141" s="64"/>
      <c r="AL141" s="55">
        <v>0</v>
      </c>
      <c r="AM141" s="55">
        <v>0</v>
      </c>
      <c r="AN141" s="70">
        <f>AL141-AM141</f>
        <v>0</v>
      </c>
      <c r="AO141" s="64"/>
      <c r="AP141" s="64"/>
      <c r="AQ141" s="64"/>
      <c r="AR141" s="64"/>
      <c r="AS141" s="64"/>
      <c r="AT141" s="64"/>
      <c r="AU141" s="64"/>
      <c r="AV141" s="64"/>
      <c r="AW141" s="220"/>
    </row>
    <row r="142" spans="1:49" s="221" customFormat="1" ht="299.25" x14ac:dyDescent="0.25">
      <c r="A142" s="64">
        <f t="shared" si="5"/>
        <v>138</v>
      </c>
      <c r="B142" s="47" t="s">
        <v>572</v>
      </c>
      <c r="C142" s="123" t="s">
        <v>49</v>
      </c>
      <c r="D142" s="63" t="s">
        <v>50</v>
      </c>
      <c r="E142" s="47" t="s">
        <v>51</v>
      </c>
      <c r="F142" s="63" t="s">
        <v>52</v>
      </c>
      <c r="G142" s="63" t="s">
        <v>53</v>
      </c>
      <c r="H142" s="124" t="s">
        <v>54</v>
      </c>
      <c r="I142" s="63" t="s">
        <v>55</v>
      </c>
      <c r="J142" s="63" t="s">
        <v>56</v>
      </c>
      <c r="K142" s="126">
        <v>801116</v>
      </c>
      <c r="L142" s="126" t="s">
        <v>57</v>
      </c>
      <c r="M142" s="47" t="s">
        <v>58</v>
      </c>
      <c r="N142" s="47" t="s">
        <v>59</v>
      </c>
      <c r="O142" s="125" t="s">
        <v>60</v>
      </c>
      <c r="P142" s="47" t="s">
        <v>509</v>
      </c>
      <c r="Q142" s="64"/>
      <c r="R142" s="64"/>
      <c r="S142" s="64"/>
      <c r="T142" s="64"/>
      <c r="U142" s="47"/>
      <c r="V142" s="64"/>
      <c r="W142" s="64"/>
      <c r="X142" s="64"/>
      <c r="Y142" s="64"/>
      <c r="Z142" s="64"/>
      <c r="AA142" s="64"/>
      <c r="AB142" s="50">
        <v>0</v>
      </c>
      <c r="AC142" s="64"/>
      <c r="AD142" s="52">
        <v>0</v>
      </c>
      <c r="AE142" s="64"/>
      <c r="AF142" s="50">
        <v>0</v>
      </c>
      <c r="AG142" s="50">
        <v>0</v>
      </c>
      <c r="AH142" s="55">
        <v>0</v>
      </c>
      <c r="AI142" s="50">
        <v>0</v>
      </c>
      <c r="AJ142" s="50">
        <v>0</v>
      </c>
      <c r="AK142" s="64"/>
      <c r="AL142" s="55">
        <v>0</v>
      </c>
      <c r="AM142" s="55">
        <v>0</v>
      </c>
      <c r="AN142" s="65">
        <f t="shared" ref="AN142:AN144" si="8">AL142-AM142</f>
        <v>0</v>
      </c>
      <c r="AO142" s="64"/>
      <c r="AP142" s="64"/>
      <c r="AQ142" s="64"/>
      <c r="AR142" s="64"/>
      <c r="AS142" s="64"/>
      <c r="AT142" s="64"/>
      <c r="AU142" s="64"/>
      <c r="AV142" s="64"/>
      <c r="AW142" s="220"/>
    </row>
    <row r="143" spans="1:49" s="221" customFormat="1" ht="171" x14ac:dyDescent="0.25">
      <c r="A143" s="64">
        <f t="shared" si="5"/>
        <v>139</v>
      </c>
      <c r="B143" s="47" t="s">
        <v>573</v>
      </c>
      <c r="C143" s="123" t="s">
        <v>49</v>
      </c>
      <c r="D143" s="63" t="s">
        <v>50</v>
      </c>
      <c r="E143" s="47" t="s">
        <v>89</v>
      </c>
      <c r="F143" s="63" t="s">
        <v>52</v>
      </c>
      <c r="G143" s="63" t="s">
        <v>53</v>
      </c>
      <c r="H143" s="124" t="s">
        <v>54</v>
      </c>
      <c r="I143" s="63" t="s">
        <v>55</v>
      </c>
      <c r="J143" s="63" t="s">
        <v>56</v>
      </c>
      <c r="K143" s="126">
        <v>801116</v>
      </c>
      <c r="L143" s="126" t="s">
        <v>57</v>
      </c>
      <c r="M143" s="47" t="s">
        <v>58</v>
      </c>
      <c r="N143" s="47" t="s">
        <v>59</v>
      </c>
      <c r="O143" s="125" t="s">
        <v>60</v>
      </c>
      <c r="P143" s="48" t="s">
        <v>574</v>
      </c>
      <c r="Q143" s="64"/>
      <c r="R143" s="64"/>
      <c r="S143" s="64"/>
      <c r="T143" s="64"/>
      <c r="U143" s="47"/>
      <c r="V143" s="64"/>
      <c r="W143" s="64"/>
      <c r="X143" s="64"/>
      <c r="Y143" s="64"/>
      <c r="Z143" s="64"/>
      <c r="AA143" s="64"/>
      <c r="AB143" s="50">
        <v>0</v>
      </c>
      <c r="AC143" s="64"/>
      <c r="AD143" s="52"/>
      <c r="AE143" s="64"/>
      <c r="AF143" s="50">
        <v>0</v>
      </c>
      <c r="AG143" s="50">
        <v>0</v>
      </c>
      <c r="AH143" s="55">
        <v>0</v>
      </c>
      <c r="AI143" s="50">
        <v>0</v>
      </c>
      <c r="AJ143" s="50">
        <v>0</v>
      </c>
      <c r="AK143" s="64"/>
      <c r="AL143" s="55">
        <v>0</v>
      </c>
      <c r="AM143" s="55">
        <v>0</v>
      </c>
      <c r="AN143" s="65">
        <f t="shared" si="8"/>
        <v>0</v>
      </c>
      <c r="AO143" s="64"/>
      <c r="AP143" s="64"/>
      <c r="AQ143" s="64"/>
      <c r="AR143" s="64"/>
      <c r="AS143" s="64"/>
      <c r="AT143" s="64"/>
      <c r="AU143" s="64"/>
      <c r="AV143" s="64"/>
      <c r="AW143" s="220"/>
    </row>
    <row r="144" spans="1:49" s="221" customFormat="1" ht="171" x14ac:dyDescent="0.25">
      <c r="A144" s="64">
        <f t="shared" si="5"/>
        <v>140</v>
      </c>
      <c r="B144" s="47" t="s">
        <v>575</v>
      </c>
      <c r="C144" s="123" t="s">
        <v>49</v>
      </c>
      <c r="D144" s="63" t="s">
        <v>50</v>
      </c>
      <c r="E144" s="47" t="s">
        <v>51</v>
      </c>
      <c r="F144" s="63" t="s">
        <v>52</v>
      </c>
      <c r="G144" s="63" t="s">
        <v>53</v>
      </c>
      <c r="H144" s="124" t="s">
        <v>54</v>
      </c>
      <c r="I144" s="63" t="s">
        <v>55</v>
      </c>
      <c r="J144" s="63" t="s">
        <v>56</v>
      </c>
      <c r="K144" s="126">
        <v>801117</v>
      </c>
      <c r="L144" s="126" t="s">
        <v>57</v>
      </c>
      <c r="M144" s="47" t="s">
        <v>449</v>
      </c>
      <c r="N144" s="47" t="s">
        <v>450</v>
      </c>
      <c r="O144" s="125" t="s">
        <v>451</v>
      </c>
      <c r="P144" s="47" t="s">
        <v>574</v>
      </c>
      <c r="Q144" s="64"/>
      <c r="R144" s="64"/>
      <c r="S144" s="64"/>
      <c r="T144" s="64"/>
      <c r="U144" s="47"/>
      <c r="V144" s="64"/>
      <c r="W144" s="64"/>
      <c r="X144" s="64"/>
      <c r="Y144" s="64"/>
      <c r="Z144" s="64"/>
      <c r="AA144" s="64"/>
      <c r="AB144" s="50">
        <v>0</v>
      </c>
      <c r="AC144" s="64"/>
      <c r="AD144" s="52"/>
      <c r="AE144" s="64"/>
      <c r="AF144" s="50">
        <v>0</v>
      </c>
      <c r="AG144" s="50">
        <v>0</v>
      </c>
      <c r="AH144" s="55">
        <v>0</v>
      </c>
      <c r="AI144" s="50">
        <v>0</v>
      </c>
      <c r="AJ144" s="50">
        <v>0</v>
      </c>
      <c r="AK144" s="64"/>
      <c r="AL144" s="55">
        <v>0</v>
      </c>
      <c r="AM144" s="55">
        <v>0</v>
      </c>
      <c r="AN144" s="65">
        <f t="shared" si="8"/>
        <v>0</v>
      </c>
      <c r="AO144" s="64"/>
      <c r="AP144" s="64"/>
      <c r="AQ144" s="64"/>
      <c r="AR144" s="64"/>
      <c r="AS144" s="64"/>
      <c r="AT144" s="64"/>
      <c r="AU144" s="64"/>
      <c r="AV144" s="64"/>
      <c r="AW144" s="220"/>
    </row>
    <row r="145" spans="1:49" s="221" customFormat="1" ht="409.5" x14ac:dyDescent="0.25">
      <c r="A145" s="64">
        <f t="shared" si="5"/>
        <v>141</v>
      </c>
      <c r="B145" s="47" t="s">
        <v>576</v>
      </c>
      <c r="C145" s="123" t="s">
        <v>49</v>
      </c>
      <c r="D145" s="63" t="s">
        <v>50</v>
      </c>
      <c r="E145" s="47" t="s">
        <v>51</v>
      </c>
      <c r="F145" s="63" t="s">
        <v>577</v>
      </c>
      <c r="G145" s="63" t="s">
        <v>578</v>
      </c>
      <c r="H145" s="63" t="s">
        <v>579</v>
      </c>
      <c r="I145" s="63" t="s">
        <v>55</v>
      </c>
      <c r="J145" s="63" t="s">
        <v>56</v>
      </c>
      <c r="K145" s="63">
        <v>84131501</v>
      </c>
      <c r="L145" s="126" t="s">
        <v>57</v>
      </c>
      <c r="M145" s="47" t="s">
        <v>58</v>
      </c>
      <c r="N145" s="47" t="s">
        <v>59</v>
      </c>
      <c r="O145" s="125" t="s">
        <v>60</v>
      </c>
      <c r="P145" s="47" t="s">
        <v>580</v>
      </c>
      <c r="Q145" s="64"/>
      <c r="R145" s="64">
        <v>1</v>
      </c>
      <c r="S145" s="70">
        <v>1859356</v>
      </c>
      <c r="T145" s="64" t="s">
        <v>505</v>
      </c>
      <c r="U145" s="47" t="s">
        <v>505</v>
      </c>
      <c r="V145" s="60">
        <v>43250</v>
      </c>
      <c r="W145" s="64"/>
      <c r="X145" s="64" t="s">
        <v>581</v>
      </c>
      <c r="Y145" s="60">
        <v>43264</v>
      </c>
      <c r="Z145" s="70">
        <v>1859356</v>
      </c>
      <c r="AA145" s="64" t="s">
        <v>484</v>
      </c>
      <c r="AB145" s="50">
        <v>889</v>
      </c>
      <c r="AC145" s="60">
        <v>43264</v>
      </c>
      <c r="AD145" s="52">
        <v>1859356</v>
      </c>
      <c r="AE145" s="64"/>
      <c r="AF145" s="50">
        <v>2015</v>
      </c>
      <c r="AG145" s="50">
        <v>43266</v>
      </c>
      <c r="AH145" s="55">
        <v>1859356</v>
      </c>
      <c r="AI145" s="50" t="s">
        <v>582</v>
      </c>
      <c r="AJ145" s="50">
        <v>2258</v>
      </c>
      <c r="AK145" s="64"/>
      <c r="AL145" s="55">
        <v>1859356</v>
      </c>
      <c r="AM145" s="69">
        <v>1859356</v>
      </c>
      <c r="AN145" s="69">
        <v>0</v>
      </c>
      <c r="AO145" s="64"/>
      <c r="AP145" s="64"/>
      <c r="AQ145" s="64"/>
      <c r="AR145" s="64"/>
      <c r="AS145" s="64"/>
      <c r="AT145" s="64"/>
      <c r="AU145" s="64"/>
      <c r="AV145" s="64"/>
      <c r="AW145" s="220"/>
    </row>
    <row r="146" spans="1:49" s="221" customFormat="1" ht="256.5" x14ac:dyDescent="0.25">
      <c r="A146" s="64">
        <f t="shared" si="5"/>
        <v>142</v>
      </c>
      <c r="B146" s="47" t="s">
        <v>583</v>
      </c>
      <c r="C146" s="123" t="s">
        <v>49</v>
      </c>
      <c r="D146" s="63" t="s">
        <v>50</v>
      </c>
      <c r="E146" s="63" t="s">
        <v>390</v>
      </c>
      <c r="F146" s="63" t="s">
        <v>425</v>
      </c>
      <c r="G146" s="63" t="s">
        <v>485</v>
      </c>
      <c r="H146" s="63" t="s">
        <v>486</v>
      </c>
      <c r="I146" s="63" t="s">
        <v>55</v>
      </c>
      <c r="J146" s="63" t="s">
        <v>56</v>
      </c>
      <c r="K146" s="63">
        <v>84131501</v>
      </c>
      <c r="L146" s="126" t="s">
        <v>57</v>
      </c>
      <c r="M146" s="47" t="s">
        <v>58</v>
      </c>
      <c r="N146" s="47" t="s">
        <v>59</v>
      </c>
      <c r="O146" s="125" t="s">
        <v>60</v>
      </c>
      <c r="P146" s="47" t="s">
        <v>584</v>
      </c>
      <c r="Q146" s="64"/>
      <c r="R146" s="64">
        <v>1</v>
      </c>
      <c r="S146" s="69">
        <v>600000</v>
      </c>
      <c r="T146" s="64" t="s">
        <v>505</v>
      </c>
      <c r="U146" s="64" t="s">
        <v>505</v>
      </c>
      <c r="V146" s="60">
        <v>43273</v>
      </c>
      <c r="W146" s="64"/>
      <c r="X146" s="64" t="s">
        <v>585</v>
      </c>
      <c r="Y146" s="60">
        <v>43273</v>
      </c>
      <c r="Z146" s="70">
        <v>600000</v>
      </c>
      <c r="AA146" s="64" t="s">
        <v>488</v>
      </c>
      <c r="AB146" s="50" t="e">
        <v>#N/A</v>
      </c>
      <c r="AC146" s="60">
        <v>43276</v>
      </c>
      <c r="AD146" s="52">
        <v>600000</v>
      </c>
      <c r="AE146" s="64"/>
      <c r="AF146" s="50">
        <v>0</v>
      </c>
      <c r="AG146" s="50">
        <v>0</v>
      </c>
      <c r="AH146" s="55">
        <v>0</v>
      </c>
      <c r="AI146" s="50">
        <v>0</v>
      </c>
      <c r="AJ146" s="50">
        <v>0</v>
      </c>
      <c r="AK146" s="64"/>
      <c r="AL146" s="55">
        <v>0</v>
      </c>
      <c r="AM146" s="55">
        <v>0</v>
      </c>
      <c r="AN146" s="64"/>
      <c r="AO146" s="64"/>
      <c r="AP146" s="64"/>
      <c r="AQ146" s="64"/>
      <c r="AR146" s="64"/>
      <c r="AS146" s="64"/>
      <c r="AT146" s="64"/>
      <c r="AU146" s="64"/>
      <c r="AV146" s="64"/>
      <c r="AW146" s="220"/>
    </row>
    <row r="147" spans="1:49" s="221" customFormat="1" ht="342" x14ac:dyDescent="0.25">
      <c r="A147" s="64">
        <f t="shared" si="5"/>
        <v>143</v>
      </c>
      <c r="B147" s="47" t="s">
        <v>586</v>
      </c>
      <c r="C147" s="123" t="s">
        <v>49</v>
      </c>
      <c r="D147" s="63" t="s">
        <v>50</v>
      </c>
      <c r="E147" s="47" t="s">
        <v>51</v>
      </c>
      <c r="F147" s="63" t="s">
        <v>52</v>
      </c>
      <c r="G147" s="63" t="s">
        <v>53</v>
      </c>
      <c r="H147" s="124" t="s">
        <v>54</v>
      </c>
      <c r="I147" s="63" t="s">
        <v>55</v>
      </c>
      <c r="J147" s="63" t="s">
        <v>56</v>
      </c>
      <c r="K147" s="126">
        <v>801116</v>
      </c>
      <c r="L147" s="126" t="s">
        <v>57</v>
      </c>
      <c r="M147" s="47" t="s">
        <v>58</v>
      </c>
      <c r="N147" s="47" t="s">
        <v>59</v>
      </c>
      <c r="O147" s="125" t="s">
        <v>60</v>
      </c>
      <c r="P147" s="47" t="s">
        <v>587</v>
      </c>
      <c r="Q147" s="64"/>
      <c r="R147" s="64">
        <v>1</v>
      </c>
      <c r="S147" s="73">
        <f>19961400-1108967</f>
        <v>18852433</v>
      </c>
      <c r="T147" s="47" t="s">
        <v>445</v>
      </c>
      <c r="U147" s="47" t="s">
        <v>444</v>
      </c>
      <c r="V147" s="60">
        <v>43282</v>
      </c>
      <c r="W147" s="64">
        <v>6</v>
      </c>
      <c r="X147" s="64" t="s">
        <v>588</v>
      </c>
      <c r="Y147" s="60">
        <v>43277</v>
      </c>
      <c r="Z147" s="70">
        <v>19961400</v>
      </c>
      <c r="AA147" s="64" t="s">
        <v>412</v>
      </c>
      <c r="AB147" s="50">
        <v>926</v>
      </c>
      <c r="AC147" s="60">
        <v>43278</v>
      </c>
      <c r="AD147" s="52">
        <v>19961400</v>
      </c>
      <c r="AE147" s="224">
        <v>0</v>
      </c>
      <c r="AF147" s="50">
        <v>2461</v>
      </c>
      <c r="AG147" s="50">
        <v>43291</v>
      </c>
      <c r="AH147" s="55">
        <v>18852433</v>
      </c>
      <c r="AI147" s="50" t="s">
        <v>355</v>
      </c>
      <c r="AJ147" s="50">
        <v>442</v>
      </c>
      <c r="AK147" s="64"/>
      <c r="AL147" s="55">
        <v>18852433</v>
      </c>
      <c r="AM147" s="69">
        <v>5544833</v>
      </c>
      <c r="AN147" s="69">
        <v>13307600</v>
      </c>
      <c r="AO147" s="64"/>
      <c r="AP147" s="64"/>
      <c r="AQ147" s="58" t="s">
        <v>68</v>
      </c>
      <c r="AR147" s="60">
        <v>43339</v>
      </c>
      <c r="AS147" s="58" t="s">
        <v>69</v>
      </c>
      <c r="AT147" s="64"/>
      <c r="AU147" s="64"/>
      <c r="AV147" s="64"/>
      <c r="AW147" s="220"/>
    </row>
    <row r="148" spans="1:49" s="221" customFormat="1" ht="242.25" x14ac:dyDescent="0.25">
      <c r="A148" s="64">
        <f t="shared" si="5"/>
        <v>144</v>
      </c>
      <c r="B148" s="47" t="s">
        <v>589</v>
      </c>
      <c r="C148" s="123" t="s">
        <v>49</v>
      </c>
      <c r="D148" s="63" t="s">
        <v>50</v>
      </c>
      <c r="E148" s="47" t="s">
        <v>51</v>
      </c>
      <c r="F148" s="63" t="s">
        <v>52</v>
      </c>
      <c r="G148" s="63" t="s">
        <v>53</v>
      </c>
      <c r="H148" s="124" t="s">
        <v>54</v>
      </c>
      <c r="I148" s="63" t="s">
        <v>55</v>
      </c>
      <c r="J148" s="63" t="s">
        <v>56</v>
      </c>
      <c r="K148" s="126">
        <v>801116</v>
      </c>
      <c r="L148" s="126" t="s">
        <v>57</v>
      </c>
      <c r="M148" s="47" t="s">
        <v>58</v>
      </c>
      <c r="N148" s="47" t="s">
        <v>59</v>
      </c>
      <c r="O148" s="125" t="s">
        <v>60</v>
      </c>
      <c r="P148" s="47" t="s">
        <v>590</v>
      </c>
      <c r="Q148" s="64"/>
      <c r="R148" s="64">
        <v>1</v>
      </c>
      <c r="S148" s="70">
        <v>60000000</v>
      </c>
      <c r="T148" s="64" t="s">
        <v>445</v>
      </c>
      <c r="U148" s="47" t="s">
        <v>444</v>
      </c>
      <c r="V148" s="60">
        <v>43282</v>
      </c>
      <c r="W148" s="64">
        <v>6</v>
      </c>
      <c r="X148" s="64" t="s">
        <v>591</v>
      </c>
      <c r="Y148" s="60">
        <v>43277</v>
      </c>
      <c r="Z148" s="70">
        <v>60000000</v>
      </c>
      <c r="AA148" s="64" t="s">
        <v>412</v>
      </c>
      <c r="AB148" s="50">
        <v>925</v>
      </c>
      <c r="AC148" s="60">
        <v>43278</v>
      </c>
      <c r="AD148" s="52">
        <v>60000000</v>
      </c>
      <c r="AE148" s="64"/>
      <c r="AF148" s="50">
        <v>2487</v>
      </c>
      <c r="AG148" s="50">
        <v>43292</v>
      </c>
      <c r="AH148" s="55">
        <v>60000000</v>
      </c>
      <c r="AI148" s="50" t="s">
        <v>592</v>
      </c>
      <c r="AJ148" s="50">
        <v>443</v>
      </c>
      <c r="AK148" s="64"/>
      <c r="AL148" s="55">
        <v>60000000</v>
      </c>
      <c r="AM148" s="69">
        <v>16666667</v>
      </c>
      <c r="AN148" s="69">
        <v>43333333</v>
      </c>
      <c r="AO148" s="64"/>
      <c r="AP148" s="64"/>
      <c r="AQ148" s="64"/>
      <c r="AR148" s="64"/>
      <c r="AS148" s="64"/>
      <c r="AT148" s="64"/>
      <c r="AU148" s="64"/>
      <c r="AV148" s="64"/>
      <c r="AW148" s="220"/>
    </row>
    <row r="149" spans="1:49" s="221" customFormat="1" ht="171" x14ac:dyDescent="0.25">
      <c r="A149" s="64">
        <f t="shared" si="5"/>
        <v>145</v>
      </c>
      <c r="B149" s="47" t="s">
        <v>593</v>
      </c>
      <c r="C149" s="123" t="s">
        <v>49</v>
      </c>
      <c r="D149" s="63" t="s">
        <v>50</v>
      </c>
      <c r="E149" s="47" t="s">
        <v>89</v>
      </c>
      <c r="F149" s="63" t="s">
        <v>52</v>
      </c>
      <c r="G149" s="63" t="s">
        <v>53</v>
      </c>
      <c r="H149" s="124" t="s">
        <v>54</v>
      </c>
      <c r="I149" s="63" t="s">
        <v>55</v>
      </c>
      <c r="J149" s="63" t="s">
        <v>56</v>
      </c>
      <c r="K149" s="126">
        <v>801116</v>
      </c>
      <c r="L149" s="126" t="s">
        <v>57</v>
      </c>
      <c r="M149" s="47" t="s">
        <v>58</v>
      </c>
      <c r="N149" s="47" t="s">
        <v>59</v>
      </c>
      <c r="O149" s="125" t="s">
        <v>60</v>
      </c>
      <c r="P149" s="47" t="s">
        <v>594</v>
      </c>
      <c r="Q149" s="64"/>
      <c r="R149" s="64"/>
      <c r="S149" s="64"/>
      <c r="T149" s="64"/>
      <c r="U149" s="47"/>
      <c r="V149" s="64"/>
      <c r="W149" s="64"/>
      <c r="X149" s="64"/>
      <c r="Y149" s="64"/>
      <c r="Z149" s="64"/>
      <c r="AA149" s="64"/>
      <c r="AB149" s="50">
        <v>0</v>
      </c>
      <c r="AC149" s="64"/>
      <c r="AD149" s="52"/>
      <c r="AE149" s="64"/>
      <c r="AF149" s="50">
        <v>0</v>
      </c>
      <c r="AG149" s="50">
        <v>0</v>
      </c>
      <c r="AH149" s="55">
        <v>0</v>
      </c>
      <c r="AI149" s="50">
        <v>0</v>
      </c>
      <c r="AJ149" s="50">
        <v>0</v>
      </c>
      <c r="AK149" s="64"/>
      <c r="AL149" s="55">
        <v>0</v>
      </c>
      <c r="AM149" s="55">
        <v>0</v>
      </c>
      <c r="AN149" s="70">
        <f>AL149-AM149</f>
        <v>0</v>
      </c>
      <c r="AO149" s="64"/>
      <c r="AP149" s="64"/>
      <c r="AQ149" s="64"/>
      <c r="AR149" s="64"/>
      <c r="AS149" s="64"/>
      <c r="AT149" s="64"/>
      <c r="AU149" s="64"/>
      <c r="AV149" s="64"/>
      <c r="AW149" s="220"/>
    </row>
    <row r="150" spans="1:49" s="221" customFormat="1" ht="171" x14ac:dyDescent="0.25">
      <c r="A150" s="64">
        <f t="shared" si="5"/>
        <v>146</v>
      </c>
      <c r="B150" s="47" t="s">
        <v>595</v>
      </c>
      <c r="C150" s="123" t="s">
        <v>49</v>
      </c>
      <c r="D150" s="63" t="s">
        <v>50</v>
      </c>
      <c r="E150" s="47" t="s">
        <v>51</v>
      </c>
      <c r="F150" s="63" t="s">
        <v>52</v>
      </c>
      <c r="G150" s="63" t="s">
        <v>53</v>
      </c>
      <c r="H150" s="124" t="s">
        <v>54</v>
      </c>
      <c r="I150" s="63" t="s">
        <v>55</v>
      </c>
      <c r="J150" s="63" t="s">
        <v>56</v>
      </c>
      <c r="K150" s="126">
        <v>801117</v>
      </c>
      <c r="L150" s="126" t="s">
        <v>57</v>
      </c>
      <c r="M150" s="47" t="s">
        <v>449</v>
      </c>
      <c r="N150" s="47" t="s">
        <v>450</v>
      </c>
      <c r="O150" s="125" t="s">
        <v>451</v>
      </c>
      <c r="P150" s="47" t="s">
        <v>594</v>
      </c>
      <c r="Q150" s="64"/>
      <c r="R150" s="64"/>
      <c r="S150" s="64"/>
      <c r="T150" s="64"/>
      <c r="U150" s="47"/>
      <c r="V150" s="64"/>
      <c r="W150" s="64"/>
      <c r="X150" s="64"/>
      <c r="Y150" s="64"/>
      <c r="Z150" s="64"/>
      <c r="AA150" s="64"/>
      <c r="AB150" s="50">
        <v>0</v>
      </c>
      <c r="AC150" s="64"/>
      <c r="AD150" s="52"/>
      <c r="AE150" s="64"/>
      <c r="AF150" s="50">
        <v>0</v>
      </c>
      <c r="AG150" s="50">
        <v>0</v>
      </c>
      <c r="AH150" s="55">
        <v>0</v>
      </c>
      <c r="AI150" s="50">
        <v>0</v>
      </c>
      <c r="AJ150" s="50">
        <v>0</v>
      </c>
      <c r="AK150" s="64"/>
      <c r="AL150" s="55">
        <v>0</v>
      </c>
      <c r="AM150" s="55">
        <v>0</v>
      </c>
      <c r="AN150" s="70">
        <f>AL150-AM150</f>
        <v>0</v>
      </c>
      <c r="AO150" s="64"/>
      <c r="AP150" s="64"/>
      <c r="AQ150" s="64"/>
      <c r="AR150" s="64"/>
      <c r="AS150" s="64"/>
      <c r="AT150" s="64"/>
      <c r="AU150" s="64"/>
      <c r="AV150" s="64"/>
      <c r="AW150" s="220"/>
    </row>
    <row r="151" spans="1:49" s="221" customFormat="1" ht="213.75" x14ac:dyDescent="0.25">
      <c r="A151" s="64">
        <f t="shared" si="5"/>
        <v>147</v>
      </c>
      <c r="B151" s="47" t="s">
        <v>596</v>
      </c>
      <c r="C151" s="123" t="s">
        <v>49</v>
      </c>
      <c r="D151" s="63" t="s">
        <v>50</v>
      </c>
      <c r="E151" s="47" t="s">
        <v>89</v>
      </c>
      <c r="F151" s="63" t="s">
        <v>52</v>
      </c>
      <c r="G151" s="63" t="s">
        <v>53</v>
      </c>
      <c r="H151" s="124" t="s">
        <v>54</v>
      </c>
      <c r="I151" s="63" t="s">
        <v>55</v>
      </c>
      <c r="J151" s="63" t="s">
        <v>56</v>
      </c>
      <c r="K151" s="126">
        <v>801116</v>
      </c>
      <c r="L151" s="126" t="s">
        <v>57</v>
      </c>
      <c r="M151" s="47" t="s">
        <v>58</v>
      </c>
      <c r="N151" s="47" t="s">
        <v>59</v>
      </c>
      <c r="O151" s="125" t="s">
        <v>60</v>
      </c>
      <c r="P151" s="47" t="s">
        <v>597</v>
      </c>
      <c r="Q151" s="64"/>
      <c r="R151" s="64"/>
      <c r="S151" s="64"/>
      <c r="T151" s="64"/>
      <c r="U151" s="47"/>
      <c r="V151" s="64"/>
      <c r="W151" s="64"/>
      <c r="X151" s="64"/>
      <c r="Y151" s="64"/>
      <c r="Z151" s="64"/>
      <c r="AA151" s="64"/>
      <c r="AB151" s="50">
        <v>0</v>
      </c>
      <c r="AC151" s="64"/>
      <c r="AD151" s="52"/>
      <c r="AE151" s="64"/>
      <c r="AF151" s="50">
        <v>0</v>
      </c>
      <c r="AG151" s="50">
        <v>0</v>
      </c>
      <c r="AH151" s="55">
        <v>0</v>
      </c>
      <c r="AI151" s="50">
        <v>0</v>
      </c>
      <c r="AJ151" s="50">
        <v>0</v>
      </c>
      <c r="AK151" s="64"/>
      <c r="AL151" s="55">
        <v>0</v>
      </c>
      <c r="AM151" s="55">
        <v>0</v>
      </c>
      <c r="AN151" s="70">
        <f>AL151-AM151</f>
        <v>0</v>
      </c>
      <c r="AO151" s="64"/>
      <c r="AP151" s="64"/>
      <c r="AQ151" s="64"/>
      <c r="AR151" s="64"/>
      <c r="AS151" s="64"/>
      <c r="AT151" s="64"/>
      <c r="AU151" s="64"/>
      <c r="AV151" s="64"/>
      <c r="AW151" s="220"/>
    </row>
    <row r="152" spans="1:49" s="221" customFormat="1" ht="185.25" x14ac:dyDescent="0.25">
      <c r="A152" s="64">
        <f t="shared" si="5"/>
        <v>148</v>
      </c>
      <c r="B152" s="47" t="s">
        <v>598</v>
      </c>
      <c r="C152" s="123" t="s">
        <v>49</v>
      </c>
      <c r="D152" s="63" t="s">
        <v>50</v>
      </c>
      <c r="E152" s="47" t="s">
        <v>89</v>
      </c>
      <c r="F152" s="63" t="s">
        <v>52</v>
      </c>
      <c r="G152" s="63" t="s">
        <v>53</v>
      </c>
      <c r="H152" s="124" t="s">
        <v>54</v>
      </c>
      <c r="I152" s="63" t="s">
        <v>55</v>
      </c>
      <c r="J152" s="63" t="s">
        <v>56</v>
      </c>
      <c r="K152" s="126">
        <v>801116</v>
      </c>
      <c r="L152" s="126" t="s">
        <v>57</v>
      </c>
      <c r="M152" s="47" t="s">
        <v>58</v>
      </c>
      <c r="N152" s="47" t="s">
        <v>59</v>
      </c>
      <c r="O152" s="125" t="s">
        <v>60</v>
      </c>
      <c r="P152" s="48" t="s">
        <v>599</v>
      </c>
      <c r="Q152" s="64"/>
      <c r="R152" s="64"/>
      <c r="S152" s="64"/>
      <c r="T152" s="64"/>
      <c r="U152" s="47"/>
      <c r="V152" s="64"/>
      <c r="W152" s="64"/>
      <c r="X152" s="64"/>
      <c r="Y152" s="64"/>
      <c r="Z152" s="64"/>
      <c r="AA152" s="64"/>
      <c r="AB152" s="50">
        <v>0</v>
      </c>
      <c r="AC152" s="64"/>
      <c r="AD152" s="52"/>
      <c r="AE152" s="64"/>
      <c r="AF152" s="50">
        <v>0</v>
      </c>
      <c r="AG152" s="50">
        <v>0</v>
      </c>
      <c r="AH152" s="55">
        <v>0</v>
      </c>
      <c r="AI152" s="50">
        <v>0</v>
      </c>
      <c r="AJ152" s="50">
        <v>0</v>
      </c>
      <c r="AK152" s="64"/>
      <c r="AL152" s="55">
        <v>0</v>
      </c>
      <c r="AM152" s="55">
        <v>0</v>
      </c>
      <c r="AN152" s="70">
        <f t="shared" ref="AN152:AN156" si="9">AL152-AM152</f>
        <v>0</v>
      </c>
      <c r="AO152" s="64"/>
      <c r="AP152" s="64"/>
      <c r="AQ152" s="64"/>
      <c r="AR152" s="64"/>
      <c r="AS152" s="64"/>
      <c r="AT152" s="64"/>
      <c r="AU152" s="64"/>
      <c r="AV152" s="64"/>
      <c r="AW152" s="220"/>
    </row>
    <row r="153" spans="1:49" s="221" customFormat="1" ht="185.25" x14ac:dyDescent="0.25">
      <c r="A153" s="64">
        <f t="shared" si="5"/>
        <v>149</v>
      </c>
      <c r="B153" s="47" t="s">
        <v>600</v>
      </c>
      <c r="C153" s="123" t="s">
        <v>49</v>
      </c>
      <c r="D153" s="63" t="s">
        <v>50</v>
      </c>
      <c r="E153" s="47" t="s">
        <v>51</v>
      </c>
      <c r="F153" s="63" t="s">
        <v>52</v>
      </c>
      <c r="G153" s="63" t="s">
        <v>53</v>
      </c>
      <c r="H153" s="124" t="s">
        <v>54</v>
      </c>
      <c r="I153" s="63" t="s">
        <v>55</v>
      </c>
      <c r="J153" s="63" t="s">
        <v>56</v>
      </c>
      <c r="K153" s="126">
        <v>801117</v>
      </c>
      <c r="L153" s="126" t="s">
        <v>57</v>
      </c>
      <c r="M153" s="47" t="s">
        <v>601</v>
      </c>
      <c r="N153" s="47" t="s">
        <v>450</v>
      </c>
      <c r="O153" s="125" t="s">
        <v>451</v>
      </c>
      <c r="P153" s="48" t="s">
        <v>602</v>
      </c>
      <c r="Q153" s="64"/>
      <c r="R153" s="64"/>
      <c r="S153" s="64"/>
      <c r="T153" s="64"/>
      <c r="U153" s="47"/>
      <c r="V153" s="64"/>
      <c r="W153" s="64"/>
      <c r="X153" s="64"/>
      <c r="Y153" s="64"/>
      <c r="Z153" s="64"/>
      <c r="AA153" s="64"/>
      <c r="AB153" s="50">
        <v>0</v>
      </c>
      <c r="AC153" s="64"/>
      <c r="AD153" s="52"/>
      <c r="AE153" s="64"/>
      <c r="AF153" s="50">
        <v>0</v>
      </c>
      <c r="AG153" s="50">
        <v>0</v>
      </c>
      <c r="AH153" s="55">
        <v>0</v>
      </c>
      <c r="AI153" s="50">
        <v>0</v>
      </c>
      <c r="AJ153" s="50">
        <v>0</v>
      </c>
      <c r="AK153" s="64"/>
      <c r="AL153" s="55">
        <v>0</v>
      </c>
      <c r="AM153" s="55">
        <v>0</v>
      </c>
      <c r="AN153" s="70">
        <f t="shared" si="9"/>
        <v>0</v>
      </c>
      <c r="AO153" s="64"/>
      <c r="AP153" s="64"/>
      <c r="AQ153" s="64"/>
      <c r="AR153" s="64"/>
      <c r="AS153" s="64"/>
      <c r="AT153" s="64"/>
      <c r="AU153" s="64"/>
      <c r="AV153" s="64"/>
      <c r="AW153" s="220"/>
    </row>
    <row r="154" spans="1:49" s="221" customFormat="1" ht="299.25" x14ac:dyDescent="0.25">
      <c r="A154" s="64">
        <f t="shared" si="5"/>
        <v>150</v>
      </c>
      <c r="B154" s="47" t="s">
        <v>603</v>
      </c>
      <c r="C154" s="123" t="s">
        <v>49</v>
      </c>
      <c r="D154" s="63" t="s">
        <v>50</v>
      </c>
      <c r="E154" s="47" t="s">
        <v>51</v>
      </c>
      <c r="F154" s="63" t="s">
        <v>52</v>
      </c>
      <c r="G154" s="63" t="s">
        <v>53</v>
      </c>
      <c r="H154" s="124" t="s">
        <v>54</v>
      </c>
      <c r="I154" s="63" t="s">
        <v>55</v>
      </c>
      <c r="J154" s="63" t="s">
        <v>56</v>
      </c>
      <c r="K154" s="126">
        <v>801116</v>
      </c>
      <c r="L154" s="126" t="s">
        <v>57</v>
      </c>
      <c r="M154" s="47" t="s">
        <v>58</v>
      </c>
      <c r="N154" s="47" t="s">
        <v>59</v>
      </c>
      <c r="O154" s="125" t="s">
        <v>60</v>
      </c>
      <c r="P154" s="47" t="s">
        <v>509</v>
      </c>
      <c r="Q154" s="64"/>
      <c r="R154" s="64"/>
      <c r="S154" s="64"/>
      <c r="T154" s="64"/>
      <c r="U154" s="47"/>
      <c r="V154" s="64"/>
      <c r="W154" s="64"/>
      <c r="X154" s="64"/>
      <c r="Y154" s="64"/>
      <c r="Z154" s="64"/>
      <c r="AA154" s="64"/>
      <c r="AB154" s="50">
        <v>0</v>
      </c>
      <c r="AC154" s="64"/>
      <c r="AD154" s="52">
        <v>0</v>
      </c>
      <c r="AE154" s="64"/>
      <c r="AF154" s="50">
        <v>0</v>
      </c>
      <c r="AG154" s="50">
        <v>0</v>
      </c>
      <c r="AH154" s="55">
        <v>0</v>
      </c>
      <c r="AI154" s="50">
        <v>0</v>
      </c>
      <c r="AJ154" s="50">
        <v>0</v>
      </c>
      <c r="AK154" s="64"/>
      <c r="AL154" s="55">
        <v>0</v>
      </c>
      <c r="AM154" s="55">
        <v>0</v>
      </c>
      <c r="AN154" s="70">
        <f t="shared" si="9"/>
        <v>0</v>
      </c>
      <c r="AO154" s="64"/>
      <c r="AP154" s="64"/>
      <c r="AQ154" s="64"/>
      <c r="AR154" s="64"/>
      <c r="AS154" s="64"/>
      <c r="AT154" s="64"/>
      <c r="AU154" s="64"/>
      <c r="AV154" s="64"/>
      <c r="AW154" s="220"/>
    </row>
    <row r="155" spans="1:49" s="221" customFormat="1" ht="327.75" x14ac:dyDescent="0.25">
      <c r="A155" s="64">
        <f t="shared" si="5"/>
        <v>151</v>
      </c>
      <c r="B155" s="47" t="s">
        <v>604</v>
      </c>
      <c r="C155" s="47" t="s">
        <v>49</v>
      </c>
      <c r="D155" s="47" t="s">
        <v>50</v>
      </c>
      <c r="E155" s="47" t="s">
        <v>89</v>
      </c>
      <c r="F155" s="47" t="s">
        <v>436</v>
      </c>
      <c r="G155" s="47" t="s">
        <v>437</v>
      </c>
      <c r="H155" s="47" t="s">
        <v>438</v>
      </c>
      <c r="I155" s="47" t="s">
        <v>55</v>
      </c>
      <c r="J155" s="47" t="s">
        <v>56</v>
      </c>
      <c r="K155" s="47" t="s">
        <v>439</v>
      </c>
      <c r="L155" s="47"/>
      <c r="M155" s="47"/>
      <c r="N155" s="47"/>
      <c r="O155" s="125" t="s">
        <v>60</v>
      </c>
      <c r="P155" s="47" t="s">
        <v>570</v>
      </c>
      <c r="Q155" s="64"/>
      <c r="R155" s="64"/>
      <c r="S155" s="64"/>
      <c r="T155" s="64"/>
      <c r="U155" s="47"/>
      <c r="V155" s="64"/>
      <c r="W155" s="64"/>
      <c r="X155" s="64"/>
      <c r="Y155" s="64"/>
      <c r="Z155" s="64"/>
      <c r="AA155" s="64"/>
      <c r="AB155" s="50">
        <v>0</v>
      </c>
      <c r="AC155" s="64">
        <v>0</v>
      </c>
      <c r="AD155" s="52">
        <v>0</v>
      </c>
      <c r="AE155" s="64"/>
      <c r="AF155" s="50">
        <v>0</v>
      </c>
      <c r="AG155" s="50">
        <v>0</v>
      </c>
      <c r="AH155" s="55">
        <v>0</v>
      </c>
      <c r="AI155" s="50">
        <v>0</v>
      </c>
      <c r="AJ155" s="50">
        <v>0</v>
      </c>
      <c r="AK155" s="64"/>
      <c r="AL155" s="55">
        <v>0</v>
      </c>
      <c r="AM155" s="55">
        <v>0</v>
      </c>
      <c r="AN155" s="70">
        <f t="shared" si="9"/>
        <v>0</v>
      </c>
      <c r="AO155" s="64"/>
      <c r="AP155" s="64"/>
      <c r="AQ155" s="64"/>
      <c r="AR155" s="64"/>
      <c r="AS155" s="64"/>
      <c r="AT155" s="64"/>
      <c r="AU155" s="64"/>
      <c r="AV155" s="64"/>
      <c r="AW155" s="220"/>
    </row>
    <row r="156" spans="1:49" s="221" customFormat="1" ht="327.75" x14ac:dyDescent="0.25">
      <c r="A156" s="64">
        <f t="shared" si="5"/>
        <v>152</v>
      </c>
      <c r="B156" s="47" t="s">
        <v>605</v>
      </c>
      <c r="C156" s="47" t="s">
        <v>49</v>
      </c>
      <c r="D156" s="47" t="s">
        <v>50</v>
      </c>
      <c r="E156" s="47" t="s">
        <v>89</v>
      </c>
      <c r="F156" s="47" t="s">
        <v>436</v>
      </c>
      <c r="G156" s="47" t="s">
        <v>606</v>
      </c>
      <c r="H156" s="47" t="s">
        <v>438</v>
      </c>
      <c r="I156" s="47" t="s">
        <v>55</v>
      </c>
      <c r="J156" s="47" t="s">
        <v>56</v>
      </c>
      <c r="K156" s="47" t="s">
        <v>439</v>
      </c>
      <c r="L156" s="47"/>
      <c r="M156" s="47"/>
      <c r="N156" s="47"/>
      <c r="O156" s="125" t="s">
        <v>451</v>
      </c>
      <c r="P156" s="47" t="s">
        <v>570</v>
      </c>
      <c r="Q156" s="64"/>
      <c r="R156" s="64"/>
      <c r="S156" s="64"/>
      <c r="T156" s="64"/>
      <c r="U156" s="47"/>
      <c r="V156" s="64"/>
      <c r="W156" s="64"/>
      <c r="X156" s="64"/>
      <c r="Y156" s="64"/>
      <c r="Z156" s="64"/>
      <c r="AA156" s="64"/>
      <c r="AB156" s="50">
        <v>0</v>
      </c>
      <c r="AC156" s="64">
        <v>0</v>
      </c>
      <c r="AD156" s="52">
        <v>0</v>
      </c>
      <c r="AE156" s="64"/>
      <c r="AF156" s="50">
        <v>0</v>
      </c>
      <c r="AG156" s="50">
        <v>0</v>
      </c>
      <c r="AH156" s="55">
        <v>0</v>
      </c>
      <c r="AI156" s="50">
        <v>0</v>
      </c>
      <c r="AJ156" s="50">
        <v>0</v>
      </c>
      <c r="AK156" s="64"/>
      <c r="AL156" s="55">
        <v>0</v>
      </c>
      <c r="AM156" s="55">
        <v>0</v>
      </c>
      <c r="AN156" s="70">
        <f t="shared" si="9"/>
        <v>0</v>
      </c>
      <c r="AO156" s="64"/>
      <c r="AP156" s="64"/>
      <c r="AQ156" s="64"/>
      <c r="AR156" s="64"/>
      <c r="AS156" s="64"/>
      <c r="AT156" s="64"/>
      <c r="AU156" s="64"/>
      <c r="AV156" s="64"/>
      <c r="AW156" s="220"/>
    </row>
    <row r="157" spans="1:49" s="221" customFormat="1" ht="313.5" x14ac:dyDescent="0.25">
      <c r="A157" s="64">
        <f t="shared" si="5"/>
        <v>153</v>
      </c>
      <c r="B157" s="47" t="s">
        <v>607</v>
      </c>
      <c r="C157" s="123" t="s">
        <v>49</v>
      </c>
      <c r="D157" s="63" t="s">
        <v>50</v>
      </c>
      <c r="E157" s="47" t="s">
        <v>51</v>
      </c>
      <c r="F157" s="47" t="s">
        <v>577</v>
      </c>
      <c r="G157" s="47" t="s">
        <v>608</v>
      </c>
      <c r="H157" s="47" t="s">
        <v>609</v>
      </c>
      <c r="I157" s="47" t="s">
        <v>55</v>
      </c>
      <c r="J157" s="47" t="s">
        <v>56</v>
      </c>
      <c r="K157" s="47">
        <v>72101507</v>
      </c>
      <c r="L157" s="127">
        <v>2103010503010190</v>
      </c>
      <c r="M157" s="47" t="s">
        <v>610</v>
      </c>
      <c r="N157" s="47" t="s">
        <v>59</v>
      </c>
      <c r="O157" s="125" t="s">
        <v>611</v>
      </c>
      <c r="P157" s="47" t="s">
        <v>612</v>
      </c>
      <c r="Q157" s="64"/>
      <c r="R157" s="64"/>
      <c r="S157" s="70">
        <v>24457140</v>
      </c>
      <c r="T157" s="47" t="s">
        <v>613</v>
      </c>
      <c r="U157" s="47" t="s">
        <v>614</v>
      </c>
      <c r="V157" s="64" t="s">
        <v>492</v>
      </c>
      <c r="W157" s="64"/>
      <c r="X157" s="64" t="s">
        <v>615</v>
      </c>
      <c r="Y157" s="60">
        <v>43294</v>
      </c>
      <c r="Z157" s="70">
        <v>24457140</v>
      </c>
      <c r="AA157" s="64" t="s">
        <v>409</v>
      </c>
      <c r="AB157" s="50">
        <v>974</v>
      </c>
      <c r="AC157" s="60">
        <v>43294</v>
      </c>
      <c r="AD157" s="52">
        <v>24457140</v>
      </c>
      <c r="AE157" s="64"/>
      <c r="AF157" s="50">
        <v>2488</v>
      </c>
      <c r="AG157" s="50">
        <v>43294</v>
      </c>
      <c r="AH157" s="55">
        <v>24457140</v>
      </c>
      <c r="AI157" s="50" t="s">
        <v>616</v>
      </c>
      <c r="AJ157" s="50">
        <v>694</v>
      </c>
      <c r="AK157" s="64"/>
      <c r="AL157" s="55">
        <v>24457140</v>
      </c>
      <c r="AM157" s="69">
        <v>0</v>
      </c>
      <c r="AN157" s="69">
        <v>24457140</v>
      </c>
      <c r="AO157" s="64"/>
      <c r="AP157" s="64"/>
      <c r="AQ157" s="64"/>
      <c r="AR157" s="64"/>
      <c r="AS157" s="64"/>
      <c r="AT157" s="64"/>
      <c r="AU157" s="64"/>
      <c r="AV157" s="64"/>
      <c r="AW157" s="220"/>
    </row>
    <row r="158" spans="1:49" s="221" customFormat="1" ht="327.75" x14ac:dyDescent="0.25">
      <c r="A158" s="64">
        <f t="shared" si="5"/>
        <v>154</v>
      </c>
      <c r="B158" s="47" t="s">
        <v>617</v>
      </c>
      <c r="C158" s="123" t="s">
        <v>49</v>
      </c>
      <c r="D158" s="63" t="s">
        <v>50</v>
      </c>
      <c r="E158" s="47" t="s">
        <v>51</v>
      </c>
      <c r="F158" s="47" t="s">
        <v>577</v>
      </c>
      <c r="G158" s="47" t="s">
        <v>608</v>
      </c>
      <c r="H158" s="47" t="s">
        <v>609</v>
      </c>
      <c r="I158" s="47" t="s">
        <v>55</v>
      </c>
      <c r="J158" s="47" t="s">
        <v>56</v>
      </c>
      <c r="K158" s="47">
        <v>93121705</v>
      </c>
      <c r="L158" s="127">
        <v>2103010503010190</v>
      </c>
      <c r="M158" s="47" t="s">
        <v>610</v>
      </c>
      <c r="N158" s="47" t="s">
        <v>450</v>
      </c>
      <c r="O158" s="125" t="s">
        <v>618</v>
      </c>
      <c r="P158" s="47" t="s">
        <v>619</v>
      </c>
      <c r="Q158" s="64"/>
      <c r="R158" s="64"/>
      <c r="S158" s="70">
        <v>14280000</v>
      </c>
      <c r="T158" s="47" t="s">
        <v>613</v>
      </c>
      <c r="U158" s="47" t="s">
        <v>614</v>
      </c>
      <c r="V158" s="64" t="s">
        <v>492</v>
      </c>
      <c r="W158" s="64"/>
      <c r="X158" s="64" t="s">
        <v>620</v>
      </c>
      <c r="Y158" s="60">
        <v>43294</v>
      </c>
      <c r="Z158" s="70">
        <v>14280000</v>
      </c>
      <c r="AA158" s="64" t="s">
        <v>409</v>
      </c>
      <c r="AB158" s="50">
        <v>976</v>
      </c>
      <c r="AC158" s="60">
        <v>43294</v>
      </c>
      <c r="AD158" s="52">
        <v>14280000</v>
      </c>
      <c r="AE158" s="64"/>
      <c r="AF158" s="50">
        <v>2529</v>
      </c>
      <c r="AG158" s="50">
        <v>43305</v>
      </c>
      <c r="AH158" s="55">
        <v>14280000</v>
      </c>
      <c r="AI158" s="50" t="s">
        <v>621</v>
      </c>
      <c r="AJ158" s="50">
        <v>1</v>
      </c>
      <c r="AK158" s="64"/>
      <c r="AL158" s="55">
        <v>14280000</v>
      </c>
      <c r="AM158" s="69">
        <v>0</v>
      </c>
      <c r="AN158" s="69">
        <v>14280000</v>
      </c>
      <c r="AO158" s="64"/>
      <c r="AP158" s="64"/>
      <c r="AQ158" s="64"/>
      <c r="AR158" s="64"/>
      <c r="AS158" s="64"/>
      <c r="AT158" s="64"/>
      <c r="AU158" s="64"/>
      <c r="AV158" s="64"/>
      <c r="AW158" s="220"/>
    </row>
    <row r="159" spans="1:49" s="221" customFormat="1" ht="342" x14ac:dyDescent="0.25">
      <c r="A159" s="64">
        <f t="shared" si="5"/>
        <v>155</v>
      </c>
      <c r="B159" s="47" t="s">
        <v>622</v>
      </c>
      <c r="C159" s="123" t="s">
        <v>49</v>
      </c>
      <c r="D159" s="63" t="s">
        <v>50</v>
      </c>
      <c r="E159" s="47" t="s">
        <v>51</v>
      </c>
      <c r="F159" s="63" t="s">
        <v>52</v>
      </c>
      <c r="G159" s="63" t="s">
        <v>53</v>
      </c>
      <c r="H159" s="124" t="s">
        <v>54</v>
      </c>
      <c r="I159" s="63" t="s">
        <v>55</v>
      </c>
      <c r="J159" s="63" t="s">
        <v>56</v>
      </c>
      <c r="K159" s="126">
        <v>801116</v>
      </c>
      <c r="L159" s="126" t="s">
        <v>57</v>
      </c>
      <c r="M159" s="47" t="s">
        <v>58</v>
      </c>
      <c r="N159" s="47" t="s">
        <v>59</v>
      </c>
      <c r="O159" s="125" t="s">
        <v>60</v>
      </c>
      <c r="P159" s="47" t="s">
        <v>623</v>
      </c>
      <c r="Q159" s="64">
        <v>11000000</v>
      </c>
      <c r="R159" s="64">
        <v>1</v>
      </c>
      <c r="S159" s="70"/>
      <c r="T159" s="47" t="s">
        <v>445</v>
      </c>
      <c r="U159" s="47" t="s">
        <v>444</v>
      </c>
      <c r="V159" s="60">
        <v>43299</v>
      </c>
      <c r="W159" s="64">
        <v>5</v>
      </c>
      <c r="X159" s="64" t="s">
        <v>624</v>
      </c>
      <c r="Y159" s="60">
        <v>43299</v>
      </c>
      <c r="Z159" s="70">
        <v>55000000</v>
      </c>
      <c r="AA159" s="64" t="s">
        <v>409</v>
      </c>
      <c r="AB159" s="50" t="e">
        <v>#N/A</v>
      </c>
      <c r="AC159" s="64" t="s">
        <v>625</v>
      </c>
      <c r="AD159" s="52" t="s">
        <v>625</v>
      </c>
      <c r="AE159" s="64" t="s">
        <v>625</v>
      </c>
      <c r="AF159" s="50">
        <v>0</v>
      </c>
      <c r="AG159" s="50">
        <v>0</v>
      </c>
      <c r="AH159" s="55">
        <v>0</v>
      </c>
      <c r="AI159" s="50">
        <v>0</v>
      </c>
      <c r="AJ159" s="50">
        <v>0</v>
      </c>
      <c r="AK159" s="64" t="s">
        <v>625</v>
      </c>
      <c r="AL159" s="55">
        <v>0</v>
      </c>
      <c r="AM159" s="55">
        <v>0</v>
      </c>
      <c r="AN159" s="70" t="s">
        <v>625</v>
      </c>
      <c r="AO159" s="64" t="s">
        <v>625</v>
      </c>
      <c r="AP159" s="64" t="s">
        <v>625</v>
      </c>
      <c r="AQ159" s="225" t="s">
        <v>626</v>
      </c>
      <c r="AR159" s="64"/>
      <c r="AS159" s="64"/>
      <c r="AT159" s="64"/>
      <c r="AU159" s="64"/>
      <c r="AV159" s="64"/>
      <c r="AW159" s="220"/>
    </row>
    <row r="160" spans="1:49" s="221" customFormat="1" ht="399" x14ac:dyDescent="0.25">
      <c r="A160" s="64">
        <f t="shared" si="5"/>
        <v>156</v>
      </c>
      <c r="B160" s="47" t="s">
        <v>627</v>
      </c>
      <c r="C160" s="123" t="s">
        <v>49</v>
      </c>
      <c r="D160" s="63" t="s">
        <v>50</v>
      </c>
      <c r="E160" s="47" t="s">
        <v>89</v>
      </c>
      <c r="F160" s="63" t="s">
        <v>52</v>
      </c>
      <c r="G160" s="63" t="s">
        <v>53</v>
      </c>
      <c r="H160" s="124" t="s">
        <v>54</v>
      </c>
      <c r="I160" s="63" t="s">
        <v>55</v>
      </c>
      <c r="J160" s="63" t="s">
        <v>56</v>
      </c>
      <c r="K160" s="126">
        <v>801116</v>
      </c>
      <c r="L160" s="126" t="s">
        <v>57</v>
      </c>
      <c r="M160" s="47" t="s">
        <v>58</v>
      </c>
      <c r="N160" s="47" t="s">
        <v>59</v>
      </c>
      <c r="O160" s="125" t="s">
        <v>60</v>
      </c>
      <c r="P160" s="47" t="s">
        <v>628</v>
      </c>
      <c r="Q160" s="64">
        <v>5253000</v>
      </c>
      <c r="R160" s="64">
        <v>1</v>
      </c>
      <c r="S160" s="70">
        <v>26265000</v>
      </c>
      <c r="T160" s="47" t="s">
        <v>445</v>
      </c>
      <c r="U160" s="47" t="s">
        <v>444</v>
      </c>
      <c r="V160" s="60">
        <v>43299</v>
      </c>
      <c r="W160" s="64">
        <v>5</v>
      </c>
      <c r="X160" s="64" t="s">
        <v>629</v>
      </c>
      <c r="Y160" s="60">
        <v>43299</v>
      </c>
      <c r="Z160" s="70">
        <v>26265000</v>
      </c>
      <c r="AA160" s="64" t="s">
        <v>409</v>
      </c>
      <c r="AB160" s="50">
        <v>992</v>
      </c>
      <c r="AC160" s="64"/>
      <c r="AD160" s="52"/>
      <c r="AE160" s="64"/>
      <c r="AF160" s="50">
        <v>2600</v>
      </c>
      <c r="AG160" s="50">
        <v>43315</v>
      </c>
      <c r="AH160" s="55">
        <v>26265000</v>
      </c>
      <c r="AI160" s="50" t="s">
        <v>630</v>
      </c>
      <c r="AJ160" s="50">
        <v>485</v>
      </c>
      <c r="AK160" s="64"/>
      <c r="AL160" s="55">
        <v>26265000</v>
      </c>
      <c r="AM160" s="69">
        <v>5077900</v>
      </c>
      <c r="AN160" s="69">
        <v>21187100</v>
      </c>
      <c r="AO160" s="64"/>
      <c r="AP160" s="64"/>
      <c r="AQ160" s="64"/>
      <c r="AR160" s="64"/>
      <c r="AS160" s="64"/>
      <c r="AT160" s="64"/>
      <c r="AU160" s="64"/>
      <c r="AV160" s="64"/>
      <c r="AW160" s="220"/>
    </row>
    <row r="161" spans="1:49" s="221" customFormat="1" ht="342" x14ac:dyDescent="0.25">
      <c r="A161" s="64">
        <f t="shared" si="5"/>
        <v>157</v>
      </c>
      <c r="B161" s="47" t="s">
        <v>631</v>
      </c>
      <c r="C161" s="123" t="s">
        <v>49</v>
      </c>
      <c r="D161" s="63" t="s">
        <v>50</v>
      </c>
      <c r="E161" s="47" t="s">
        <v>51</v>
      </c>
      <c r="F161" s="63" t="s">
        <v>52</v>
      </c>
      <c r="G161" s="63" t="s">
        <v>53</v>
      </c>
      <c r="H161" s="124" t="s">
        <v>54</v>
      </c>
      <c r="I161" s="63" t="s">
        <v>55</v>
      </c>
      <c r="J161" s="63" t="s">
        <v>56</v>
      </c>
      <c r="K161" s="126">
        <v>801116</v>
      </c>
      <c r="L161" s="126" t="s">
        <v>57</v>
      </c>
      <c r="M161" s="47" t="s">
        <v>58</v>
      </c>
      <c r="N161" s="47" t="s">
        <v>59</v>
      </c>
      <c r="O161" s="125" t="s">
        <v>60</v>
      </c>
      <c r="P161" s="47" t="s">
        <v>632</v>
      </c>
      <c r="Q161" s="64">
        <v>11000000</v>
      </c>
      <c r="R161" s="64">
        <v>1</v>
      </c>
      <c r="S161" s="70">
        <v>55000000</v>
      </c>
      <c r="T161" s="47" t="s">
        <v>445</v>
      </c>
      <c r="U161" s="47" t="s">
        <v>444</v>
      </c>
      <c r="V161" s="60">
        <v>43313</v>
      </c>
      <c r="W161" s="64">
        <v>5</v>
      </c>
      <c r="X161" s="64" t="s">
        <v>633</v>
      </c>
      <c r="Y161" s="60">
        <v>43313</v>
      </c>
      <c r="Z161" s="70">
        <v>55000000</v>
      </c>
      <c r="AA161" s="64"/>
      <c r="AB161" s="50">
        <v>1021</v>
      </c>
      <c r="AC161" s="64"/>
      <c r="AD161" s="52"/>
      <c r="AE161" s="64"/>
      <c r="AF161" s="50">
        <v>2589</v>
      </c>
      <c r="AG161" s="50">
        <v>43315</v>
      </c>
      <c r="AH161" s="55">
        <v>54266667</v>
      </c>
      <c r="AI161" s="50" t="s">
        <v>634</v>
      </c>
      <c r="AJ161" s="50">
        <v>483</v>
      </c>
      <c r="AK161" s="64"/>
      <c r="AL161" s="55">
        <v>54266667</v>
      </c>
      <c r="AM161" s="69">
        <v>10266667</v>
      </c>
      <c r="AN161" s="69">
        <v>44000000</v>
      </c>
      <c r="AO161" s="64"/>
      <c r="AP161" s="64"/>
      <c r="AQ161" s="64"/>
      <c r="AR161" s="64"/>
      <c r="AS161" s="64"/>
      <c r="AT161" s="64"/>
      <c r="AU161" s="64"/>
      <c r="AV161" s="64"/>
      <c r="AW161" s="220"/>
    </row>
    <row r="162" spans="1:49" s="221" customFormat="1" ht="256.5" x14ac:dyDescent="0.25">
      <c r="A162" s="64">
        <f>A161+1</f>
        <v>158</v>
      </c>
      <c r="B162" s="47" t="s">
        <v>635</v>
      </c>
      <c r="C162" s="123" t="s">
        <v>49</v>
      </c>
      <c r="D162" s="63" t="s">
        <v>50</v>
      </c>
      <c r="E162" s="47" t="s">
        <v>51</v>
      </c>
      <c r="F162" s="63" t="s">
        <v>52</v>
      </c>
      <c r="G162" s="63" t="s">
        <v>53</v>
      </c>
      <c r="H162" s="124" t="s">
        <v>54</v>
      </c>
      <c r="I162" s="63" t="s">
        <v>55</v>
      </c>
      <c r="J162" s="63" t="s">
        <v>56</v>
      </c>
      <c r="K162" s="126">
        <v>801116</v>
      </c>
      <c r="L162" s="126" t="s">
        <v>57</v>
      </c>
      <c r="M162" s="47" t="s">
        <v>58</v>
      </c>
      <c r="N162" s="47" t="s">
        <v>59</v>
      </c>
      <c r="O162" s="125" t="s">
        <v>60</v>
      </c>
      <c r="P162" s="47" t="s">
        <v>636</v>
      </c>
      <c r="Q162" s="64">
        <v>7210000</v>
      </c>
      <c r="R162" s="64">
        <v>1</v>
      </c>
      <c r="S162" s="70">
        <v>32445000</v>
      </c>
      <c r="T162" s="47" t="s">
        <v>445</v>
      </c>
      <c r="U162" s="47" t="s">
        <v>444</v>
      </c>
      <c r="V162" s="60">
        <v>43321</v>
      </c>
      <c r="W162" s="64">
        <v>4.5</v>
      </c>
      <c r="X162" s="64" t="s">
        <v>637</v>
      </c>
      <c r="Y162" s="60">
        <v>43322</v>
      </c>
      <c r="Z162" s="70">
        <v>32445000</v>
      </c>
      <c r="AA162" s="64" t="s">
        <v>48</v>
      </c>
      <c r="AB162" s="50">
        <v>1055</v>
      </c>
      <c r="AC162" s="60">
        <v>43325</v>
      </c>
      <c r="AD162" s="52">
        <v>32445000</v>
      </c>
      <c r="AE162" s="64"/>
      <c r="AF162" s="50">
        <v>2895</v>
      </c>
      <c r="AG162" s="51">
        <v>43361</v>
      </c>
      <c r="AH162" s="55">
        <v>28840000</v>
      </c>
      <c r="AI162" s="64" t="s">
        <v>638</v>
      </c>
      <c r="AJ162" s="50">
        <v>0</v>
      </c>
      <c r="AK162" s="64"/>
      <c r="AL162" s="55">
        <v>28840000</v>
      </c>
      <c r="AM162" s="69">
        <v>0</v>
      </c>
      <c r="AN162" s="69">
        <v>28840000</v>
      </c>
      <c r="AO162" s="64"/>
      <c r="AP162" s="64"/>
      <c r="AQ162" s="64"/>
      <c r="AR162" s="64"/>
      <c r="AS162" s="64"/>
      <c r="AT162" s="64"/>
      <c r="AU162" s="64"/>
      <c r="AV162" s="64"/>
      <c r="AW162" s="220"/>
    </row>
    <row r="163" spans="1:49" s="221" customFormat="1" ht="409.5" x14ac:dyDescent="0.25">
      <c r="A163" s="64">
        <f>A162+1</f>
        <v>159</v>
      </c>
      <c r="B163" s="47" t="s">
        <v>639</v>
      </c>
      <c r="C163" s="123" t="s">
        <v>49</v>
      </c>
      <c r="D163" s="63" t="s">
        <v>50</v>
      </c>
      <c r="E163" s="47" t="s">
        <v>51</v>
      </c>
      <c r="F163" s="63" t="s">
        <v>425</v>
      </c>
      <c r="G163" s="63" t="s">
        <v>485</v>
      </c>
      <c r="H163" s="63" t="s">
        <v>486</v>
      </c>
      <c r="I163" s="63" t="s">
        <v>55</v>
      </c>
      <c r="J163" s="63" t="s">
        <v>56</v>
      </c>
      <c r="K163" s="63">
        <v>84131501</v>
      </c>
      <c r="L163" s="126" t="s">
        <v>57</v>
      </c>
      <c r="M163" s="47" t="s">
        <v>58</v>
      </c>
      <c r="N163" s="47" t="s">
        <v>59</v>
      </c>
      <c r="O163" s="125" t="s">
        <v>60</v>
      </c>
      <c r="P163" s="47" t="s">
        <v>640</v>
      </c>
      <c r="Q163" s="64">
        <v>929678</v>
      </c>
      <c r="R163" s="64">
        <v>1</v>
      </c>
      <c r="S163" s="70">
        <v>929678</v>
      </c>
      <c r="T163" s="47" t="s">
        <v>417</v>
      </c>
      <c r="U163" s="47" t="s">
        <v>417</v>
      </c>
      <c r="V163" s="60">
        <v>43321</v>
      </c>
      <c r="W163" s="64">
        <v>1</v>
      </c>
      <c r="X163" s="64" t="s">
        <v>641</v>
      </c>
      <c r="Y163" s="60">
        <v>43322</v>
      </c>
      <c r="Z163" s="70">
        <v>929678</v>
      </c>
      <c r="AA163" s="64" t="s">
        <v>484</v>
      </c>
      <c r="AB163" s="50">
        <v>1056</v>
      </c>
      <c r="AC163" s="60">
        <v>43325</v>
      </c>
      <c r="AD163" s="52">
        <v>929678</v>
      </c>
      <c r="AE163" s="64"/>
      <c r="AF163" s="50">
        <v>2703</v>
      </c>
      <c r="AG163" s="51">
        <v>43334</v>
      </c>
      <c r="AH163" s="69">
        <v>929678</v>
      </c>
      <c r="AI163" s="50" t="s">
        <v>582</v>
      </c>
      <c r="AJ163" s="50">
        <v>3164</v>
      </c>
      <c r="AK163" s="64"/>
      <c r="AL163" s="55">
        <v>929678</v>
      </c>
      <c r="AM163" s="69">
        <v>929678</v>
      </c>
      <c r="AN163" s="69">
        <v>0</v>
      </c>
      <c r="AO163" s="64"/>
      <c r="AP163" s="64"/>
      <c r="AQ163" s="64"/>
      <c r="AR163" s="64"/>
      <c r="AS163" s="64"/>
      <c r="AT163" s="64"/>
      <c r="AU163" s="64"/>
      <c r="AV163" s="64"/>
      <c r="AW163" s="220"/>
    </row>
    <row r="164" spans="1:49" s="221" customFormat="1" ht="142.5" x14ac:dyDescent="0.25">
      <c r="A164" s="64">
        <f t="shared" ref="A164:A186" si="10">A163+1</f>
        <v>160</v>
      </c>
      <c r="B164" s="47" t="s">
        <v>642</v>
      </c>
      <c r="C164" s="123" t="s">
        <v>49</v>
      </c>
      <c r="D164" s="123" t="s">
        <v>50</v>
      </c>
      <c r="E164" s="123" t="s">
        <v>89</v>
      </c>
      <c r="F164" s="123" t="s">
        <v>52</v>
      </c>
      <c r="G164" s="123" t="s">
        <v>53</v>
      </c>
      <c r="H164" s="123" t="s">
        <v>54</v>
      </c>
      <c r="I164" s="123" t="s">
        <v>55</v>
      </c>
      <c r="J164" s="123" t="s">
        <v>56</v>
      </c>
      <c r="K164" s="123">
        <v>801116</v>
      </c>
      <c r="L164" s="123" t="s">
        <v>57</v>
      </c>
      <c r="M164" s="123" t="s">
        <v>58</v>
      </c>
      <c r="N164" s="123" t="s">
        <v>59</v>
      </c>
      <c r="O164" s="123" t="s">
        <v>60</v>
      </c>
      <c r="P164" s="47" t="s">
        <v>643</v>
      </c>
      <c r="Q164" s="64"/>
      <c r="R164" s="64"/>
      <c r="S164" s="64"/>
      <c r="T164" s="64"/>
      <c r="U164" s="47"/>
      <c r="V164" s="64"/>
      <c r="W164" s="64"/>
      <c r="X164" s="64"/>
      <c r="Y164" s="64"/>
      <c r="Z164" s="64"/>
      <c r="AA164" s="64"/>
      <c r="AB164" s="50">
        <v>0</v>
      </c>
      <c r="AC164" s="64"/>
      <c r="AD164" s="52"/>
      <c r="AE164" s="64"/>
      <c r="AF164" s="50">
        <v>0</v>
      </c>
      <c r="AG164" s="50">
        <v>0</v>
      </c>
      <c r="AH164" s="55">
        <v>0</v>
      </c>
      <c r="AI164" s="50">
        <v>0</v>
      </c>
      <c r="AJ164" s="50">
        <v>0</v>
      </c>
      <c r="AK164" s="64"/>
      <c r="AL164" s="55">
        <v>0</v>
      </c>
      <c r="AM164" s="55">
        <v>0</v>
      </c>
      <c r="AN164" s="65">
        <f>AL164-AM164</f>
        <v>0</v>
      </c>
      <c r="AO164" s="58" t="s">
        <v>67</v>
      </c>
      <c r="AP164" s="64"/>
      <c r="AQ164" s="64"/>
      <c r="AR164" s="64"/>
      <c r="AS164" s="64"/>
      <c r="AT164" s="64"/>
      <c r="AU164" s="64"/>
      <c r="AV164" s="64"/>
      <c r="AW164" s="220"/>
    </row>
    <row r="165" spans="1:49" s="221" customFormat="1" ht="171" x14ac:dyDescent="0.25">
      <c r="A165" s="64">
        <f t="shared" si="10"/>
        <v>161</v>
      </c>
      <c r="B165" s="47" t="s">
        <v>644</v>
      </c>
      <c r="C165" s="123" t="s">
        <v>49</v>
      </c>
      <c r="D165" s="63" t="s">
        <v>50</v>
      </c>
      <c r="E165" s="47" t="s">
        <v>89</v>
      </c>
      <c r="F165" s="63" t="s">
        <v>52</v>
      </c>
      <c r="G165" s="63" t="s">
        <v>53</v>
      </c>
      <c r="H165" s="124" t="s">
        <v>54</v>
      </c>
      <c r="I165" s="63" t="s">
        <v>55</v>
      </c>
      <c r="J165" s="63" t="s">
        <v>56</v>
      </c>
      <c r="K165" s="126">
        <v>801116</v>
      </c>
      <c r="L165" s="126" t="s">
        <v>57</v>
      </c>
      <c r="M165" s="47" t="s">
        <v>58</v>
      </c>
      <c r="N165" s="47" t="s">
        <v>59</v>
      </c>
      <c r="O165" s="125" t="s">
        <v>60</v>
      </c>
      <c r="P165" s="47" t="s">
        <v>645</v>
      </c>
      <c r="Q165" s="64"/>
      <c r="R165" s="64"/>
      <c r="S165" s="64"/>
      <c r="T165" s="64"/>
      <c r="U165" s="47"/>
      <c r="V165" s="64"/>
      <c r="W165" s="64"/>
      <c r="X165" s="64"/>
      <c r="Y165" s="64"/>
      <c r="Z165" s="64"/>
      <c r="AA165" s="64"/>
      <c r="AB165" s="50">
        <v>0</v>
      </c>
      <c r="AC165" s="64"/>
      <c r="AD165" s="52"/>
      <c r="AE165" s="64"/>
      <c r="AF165" s="50">
        <v>0</v>
      </c>
      <c r="AG165" s="50">
        <v>0</v>
      </c>
      <c r="AH165" s="55">
        <v>0</v>
      </c>
      <c r="AI165" s="50">
        <v>0</v>
      </c>
      <c r="AJ165" s="50">
        <v>0</v>
      </c>
      <c r="AK165" s="64"/>
      <c r="AL165" s="55">
        <v>0</v>
      </c>
      <c r="AM165" s="55">
        <v>0</v>
      </c>
      <c r="AN165" s="65">
        <f t="shared" ref="AN165:AN169" si="11">AL165-AM165</f>
        <v>0</v>
      </c>
      <c r="AO165" s="64"/>
      <c r="AP165" s="64"/>
      <c r="AQ165" s="64"/>
      <c r="AR165" s="64"/>
      <c r="AS165" s="64"/>
      <c r="AT165" s="64"/>
      <c r="AU165" s="64"/>
      <c r="AV165" s="64"/>
      <c r="AW165" s="220"/>
    </row>
    <row r="166" spans="1:49" s="221" customFormat="1" ht="171" x14ac:dyDescent="0.25">
      <c r="A166" s="64">
        <f t="shared" si="10"/>
        <v>162</v>
      </c>
      <c r="B166" s="47" t="s">
        <v>646</v>
      </c>
      <c r="C166" s="123" t="s">
        <v>49</v>
      </c>
      <c r="D166" s="63" t="s">
        <v>50</v>
      </c>
      <c r="E166" s="47" t="s">
        <v>51</v>
      </c>
      <c r="F166" s="63" t="s">
        <v>52</v>
      </c>
      <c r="G166" s="63" t="s">
        <v>53</v>
      </c>
      <c r="H166" s="124" t="s">
        <v>54</v>
      </c>
      <c r="I166" s="63" t="s">
        <v>55</v>
      </c>
      <c r="J166" s="63" t="s">
        <v>56</v>
      </c>
      <c r="K166" s="126">
        <v>801116</v>
      </c>
      <c r="L166" s="126" t="s">
        <v>57</v>
      </c>
      <c r="M166" s="47" t="s">
        <v>58</v>
      </c>
      <c r="N166" s="47" t="s">
        <v>59</v>
      </c>
      <c r="O166" s="125" t="s">
        <v>60</v>
      </c>
      <c r="P166" s="47" t="s">
        <v>645</v>
      </c>
      <c r="Q166" s="64"/>
      <c r="R166" s="64"/>
      <c r="S166" s="64"/>
      <c r="T166" s="64"/>
      <c r="U166" s="47"/>
      <c r="V166" s="64"/>
      <c r="W166" s="64"/>
      <c r="X166" s="64"/>
      <c r="Y166" s="64"/>
      <c r="Z166" s="64"/>
      <c r="AA166" s="64"/>
      <c r="AB166" s="50">
        <v>0</v>
      </c>
      <c r="AC166" s="64"/>
      <c r="AD166" s="52"/>
      <c r="AE166" s="64"/>
      <c r="AF166" s="50">
        <v>0</v>
      </c>
      <c r="AG166" s="50">
        <v>0</v>
      </c>
      <c r="AH166" s="55">
        <v>0</v>
      </c>
      <c r="AI166" s="50">
        <v>0</v>
      </c>
      <c r="AJ166" s="50">
        <v>0</v>
      </c>
      <c r="AK166" s="64"/>
      <c r="AL166" s="55">
        <v>0</v>
      </c>
      <c r="AM166" s="55">
        <v>0</v>
      </c>
      <c r="AN166" s="65">
        <f t="shared" si="11"/>
        <v>0</v>
      </c>
      <c r="AO166" s="64"/>
      <c r="AP166" s="64"/>
      <c r="AQ166" s="64"/>
      <c r="AR166" s="64"/>
      <c r="AS166" s="64"/>
      <c r="AT166" s="64"/>
      <c r="AU166" s="64"/>
      <c r="AV166" s="64"/>
      <c r="AW166" s="220"/>
    </row>
    <row r="167" spans="1:49" s="221" customFormat="1" ht="399" x14ac:dyDescent="0.25">
      <c r="A167" s="64">
        <f t="shared" si="10"/>
        <v>163</v>
      </c>
      <c r="B167" s="47" t="s">
        <v>647</v>
      </c>
      <c r="C167" s="123" t="s">
        <v>49</v>
      </c>
      <c r="D167" s="63" t="s">
        <v>50</v>
      </c>
      <c r="E167" s="47" t="s">
        <v>51</v>
      </c>
      <c r="F167" s="63" t="s">
        <v>52</v>
      </c>
      <c r="G167" s="63" t="s">
        <v>53</v>
      </c>
      <c r="H167" s="124" t="s">
        <v>54</v>
      </c>
      <c r="I167" s="63" t="s">
        <v>55</v>
      </c>
      <c r="J167" s="63" t="s">
        <v>56</v>
      </c>
      <c r="K167" s="126">
        <v>801116</v>
      </c>
      <c r="L167" s="126" t="s">
        <v>57</v>
      </c>
      <c r="M167" s="47" t="s">
        <v>58</v>
      </c>
      <c r="N167" s="47" t="s">
        <v>59</v>
      </c>
      <c r="O167" s="125" t="s">
        <v>60</v>
      </c>
      <c r="P167" s="47" t="s">
        <v>648</v>
      </c>
      <c r="Q167" s="64"/>
      <c r="R167" s="64"/>
      <c r="S167" s="64"/>
      <c r="T167" s="64"/>
      <c r="U167" s="47"/>
      <c r="V167" s="64"/>
      <c r="W167" s="64"/>
      <c r="X167" s="64"/>
      <c r="Y167" s="64"/>
      <c r="Z167" s="64"/>
      <c r="AA167" s="64"/>
      <c r="AB167" s="50">
        <v>0</v>
      </c>
      <c r="AC167" s="64"/>
      <c r="AD167" s="52">
        <v>0</v>
      </c>
      <c r="AE167" s="64"/>
      <c r="AF167" s="50">
        <v>0</v>
      </c>
      <c r="AG167" s="50">
        <v>0</v>
      </c>
      <c r="AH167" s="55">
        <v>0</v>
      </c>
      <c r="AI167" s="50">
        <v>0</v>
      </c>
      <c r="AJ167" s="50">
        <v>0</v>
      </c>
      <c r="AK167" s="64"/>
      <c r="AL167" s="55">
        <v>0</v>
      </c>
      <c r="AM167" s="55">
        <v>0</v>
      </c>
      <c r="AN167" s="65">
        <f t="shared" si="11"/>
        <v>0</v>
      </c>
      <c r="AO167" s="64"/>
      <c r="AP167" s="64"/>
      <c r="AQ167" s="64"/>
      <c r="AR167" s="64"/>
      <c r="AS167" s="64"/>
      <c r="AT167" s="64"/>
      <c r="AU167" s="64"/>
      <c r="AV167" s="64"/>
      <c r="AW167" s="220"/>
    </row>
    <row r="168" spans="1:49" s="221" customFormat="1" ht="327.75" x14ac:dyDescent="0.25">
      <c r="A168" s="64">
        <f t="shared" si="10"/>
        <v>164</v>
      </c>
      <c r="B168" s="47" t="s">
        <v>649</v>
      </c>
      <c r="C168" s="47" t="s">
        <v>49</v>
      </c>
      <c r="D168" s="47" t="s">
        <v>50</v>
      </c>
      <c r="E168" s="47" t="s">
        <v>89</v>
      </c>
      <c r="F168" s="47" t="s">
        <v>436</v>
      </c>
      <c r="G168" s="47" t="s">
        <v>437</v>
      </c>
      <c r="H168" s="47" t="s">
        <v>438</v>
      </c>
      <c r="I168" s="47" t="s">
        <v>55</v>
      </c>
      <c r="J168" s="47" t="s">
        <v>56</v>
      </c>
      <c r="K168" s="47" t="s">
        <v>439</v>
      </c>
      <c r="L168" s="47"/>
      <c r="M168" s="47"/>
      <c r="N168" s="47"/>
      <c r="O168" s="125" t="s">
        <v>60</v>
      </c>
      <c r="P168" s="47" t="s">
        <v>570</v>
      </c>
      <c r="Q168" s="64"/>
      <c r="R168" s="64"/>
      <c r="S168" s="64"/>
      <c r="T168" s="64"/>
      <c r="U168" s="47"/>
      <c r="V168" s="64"/>
      <c r="W168" s="64"/>
      <c r="X168" s="64"/>
      <c r="Y168" s="64"/>
      <c r="Z168" s="64"/>
      <c r="AA168" s="64"/>
      <c r="AB168" s="50">
        <v>0</v>
      </c>
      <c r="AC168" s="64"/>
      <c r="AD168" s="52">
        <v>0</v>
      </c>
      <c r="AE168" s="64"/>
      <c r="AF168" s="50">
        <v>0</v>
      </c>
      <c r="AG168" s="50">
        <v>0</v>
      </c>
      <c r="AH168" s="55">
        <v>0</v>
      </c>
      <c r="AI168" s="50">
        <v>0</v>
      </c>
      <c r="AJ168" s="50">
        <v>0</v>
      </c>
      <c r="AK168" s="64"/>
      <c r="AL168" s="55">
        <v>0</v>
      </c>
      <c r="AM168" s="55">
        <v>0</v>
      </c>
      <c r="AN168" s="65">
        <f t="shared" si="11"/>
        <v>0</v>
      </c>
      <c r="AO168" s="64"/>
      <c r="AP168" s="64"/>
      <c r="AQ168" s="64"/>
      <c r="AR168" s="64"/>
      <c r="AS168" s="64"/>
      <c r="AT168" s="64"/>
      <c r="AU168" s="64"/>
      <c r="AV168" s="64"/>
      <c r="AW168" s="220"/>
    </row>
    <row r="169" spans="1:49" s="221" customFormat="1" ht="370.5" x14ac:dyDescent="0.25">
      <c r="A169" s="64">
        <f t="shared" si="10"/>
        <v>165</v>
      </c>
      <c r="B169" s="47" t="s">
        <v>650</v>
      </c>
      <c r="C169" s="47" t="s">
        <v>49</v>
      </c>
      <c r="D169" s="47" t="s">
        <v>50</v>
      </c>
      <c r="E169" s="63" t="s">
        <v>390</v>
      </c>
      <c r="F169" s="47" t="s">
        <v>436</v>
      </c>
      <c r="G169" s="47" t="s">
        <v>437</v>
      </c>
      <c r="H169" s="47" t="s">
        <v>438</v>
      </c>
      <c r="I169" s="47" t="s">
        <v>55</v>
      </c>
      <c r="J169" s="47" t="s">
        <v>56</v>
      </c>
      <c r="K169" s="47" t="s">
        <v>439</v>
      </c>
      <c r="L169" s="47"/>
      <c r="M169" s="47"/>
      <c r="N169" s="47"/>
      <c r="O169" s="125" t="s">
        <v>60</v>
      </c>
      <c r="P169" s="47" t="s">
        <v>651</v>
      </c>
      <c r="Q169" s="64"/>
      <c r="R169" s="64"/>
      <c r="S169" s="64"/>
      <c r="T169" s="64"/>
      <c r="U169" s="47"/>
      <c r="V169" s="64"/>
      <c r="W169" s="64"/>
      <c r="X169" s="64"/>
      <c r="Y169" s="64"/>
      <c r="Z169" s="64"/>
      <c r="AA169" s="64"/>
      <c r="AB169" s="50">
        <v>0</v>
      </c>
      <c r="AC169" s="64"/>
      <c r="AD169" s="50">
        <v>0</v>
      </c>
      <c r="AE169" s="64"/>
      <c r="AF169" s="50">
        <v>0</v>
      </c>
      <c r="AG169" s="50">
        <v>0</v>
      </c>
      <c r="AH169" s="55">
        <v>0</v>
      </c>
      <c r="AI169" s="50">
        <v>0</v>
      </c>
      <c r="AJ169" s="50">
        <v>0</v>
      </c>
      <c r="AK169" s="64"/>
      <c r="AL169" s="55">
        <v>0</v>
      </c>
      <c r="AM169" s="55">
        <v>0</v>
      </c>
      <c r="AN169" s="65">
        <f t="shared" si="11"/>
        <v>0</v>
      </c>
      <c r="AO169" s="64"/>
      <c r="AP169" s="64"/>
      <c r="AQ169" s="64"/>
      <c r="AR169" s="64"/>
      <c r="AS169" s="64"/>
      <c r="AT169" s="64"/>
      <c r="AU169" s="64"/>
      <c r="AV169" s="64"/>
      <c r="AW169" s="220"/>
    </row>
    <row r="170" spans="1:49" s="221" customFormat="1" ht="342" x14ac:dyDescent="0.25">
      <c r="A170" s="64">
        <f t="shared" si="10"/>
        <v>166</v>
      </c>
      <c r="B170" s="47" t="s">
        <v>652</v>
      </c>
      <c r="C170" s="47" t="s">
        <v>49</v>
      </c>
      <c r="D170" s="47" t="s">
        <v>50</v>
      </c>
      <c r="E170" s="47" t="s">
        <v>51</v>
      </c>
      <c r="F170" s="47" t="s">
        <v>425</v>
      </c>
      <c r="G170" s="47" t="s">
        <v>426</v>
      </c>
      <c r="H170" s="47" t="s">
        <v>427</v>
      </c>
      <c r="I170" s="47" t="s">
        <v>55</v>
      </c>
      <c r="J170" s="47" t="s">
        <v>56</v>
      </c>
      <c r="K170" s="63">
        <v>82101600</v>
      </c>
      <c r="L170" s="63" t="s">
        <v>57</v>
      </c>
      <c r="M170" s="63" t="s">
        <v>58</v>
      </c>
      <c r="N170" s="63" t="s">
        <v>59</v>
      </c>
      <c r="O170" s="125" t="s">
        <v>60</v>
      </c>
      <c r="P170" s="47" t="s">
        <v>653</v>
      </c>
      <c r="Q170" s="69">
        <v>81250000</v>
      </c>
      <c r="R170" s="64"/>
      <c r="S170" s="73">
        <f>40625000+40625000</f>
        <v>81250000</v>
      </c>
      <c r="T170" s="64" t="s">
        <v>654</v>
      </c>
      <c r="U170" s="47" t="s">
        <v>654</v>
      </c>
      <c r="V170" s="60">
        <v>43328</v>
      </c>
      <c r="W170" s="64">
        <v>3.5</v>
      </c>
      <c r="X170" s="64" t="s">
        <v>655</v>
      </c>
      <c r="Y170" s="60">
        <v>43329</v>
      </c>
      <c r="Z170" s="69">
        <v>81250000</v>
      </c>
      <c r="AA170" s="47" t="s">
        <v>656</v>
      </c>
      <c r="AB170" s="50">
        <v>1074</v>
      </c>
      <c r="AC170" s="60">
        <v>43329</v>
      </c>
      <c r="AD170" s="52">
        <v>81250000</v>
      </c>
      <c r="AE170" s="64"/>
      <c r="AF170" s="50">
        <v>0</v>
      </c>
      <c r="AG170" s="50">
        <v>0</v>
      </c>
      <c r="AH170" s="55">
        <v>0</v>
      </c>
      <c r="AI170" s="50">
        <v>0</v>
      </c>
      <c r="AJ170" s="50">
        <v>0</v>
      </c>
      <c r="AK170" s="64"/>
      <c r="AL170" s="55">
        <v>0</v>
      </c>
      <c r="AM170" s="55">
        <v>0</v>
      </c>
      <c r="AN170" s="70"/>
      <c r="AO170" s="64"/>
      <c r="AP170" s="64"/>
      <c r="AQ170" s="64"/>
      <c r="AR170" s="64"/>
      <c r="AS170" s="64"/>
      <c r="AT170" s="64"/>
      <c r="AU170" s="64"/>
      <c r="AV170" s="64"/>
      <c r="AW170" s="220"/>
    </row>
    <row r="171" spans="1:49" s="221" customFormat="1" ht="342" x14ac:dyDescent="0.25">
      <c r="A171" s="64">
        <f t="shared" si="10"/>
        <v>167</v>
      </c>
      <c r="B171" s="47" t="s">
        <v>657</v>
      </c>
      <c r="C171" s="47" t="s">
        <v>49</v>
      </c>
      <c r="D171" s="47" t="s">
        <v>50</v>
      </c>
      <c r="E171" s="47" t="s">
        <v>89</v>
      </c>
      <c r="F171" s="47" t="s">
        <v>425</v>
      </c>
      <c r="G171" s="47" t="s">
        <v>426</v>
      </c>
      <c r="H171" s="47" t="s">
        <v>427</v>
      </c>
      <c r="I171" s="47" t="s">
        <v>55</v>
      </c>
      <c r="J171" s="47" t="s">
        <v>56</v>
      </c>
      <c r="K171" s="63">
        <v>82101601</v>
      </c>
      <c r="L171" s="63" t="s">
        <v>57</v>
      </c>
      <c r="M171" s="63" t="s">
        <v>449</v>
      </c>
      <c r="N171" s="63" t="s">
        <v>450</v>
      </c>
      <c r="O171" s="125" t="s">
        <v>451</v>
      </c>
      <c r="P171" s="47" t="s">
        <v>653</v>
      </c>
      <c r="Q171" s="69">
        <v>81250001</v>
      </c>
      <c r="R171" s="64"/>
      <c r="S171" s="73">
        <f>40625000+40625000</f>
        <v>81250000</v>
      </c>
      <c r="T171" s="64" t="s">
        <v>654</v>
      </c>
      <c r="U171" s="47" t="s">
        <v>654</v>
      </c>
      <c r="V171" s="60">
        <v>43329</v>
      </c>
      <c r="W171" s="64">
        <v>3.5</v>
      </c>
      <c r="X171" s="64" t="s">
        <v>658</v>
      </c>
      <c r="Y171" s="60">
        <v>43329</v>
      </c>
      <c r="Z171" s="69">
        <v>81250000</v>
      </c>
      <c r="AA171" s="47" t="s">
        <v>659</v>
      </c>
      <c r="AB171" s="50">
        <v>1074</v>
      </c>
      <c r="AC171" s="60">
        <v>43329</v>
      </c>
      <c r="AD171" s="52">
        <v>81250000</v>
      </c>
      <c r="AE171" s="64"/>
      <c r="AF171" s="50">
        <v>0</v>
      </c>
      <c r="AG171" s="50">
        <v>0</v>
      </c>
      <c r="AH171" s="55">
        <v>0</v>
      </c>
      <c r="AI171" s="50">
        <v>0</v>
      </c>
      <c r="AJ171" s="50">
        <v>0</v>
      </c>
      <c r="AK171" s="64"/>
      <c r="AL171" s="55">
        <v>0</v>
      </c>
      <c r="AM171" s="55">
        <v>0</v>
      </c>
      <c r="AN171" s="64"/>
      <c r="AO171" s="64"/>
      <c r="AP171" s="64"/>
      <c r="AQ171" s="64"/>
      <c r="AR171" s="64"/>
      <c r="AS171" s="64"/>
      <c r="AT171" s="64"/>
      <c r="AU171" s="64"/>
      <c r="AV171" s="64"/>
      <c r="AW171" s="220"/>
    </row>
    <row r="172" spans="1:49" s="221" customFormat="1" ht="128.25" x14ac:dyDescent="0.25">
      <c r="A172" s="64">
        <f t="shared" si="10"/>
        <v>168</v>
      </c>
      <c r="B172" s="47" t="s">
        <v>660</v>
      </c>
      <c r="C172" s="123" t="s">
        <v>49</v>
      </c>
      <c r="D172" s="123" t="s">
        <v>50</v>
      </c>
      <c r="E172" s="123" t="s">
        <v>89</v>
      </c>
      <c r="F172" s="123" t="s">
        <v>52</v>
      </c>
      <c r="G172" s="123" t="s">
        <v>53</v>
      </c>
      <c r="H172" s="123" t="s">
        <v>54</v>
      </c>
      <c r="I172" s="123" t="s">
        <v>55</v>
      </c>
      <c r="J172" s="123" t="s">
        <v>56</v>
      </c>
      <c r="K172" s="123">
        <v>801116</v>
      </c>
      <c r="L172" s="123" t="s">
        <v>57</v>
      </c>
      <c r="M172" s="123" t="s">
        <v>58</v>
      </c>
      <c r="N172" s="123" t="s">
        <v>59</v>
      </c>
      <c r="O172" s="123" t="s">
        <v>60</v>
      </c>
      <c r="P172" s="47" t="s">
        <v>661</v>
      </c>
      <c r="Q172" s="64"/>
      <c r="R172" s="64"/>
      <c r="S172" s="73">
        <f>224607070-S173-S174-S175-S176-S177-S178-S179-S180-S181-S182-S183-S184</f>
        <v>2406887</v>
      </c>
      <c r="T172" s="64"/>
      <c r="U172" s="47"/>
      <c r="V172" s="64"/>
      <c r="W172" s="64"/>
      <c r="X172" s="64"/>
      <c r="Y172" s="64"/>
      <c r="Z172" s="64"/>
      <c r="AA172" s="64"/>
      <c r="AB172" s="50">
        <v>0</v>
      </c>
      <c r="AC172" s="64"/>
      <c r="AD172" s="52">
        <v>0</v>
      </c>
      <c r="AE172" s="64"/>
      <c r="AF172" s="50">
        <v>0</v>
      </c>
      <c r="AG172" s="50">
        <v>0</v>
      </c>
      <c r="AH172" s="55">
        <v>0</v>
      </c>
      <c r="AI172" s="50">
        <v>0</v>
      </c>
      <c r="AJ172" s="50">
        <v>0</v>
      </c>
      <c r="AK172" s="64"/>
      <c r="AL172" s="55">
        <v>0</v>
      </c>
      <c r="AM172" s="55">
        <v>0</v>
      </c>
      <c r="AN172" s="65"/>
      <c r="AO172" s="64"/>
      <c r="AP172" s="64"/>
      <c r="AQ172" s="64"/>
      <c r="AR172" s="64"/>
      <c r="AS172" s="64"/>
      <c r="AT172" s="64"/>
      <c r="AU172" s="64"/>
      <c r="AV172" s="64"/>
      <c r="AW172" s="220"/>
    </row>
    <row r="173" spans="1:49" s="221" customFormat="1" ht="228" x14ac:dyDescent="0.25">
      <c r="A173" s="64">
        <f t="shared" si="10"/>
        <v>169</v>
      </c>
      <c r="B173" s="47" t="s">
        <v>662</v>
      </c>
      <c r="C173" s="123" t="s">
        <v>49</v>
      </c>
      <c r="D173" s="123" t="s">
        <v>50</v>
      </c>
      <c r="E173" s="123" t="s">
        <v>89</v>
      </c>
      <c r="F173" s="123" t="s">
        <v>52</v>
      </c>
      <c r="G173" s="123" t="s">
        <v>53</v>
      </c>
      <c r="H173" s="123" t="s">
        <v>54</v>
      </c>
      <c r="I173" s="123" t="s">
        <v>55</v>
      </c>
      <c r="J173" s="123" t="s">
        <v>56</v>
      </c>
      <c r="K173" s="123">
        <v>80121606</v>
      </c>
      <c r="L173" s="123" t="s">
        <v>57</v>
      </c>
      <c r="M173" s="123" t="s">
        <v>58</v>
      </c>
      <c r="N173" s="123" t="s">
        <v>59</v>
      </c>
      <c r="O173" s="123" t="s">
        <v>60</v>
      </c>
      <c r="P173" s="58" t="s">
        <v>663</v>
      </c>
      <c r="Q173" s="69">
        <v>3399000</v>
      </c>
      <c r="R173" s="64">
        <v>1</v>
      </c>
      <c r="S173" s="73">
        <v>13029500</v>
      </c>
      <c r="T173" s="64" t="s">
        <v>63</v>
      </c>
      <c r="U173" s="47" t="s">
        <v>664</v>
      </c>
      <c r="V173" s="60">
        <v>43344</v>
      </c>
      <c r="W173" s="64">
        <v>3.5</v>
      </c>
      <c r="X173" s="64" t="s">
        <v>665</v>
      </c>
      <c r="Y173" s="60">
        <v>43340</v>
      </c>
      <c r="Z173" s="73">
        <v>13029500</v>
      </c>
      <c r="AA173" s="64" t="s">
        <v>660</v>
      </c>
      <c r="AB173" s="50">
        <v>1114</v>
      </c>
      <c r="AC173" s="60">
        <v>43341</v>
      </c>
      <c r="AD173" s="52">
        <v>13029500</v>
      </c>
      <c r="AE173" s="64"/>
      <c r="AF173" s="50">
        <v>2862</v>
      </c>
      <c r="AG173" s="51">
        <v>43356</v>
      </c>
      <c r="AH173" s="69">
        <v>13029500</v>
      </c>
      <c r="AI173" s="64" t="s">
        <v>666</v>
      </c>
      <c r="AJ173" s="50">
        <v>0</v>
      </c>
      <c r="AK173" s="64"/>
      <c r="AL173" s="55">
        <v>13029500</v>
      </c>
      <c r="AM173" s="69">
        <v>0</v>
      </c>
      <c r="AN173" s="69">
        <v>13029500</v>
      </c>
      <c r="AO173" s="64"/>
      <c r="AP173" s="64"/>
      <c r="AQ173" s="64"/>
      <c r="AR173" s="64"/>
      <c r="AS173" s="64"/>
      <c r="AT173" s="64"/>
      <c r="AU173" s="64"/>
      <c r="AV173" s="64"/>
      <c r="AW173" s="220"/>
    </row>
    <row r="174" spans="1:49" s="221" customFormat="1" ht="228" x14ac:dyDescent="0.25">
      <c r="A174" s="64">
        <f t="shared" si="10"/>
        <v>170</v>
      </c>
      <c r="B174" s="47" t="s">
        <v>667</v>
      </c>
      <c r="C174" s="123" t="s">
        <v>49</v>
      </c>
      <c r="D174" s="123" t="s">
        <v>50</v>
      </c>
      <c r="E174" s="123" t="s">
        <v>89</v>
      </c>
      <c r="F174" s="123" t="s">
        <v>52</v>
      </c>
      <c r="G174" s="123" t="s">
        <v>53</v>
      </c>
      <c r="H174" s="123" t="s">
        <v>54</v>
      </c>
      <c r="I174" s="123" t="s">
        <v>55</v>
      </c>
      <c r="J174" s="123" t="s">
        <v>56</v>
      </c>
      <c r="K174" s="123">
        <v>80121606</v>
      </c>
      <c r="L174" s="123" t="s">
        <v>57</v>
      </c>
      <c r="M174" s="123" t="s">
        <v>58</v>
      </c>
      <c r="N174" s="123" t="s">
        <v>59</v>
      </c>
      <c r="O174" s="123" t="s">
        <v>60</v>
      </c>
      <c r="P174" s="58" t="s">
        <v>663</v>
      </c>
      <c r="Q174" s="69">
        <v>4120000</v>
      </c>
      <c r="R174" s="64">
        <v>1</v>
      </c>
      <c r="S174" s="70">
        <v>15793333</v>
      </c>
      <c r="T174" s="64" t="s">
        <v>63</v>
      </c>
      <c r="U174" s="47" t="s">
        <v>664</v>
      </c>
      <c r="V174" s="60">
        <v>43344</v>
      </c>
      <c r="W174" s="64">
        <v>3.5</v>
      </c>
      <c r="X174" s="64" t="s">
        <v>668</v>
      </c>
      <c r="Y174" s="60">
        <v>43340</v>
      </c>
      <c r="Z174" s="70">
        <v>15793333</v>
      </c>
      <c r="AA174" s="64" t="s">
        <v>660</v>
      </c>
      <c r="AB174" s="50">
        <v>1115</v>
      </c>
      <c r="AC174" s="60">
        <v>43341</v>
      </c>
      <c r="AD174" s="52">
        <v>15793333</v>
      </c>
      <c r="AE174" s="64"/>
      <c r="AF174" s="50">
        <v>2870</v>
      </c>
      <c r="AG174" s="51">
        <v>43357</v>
      </c>
      <c r="AH174" s="69">
        <v>15793333</v>
      </c>
      <c r="AI174" s="64" t="s">
        <v>669</v>
      </c>
      <c r="AJ174" s="50">
        <v>0</v>
      </c>
      <c r="AK174" s="64"/>
      <c r="AL174" s="55">
        <v>15793333</v>
      </c>
      <c r="AM174" s="69">
        <v>0</v>
      </c>
      <c r="AN174" s="69">
        <v>15793333</v>
      </c>
      <c r="AO174" s="64"/>
      <c r="AP174" s="64"/>
      <c r="AQ174" s="64"/>
      <c r="AR174" s="64"/>
      <c r="AS174" s="64"/>
      <c r="AT174" s="64"/>
      <c r="AU174" s="64"/>
      <c r="AV174" s="64"/>
      <c r="AW174" s="220"/>
    </row>
    <row r="175" spans="1:49" s="221" customFormat="1" ht="228" x14ac:dyDescent="0.25">
      <c r="A175" s="64">
        <f t="shared" si="10"/>
        <v>171</v>
      </c>
      <c r="B175" s="47" t="s">
        <v>670</v>
      </c>
      <c r="C175" s="123" t="s">
        <v>49</v>
      </c>
      <c r="D175" s="123" t="s">
        <v>50</v>
      </c>
      <c r="E175" s="123" t="s">
        <v>89</v>
      </c>
      <c r="F175" s="123" t="s">
        <v>52</v>
      </c>
      <c r="G175" s="123" t="s">
        <v>53</v>
      </c>
      <c r="H175" s="123" t="s">
        <v>54</v>
      </c>
      <c r="I175" s="123" t="s">
        <v>55</v>
      </c>
      <c r="J175" s="123" t="s">
        <v>56</v>
      </c>
      <c r="K175" s="123">
        <v>80121606</v>
      </c>
      <c r="L175" s="123" t="s">
        <v>57</v>
      </c>
      <c r="M175" s="123" t="s">
        <v>58</v>
      </c>
      <c r="N175" s="123" t="s">
        <v>59</v>
      </c>
      <c r="O175" s="123" t="s">
        <v>60</v>
      </c>
      <c r="P175" s="58" t="s">
        <v>663</v>
      </c>
      <c r="Q175" s="69">
        <v>3553500</v>
      </c>
      <c r="R175" s="64">
        <v>1</v>
      </c>
      <c r="S175" s="70">
        <v>13621750</v>
      </c>
      <c r="T175" s="64" t="s">
        <v>63</v>
      </c>
      <c r="U175" s="47" t="s">
        <v>664</v>
      </c>
      <c r="V175" s="60">
        <v>43344</v>
      </c>
      <c r="W175" s="64">
        <v>3.5</v>
      </c>
      <c r="X175" s="64" t="s">
        <v>671</v>
      </c>
      <c r="Y175" s="60">
        <v>43340</v>
      </c>
      <c r="Z175" s="70">
        <v>13621750</v>
      </c>
      <c r="AA175" s="64" t="s">
        <v>660</v>
      </c>
      <c r="AB175" s="50">
        <v>1116</v>
      </c>
      <c r="AC175" s="60">
        <v>43341</v>
      </c>
      <c r="AD175" s="52">
        <v>13621750</v>
      </c>
      <c r="AE175" s="64"/>
      <c r="AF175" s="50">
        <v>2838</v>
      </c>
      <c r="AG175" s="51">
        <v>43353</v>
      </c>
      <c r="AH175" s="69">
        <v>13621750</v>
      </c>
      <c r="AI175" s="64" t="s">
        <v>672</v>
      </c>
      <c r="AJ175" s="50">
        <v>0</v>
      </c>
      <c r="AK175" s="64"/>
      <c r="AL175" s="55">
        <v>13621750</v>
      </c>
      <c r="AM175" s="69">
        <v>0</v>
      </c>
      <c r="AN175" s="69">
        <v>13621750</v>
      </c>
      <c r="AO175" s="64"/>
      <c r="AP175" s="64"/>
      <c r="AQ175" s="64"/>
      <c r="AR175" s="64"/>
      <c r="AS175" s="64"/>
      <c r="AT175" s="64"/>
      <c r="AU175" s="64"/>
      <c r="AV175" s="64"/>
      <c r="AW175" s="220"/>
    </row>
    <row r="176" spans="1:49" s="221" customFormat="1" ht="228" x14ac:dyDescent="0.25">
      <c r="A176" s="64">
        <f t="shared" si="10"/>
        <v>172</v>
      </c>
      <c r="B176" s="47" t="s">
        <v>673</v>
      </c>
      <c r="C176" s="123" t="s">
        <v>49</v>
      </c>
      <c r="D176" s="123" t="s">
        <v>50</v>
      </c>
      <c r="E176" s="123" t="s">
        <v>89</v>
      </c>
      <c r="F176" s="123" t="s">
        <v>52</v>
      </c>
      <c r="G176" s="123" t="s">
        <v>53</v>
      </c>
      <c r="H176" s="123" t="s">
        <v>54</v>
      </c>
      <c r="I176" s="123" t="s">
        <v>55</v>
      </c>
      <c r="J176" s="123" t="s">
        <v>56</v>
      </c>
      <c r="K176" s="123">
        <v>80121606</v>
      </c>
      <c r="L176" s="123" t="s">
        <v>57</v>
      </c>
      <c r="M176" s="123" t="s">
        <v>58</v>
      </c>
      <c r="N176" s="123" t="s">
        <v>59</v>
      </c>
      <c r="O176" s="123" t="s">
        <v>60</v>
      </c>
      <c r="P176" s="58" t="s">
        <v>663</v>
      </c>
      <c r="Q176" s="69">
        <v>4120000</v>
      </c>
      <c r="R176" s="64">
        <v>1</v>
      </c>
      <c r="S176" s="73">
        <v>15793333</v>
      </c>
      <c r="T176" s="64" t="s">
        <v>63</v>
      </c>
      <c r="U176" s="47" t="s">
        <v>664</v>
      </c>
      <c r="V176" s="60">
        <v>43344</v>
      </c>
      <c r="W176" s="64">
        <v>3.5</v>
      </c>
      <c r="X176" s="64" t="s">
        <v>674</v>
      </c>
      <c r="Y176" s="60">
        <v>43340</v>
      </c>
      <c r="Z176" s="70">
        <v>15793333</v>
      </c>
      <c r="AA176" s="64" t="s">
        <v>660</v>
      </c>
      <c r="AB176" s="50">
        <v>1119</v>
      </c>
      <c r="AC176" s="60">
        <v>43341</v>
      </c>
      <c r="AD176" s="52">
        <v>15793333</v>
      </c>
      <c r="AE176" s="64"/>
      <c r="AF176" s="50">
        <v>0</v>
      </c>
      <c r="AG176" s="50">
        <v>0</v>
      </c>
      <c r="AH176" s="55">
        <v>0</v>
      </c>
      <c r="AI176" s="50">
        <v>0</v>
      </c>
      <c r="AJ176" s="50">
        <v>0</v>
      </c>
      <c r="AK176" s="64"/>
      <c r="AL176" s="55">
        <v>0</v>
      </c>
      <c r="AM176" s="55">
        <v>0</v>
      </c>
      <c r="AN176" s="64"/>
      <c r="AO176" s="64"/>
      <c r="AP176" s="64"/>
      <c r="AQ176" s="64"/>
      <c r="AR176" s="64"/>
      <c r="AS176" s="64"/>
      <c r="AT176" s="64"/>
      <c r="AU176" s="64"/>
      <c r="AV176" s="64"/>
      <c r="AW176" s="220"/>
    </row>
    <row r="177" spans="1:49" s="221" customFormat="1" ht="228" x14ac:dyDescent="0.25">
      <c r="A177" s="64">
        <f t="shared" si="10"/>
        <v>173</v>
      </c>
      <c r="B177" s="47" t="s">
        <v>675</v>
      </c>
      <c r="C177" s="123" t="s">
        <v>49</v>
      </c>
      <c r="D177" s="123" t="s">
        <v>50</v>
      </c>
      <c r="E177" s="123" t="s">
        <v>89</v>
      </c>
      <c r="F177" s="123" t="s">
        <v>52</v>
      </c>
      <c r="G177" s="123" t="s">
        <v>53</v>
      </c>
      <c r="H177" s="123" t="s">
        <v>54</v>
      </c>
      <c r="I177" s="123" t="s">
        <v>55</v>
      </c>
      <c r="J177" s="123" t="s">
        <v>56</v>
      </c>
      <c r="K177" s="123">
        <v>80121606</v>
      </c>
      <c r="L177" s="123" t="s">
        <v>57</v>
      </c>
      <c r="M177" s="123" t="s">
        <v>58</v>
      </c>
      <c r="N177" s="123" t="s">
        <v>59</v>
      </c>
      <c r="O177" s="123" t="s">
        <v>60</v>
      </c>
      <c r="P177" s="58" t="s">
        <v>663</v>
      </c>
      <c r="Q177" s="69">
        <v>4120000</v>
      </c>
      <c r="R177" s="64">
        <v>1</v>
      </c>
      <c r="S177" s="70">
        <v>15793333</v>
      </c>
      <c r="T177" s="64" t="s">
        <v>63</v>
      </c>
      <c r="U177" s="47" t="s">
        <v>664</v>
      </c>
      <c r="V177" s="60">
        <v>43344</v>
      </c>
      <c r="W177" s="64">
        <v>3.5</v>
      </c>
      <c r="X177" s="64" t="s">
        <v>676</v>
      </c>
      <c r="Y177" s="60">
        <v>43340</v>
      </c>
      <c r="Z177" s="70">
        <v>15793333</v>
      </c>
      <c r="AA177" s="64" t="s">
        <v>660</v>
      </c>
      <c r="AB177" s="50">
        <v>1120</v>
      </c>
      <c r="AC177" s="60">
        <v>43341</v>
      </c>
      <c r="AD177" s="52">
        <v>15793333</v>
      </c>
      <c r="AE177" s="64"/>
      <c r="AF177" s="50">
        <v>0</v>
      </c>
      <c r="AG177" s="50">
        <v>0</v>
      </c>
      <c r="AH177" s="55">
        <v>0</v>
      </c>
      <c r="AI177" s="50">
        <v>0</v>
      </c>
      <c r="AJ177" s="50">
        <v>0</v>
      </c>
      <c r="AK177" s="64"/>
      <c r="AL177" s="55">
        <v>0</v>
      </c>
      <c r="AM177" s="55">
        <v>0</v>
      </c>
      <c r="AN177" s="64"/>
      <c r="AO177" s="64"/>
      <c r="AP177" s="64"/>
      <c r="AQ177" s="64"/>
      <c r="AR177" s="64"/>
      <c r="AS177" s="64"/>
      <c r="AT177" s="64"/>
      <c r="AU177" s="64"/>
      <c r="AV177" s="64"/>
      <c r="AW177" s="220"/>
    </row>
    <row r="178" spans="1:49" s="221" customFormat="1" ht="228" x14ac:dyDescent="0.25">
      <c r="A178" s="64">
        <f t="shared" si="10"/>
        <v>174</v>
      </c>
      <c r="B178" s="47" t="s">
        <v>677</v>
      </c>
      <c r="C178" s="123" t="s">
        <v>49</v>
      </c>
      <c r="D178" s="123" t="s">
        <v>50</v>
      </c>
      <c r="E178" s="123" t="s">
        <v>89</v>
      </c>
      <c r="F178" s="123" t="s">
        <v>52</v>
      </c>
      <c r="G178" s="123" t="s">
        <v>53</v>
      </c>
      <c r="H178" s="123" t="s">
        <v>54</v>
      </c>
      <c r="I178" s="123" t="s">
        <v>55</v>
      </c>
      <c r="J178" s="123" t="s">
        <v>56</v>
      </c>
      <c r="K178" s="123">
        <v>80121606</v>
      </c>
      <c r="L178" s="123" t="s">
        <v>57</v>
      </c>
      <c r="M178" s="123" t="s">
        <v>58</v>
      </c>
      <c r="N178" s="123" t="s">
        <v>59</v>
      </c>
      <c r="O178" s="123" t="s">
        <v>60</v>
      </c>
      <c r="P178" s="58" t="s">
        <v>663</v>
      </c>
      <c r="Q178" s="69">
        <v>4120000</v>
      </c>
      <c r="R178" s="64">
        <v>1</v>
      </c>
      <c r="S178" s="70">
        <v>15793333</v>
      </c>
      <c r="T178" s="64" t="s">
        <v>63</v>
      </c>
      <c r="U178" s="47" t="s">
        <v>664</v>
      </c>
      <c r="V178" s="60">
        <v>43344</v>
      </c>
      <c r="W178" s="64">
        <v>3.5</v>
      </c>
      <c r="X178" s="64" t="s">
        <v>678</v>
      </c>
      <c r="Y178" s="60">
        <v>43340</v>
      </c>
      <c r="Z178" s="70">
        <v>15793333</v>
      </c>
      <c r="AA178" s="64" t="s">
        <v>660</v>
      </c>
      <c r="AB178" s="50">
        <v>1118</v>
      </c>
      <c r="AC178" s="60">
        <v>43341</v>
      </c>
      <c r="AD178" s="52">
        <v>15793333</v>
      </c>
      <c r="AE178" s="64"/>
      <c r="AF178" s="50">
        <v>0</v>
      </c>
      <c r="AG178" s="50">
        <v>0</v>
      </c>
      <c r="AH178" s="55">
        <v>0</v>
      </c>
      <c r="AI178" s="50">
        <v>0</v>
      </c>
      <c r="AJ178" s="50">
        <v>0</v>
      </c>
      <c r="AK178" s="64"/>
      <c r="AL178" s="55">
        <v>0</v>
      </c>
      <c r="AM178" s="55">
        <v>0</v>
      </c>
      <c r="AN178" s="64"/>
      <c r="AO178" s="64"/>
      <c r="AP178" s="64"/>
      <c r="AQ178" s="64"/>
      <c r="AR178" s="64"/>
      <c r="AS178" s="64"/>
      <c r="AT178" s="64"/>
      <c r="AU178" s="64"/>
      <c r="AV178" s="64"/>
      <c r="AW178" s="220"/>
    </row>
    <row r="179" spans="1:49" s="221" customFormat="1" ht="228" x14ac:dyDescent="0.25">
      <c r="A179" s="64">
        <f t="shared" si="10"/>
        <v>175</v>
      </c>
      <c r="B179" s="47" t="s">
        <v>679</v>
      </c>
      <c r="C179" s="123" t="s">
        <v>49</v>
      </c>
      <c r="D179" s="123" t="s">
        <v>50</v>
      </c>
      <c r="E179" s="123" t="s">
        <v>89</v>
      </c>
      <c r="F179" s="123" t="s">
        <v>52</v>
      </c>
      <c r="G179" s="123" t="s">
        <v>53</v>
      </c>
      <c r="H179" s="123" t="s">
        <v>54</v>
      </c>
      <c r="I179" s="123" t="s">
        <v>55</v>
      </c>
      <c r="J179" s="123" t="s">
        <v>56</v>
      </c>
      <c r="K179" s="123">
        <v>80121606</v>
      </c>
      <c r="L179" s="123" t="s">
        <v>57</v>
      </c>
      <c r="M179" s="123" t="s">
        <v>58</v>
      </c>
      <c r="N179" s="123" t="s">
        <v>59</v>
      </c>
      <c r="O179" s="123" t="s">
        <v>60</v>
      </c>
      <c r="P179" s="58" t="s">
        <v>663</v>
      </c>
      <c r="Q179" s="69">
        <v>4120000</v>
      </c>
      <c r="R179" s="64">
        <v>1</v>
      </c>
      <c r="S179" s="70">
        <v>15793333</v>
      </c>
      <c r="T179" s="64" t="s">
        <v>63</v>
      </c>
      <c r="U179" s="47" t="s">
        <v>664</v>
      </c>
      <c r="V179" s="60">
        <v>43344</v>
      </c>
      <c r="W179" s="64">
        <v>3.5</v>
      </c>
      <c r="X179" s="64" t="s">
        <v>680</v>
      </c>
      <c r="Y179" s="60">
        <v>43340</v>
      </c>
      <c r="Z179" s="70">
        <v>15793333</v>
      </c>
      <c r="AA179" s="64" t="s">
        <v>660</v>
      </c>
      <c r="AB179" s="50">
        <v>1117</v>
      </c>
      <c r="AC179" s="60">
        <v>43341</v>
      </c>
      <c r="AD179" s="52">
        <v>15793333</v>
      </c>
      <c r="AE179" s="64"/>
      <c r="AF179" s="50">
        <v>0</v>
      </c>
      <c r="AG179" s="50">
        <v>0</v>
      </c>
      <c r="AH179" s="55">
        <v>0</v>
      </c>
      <c r="AI179" s="50">
        <v>0</v>
      </c>
      <c r="AJ179" s="50">
        <v>0</v>
      </c>
      <c r="AK179" s="64"/>
      <c r="AL179" s="55">
        <v>0</v>
      </c>
      <c r="AM179" s="55">
        <v>0</v>
      </c>
      <c r="AN179" s="64"/>
      <c r="AO179" s="64"/>
      <c r="AP179" s="64"/>
      <c r="AQ179" s="64"/>
      <c r="AR179" s="64"/>
      <c r="AS179" s="64"/>
      <c r="AT179" s="64"/>
      <c r="AU179" s="64"/>
      <c r="AV179" s="64"/>
      <c r="AW179" s="220"/>
    </row>
    <row r="180" spans="1:49" s="221" customFormat="1" ht="228" x14ac:dyDescent="0.25">
      <c r="A180" s="64">
        <f t="shared" si="10"/>
        <v>176</v>
      </c>
      <c r="B180" s="47" t="s">
        <v>681</v>
      </c>
      <c r="C180" s="123" t="s">
        <v>49</v>
      </c>
      <c r="D180" s="123" t="s">
        <v>50</v>
      </c>
      <c r="E180" s="123" t="s">
        <v>89</v>
      </c>
      <c r="F180" s="123" t="s">
        <v>52</v>
      </c>
      <c r="G180" s="123" t="s">
        <v>53</v>
      </c>
      <c r="H180" s="123" t="s">
        <v>54</v>
      </c>
      <c r="I180" s="123" t="s">
        <v>55</v>
      </c>
      <c r="J180" s="123" t="s">
        <v>56</v>
      </c>
      <c r="K180" s="123">
        <v>80121606</v>
      </c>
      <c r="L180" s="123" t="s">
        <v>57</v>
      </c>
      <c r="M180" s="123" t="s">
        <v>58</v>
      </c>
      <c r="N180" s="123" t="s">
        <v>59</v>
      </c>
      <c r="O180" s="123" t="s">
        <v>60</v>
      </c>
      <c r="P180" s="58" t="s">
        <v>682</v>
      </c>
      <c r="Q180" s="69">
        <v>5036700</v>
      </c>
      <c r="R180" s="64">
        <v>1</v>
      </c>
      <c r="S180" s="70">
        <v>15110100</v>
      </c>
      <c r="T180" s="64" t="s">
        <v>63</v>
      </c>
      <c r="U180" s="47" t="s">
        <v>664</v>
      </c>
      <c r="V180" s="60">
        <v>43344</v>
      </c>
      <c r="W180" s="64">
        <v>3.5</v>
      </c>
      <c r="X180" s="58" t="s">
        <v>683</v>
      </c>
      <c r="Y180" s="60">
        <v>43340</v>
      </c>
      <c r="Z180" s="70">
        <v>15110100</v>
      </c>
      <c r="AA180" s="64" t="s">
        <v>684</v>
      </c>
      <c r="AB180" s="50">
        <v>1159</v>
      </c>
      <c r="AC180" s="60">
        <v>43360</v>
      </c>
      <c r="AD180" s="52">
        <v>15110100</v>
      </c>
      <c r="AE180" s="64"/>
      <c r="AF180" s="50">
        <v>2931</v>
      </c>
      <c r="AG180" s="51">
        <v>43369</v>
      </c>
      <c r="AH180" s="69">
        <v>15110100</v>
      </c>
      <c r="AI180" s="64" t="s">
        <v>685</v>
      </c>
      <c r="AJ180" s="50">
        <v>0</v>
      </c>
      <c r="AK180" s="64"/>
      <c r="AL180" s="55">
        <v>15110100</v>
      </c>
      <c r="AM180" s="69">
        <v>0</v>
      </c>
      <c r="AN180" s="69">
        <v>15110100</v>
      </c>
      <c r="AO180" s="64"/>
      <c r="AP180" s="64"/>
      <c r="AQ180" s="64"/>
      <c r="AR180" s="64"/>
      <c r="AS180" s="64"/>
      <c r="AT180" s="64"/>
      <c r="AU180" s="64"/>
      <c r="AV180" s="64"/>
      <c r="AW180" s="220"/>
    </row>
    <row r="181" spans="1:49" s="221" customFormat="1" ht="285" x14ac:dyDescent="0.25">
      <c r="A181" s="64">
        <f t="shared" si="10"/>
        <v>177</v>
      </c>
      <c r="B181" s="47" t="s">
        <v>686</v>
      </c>
      <c r="C181" s="123" t="s">
        <v>49</v>
      </c>
      <c r="D181" s="123" t="s">
        <v>50</v>
      </c>
      <c r="E181" s="123" t="s">
        <v>89</v>
      </c>
      <c r="F181" s="123" t="s">
        <v>52</v>
      </c>
      <c r="G181" s="123" t="s">
        <v>53</v>
      </c>
      <c r="H181" s="123" t="s">
        <v>54</v>
      </c>
      <c r="I181" s="123" t="s">
        <v>55</v>
      </c>
      <c r="J181" s="123" t="s">
        <v>56</v>
      </c>
      <c r="K181" s="123">
        <v>80101603</v>
      </c>
      <c r="L181" s="123" t="s">
        <v>57</v>
      </c>
      <c r="M181" s="123" t="s">
        <v>449</v>
      </c>
      <c r="N181" s="123" t="s">
        <v>450</v>
      </c>
      <c r="O181" s="123" t="s">
        <v>451</v>
      </c>
      <c r="P181" s="58" t="s">
        <v>687</v>
      </c>
      <c r="Q181" s="69">
        <v>8240000</v>
      </c>
      <c r="R181" s="64">
        <v>1</v>
      </c>
      <c r="S181" s="70">
        <v>31586667</v>
      </c>
      <c r="T181" s="64" t="s">
        <v>63</v>
      </c>
      <c r="U181" s="47" t="s">
        <v>664</v>
      </c>
      <c r="V181" s="60">
        <v>43344</v>
      </c>
      <c r="W181" s="64">
        <v>3.5</v>
      </c>
      <c r="X181" s="64" t="s">
        <v>688</v>
      </c>
      <c r="Y181" s="60">
        <v>43340</v>
      </c>
      <c r="Z181" s="70">
        <v>31586667</v>
      </c>
      <c r="AA181" s="64" t="s">
        <v>660</v>
      </c>
      <c r="AB181" s="50">
        <v>1112</v>
      </c>
      <c r="AC181" s="60">
        <v>43341</v>
      </c>
      <c r="AD181" s="52">
        <v>31586667</v>
      </c>
      <c r="AE181" s="64"/>
      <c r="AF181" s="50">
        <v>0</v>
      </c>
      <c r="AG181" s="50">
        <v>0</v>
      </c>
      <c r="AH181" s="55">
        <v>0</v>
      </c>
      <c r="AI181" s="50">
        <v>0</v>
      </c>
      <c r="AJ181" s="50">
        <v>0</v>
      </c>
      <c r="AK181" s="64"/>
      <c r="AL181" s="55">
        <v>0</v>
      </c>
      <c r="AM181" s="55">
        <v>0</v>
      </c>
      <c r="AN181" s="64"/>
      <c r="AO181" s="64"/>
      <c r="AP181" s="64"/>
      <c r="AQ181" s="64"/>
      <c r="AR181" s="64"/>
      <c r="AS181" s="64"/>
      <c r="AT181" s="64"/>
      <c r="AU181" s="64"/>
      <c r="AV181" s="64"/>
      <c r="AW181" s="220"/>
    </row>
    <row r="182" spans="1:49" s="221" customFormat="1" ht="342" x14ac:dyDescent="0.25">
      <c r="A182" s="64">
        <f t="shared" si="10"/>
        <v>178</v>
      </c>
      <c r="B182" s="47" t="s">
        <v>689</v>
      </c>
      <c r="C182" s="123" t="s">
        <v>49</v>
      </c>
      <c r="D182" s="123" t="s">
        <v>50</v>
      </c>
      <c r="E182" s="123" t="s">
        <v>89</v>
      </c>
      <c r="F182" s="123" t="s">
        <v>52</v>
      </c>
      <c r="G182" s="123" t="s">
        <v>53</v>
      </c>
      <c r="H182" s="123" t="s">
        <v>54</v>
      </c>
      <c r="I182" s="123" t="s">
        <v>55</v>
      </c>
      <c r="J182" s="123" t="s">
        <v>56</v>
      </c>
      <c r="K182" s="123">
        <v>80121606</v>
      </c>
      <c r="L182" s="123" t="s">
        <v>57</v>
      </c>
      <c r="M182" s="123" t="s">
        <v>690</v>
      </c>
      <c r="N182" s="123" t="s">
        <v>691</v>
      </c>
      <c r="O182" s="123" t="s">
        <v>692</v>
      </c>
      <c r="P182" s="58" t="s">
        <v>693</v>
      </c>
      <c r="Q182" s="69">
        <v>8240000</v>
      </c>
      <c r="R182" s="64">
        <v>1</v>
      </c>
      <c r="S182" s="70">
        <v>31586667</v>
      </c>
      <c r="T182" s="64" t="s">
        <v>63</v>
      </c>
      <c r="U182" s="47" t="s">
        <v>664</v>
      </c>
      <c r="V182" s="60">
        <v>43344</v>
      </c>
      <c r="W182" s="64">
        <v>3.5</v>
      </c>
      <c r="X182" s="64" t="s">
        <v>694</v>
      </c>
      <c r="Y182" s="60">
        <v>43340</v>
      </c>
      <c r="Z182" s="70">
        <v>31586667</v>
      </c>
      <c r="AA182" s="64" t="s">
        <v>660</v>
      </c>
      <c r="AB182" s="50">
        <v>1111</v>
      </c>
      <c r="AC182" s="60">
        <v>43341</v>
      </c>
      <c r="AD182" s="52">
        <v>31586667</v>
      </c>
      <c r="AE182" s="64"/>
      <c r="AF182" s="50">
        <v>0</v>
      </c>
      <c r="AG182" s="50">
        <v>0</v>
      </c>
      <c r="AH182" s="55">
        <v>0</v>
      </c>
      <c r="AI182" s="50">
        <v>0</v>
      </c>
      <c r="AJ182" s="50">
        <v>0</v>
      </c>
      <c r="AK182" s="64"/>
      <c r="AL182" s="55">
        <v>0</v>
      </c>
      <c r="AM182" s="55">
        <v>0</v>
      </c>
      <c r="AN182" s="64"/>
      <c r="AO182" s="64"/>
      <c r="AP182" s="64"/>
      <c r="AQ182" s="64"/>
      <c r="AR182" s="64"/>
      <c r="AS182" s="64"/>
      <c r="AT182" s="64"/>
      <c r="AU182" s="64"/>
      <c r="AV182" s="64"/>
      <c r="AW182" s="220"/>
    </row>
    <row r="183" spans="1:49" s="221" customFormat="1" ht="342" x14ac:dyDescent="0.25">
      <c r="A183" s="64">
        <f t="shared" si="10"/>
        <v>179</v>
      </c>
      <c r="B183" s="47" t="s">
        <v>695</v>
      </c>
      <c r="C183" s="123" t="s">
        <v>49</v>
      </c>
      <c r="D183" s="123" t="s">
        <v>50</v>
      </c>
      <c r="E183" s="123" t="s">
        <v>89</v>
      </c>
      <c r="F183" s="123" t="s">
        <v>52</v>
      </c>
      <c r="G183" s="123" t="s">
        <v>53</v>
      </c>
      <c r="H183" s="123" t="s">
        <v>54</v>
      </c>
      <c r="I183" s="123" t="s">
        <v>55</v>
      </c>
      <c r="J183" s="123" t="s">
        <v>56</v>
      </c>
      <c r="K183" s="123">
        <v>80121606</v>
      </c>
      <c r="L183" s="123" t="s">
        <v>57</v>
      </c>
      <c r="M183" s="123" t="s">
        <v>696</v>
      </c>
      <c r="N183" s="123" t="s">
        <v>697</v>
      </c>
      <c r="O183" s="123" t="s">
        <v>698</v>
      </c>
      <c r="P183" s="58" t="s">
        <v>693</v>
      </c>
      <c r="Q183" s="69">
        <v>8240000</v>
      </c>
      <c r="R183" s="64">
        <v>1</v>
      </c>
      <c r="S183" s="70">
        <v>31586667</v>
      </c>
      <c r="T183" s="64" t="s">
        <v>63</v>
      </c>
      <c r="U183" s="47" t="s">
        <v>664</v>
      </c>
      <c r="V183" s="60">
        <v>43344</v>
      </c>
      <c r="W183" s="64">
        <v>3.5</v>
      </c>
      <c r="X183" s="64" t="s">
        <v>699</v>
      </c>
      <c r="Y183" s="60">
        <v>43340</v>
      </c>
      <c r="Z183" s="70">
        <v>31586667</v>
      </c>
      <c r="AA183" s="64" t="s">
        <v>660</v>
      </c>
      <c r="AB183" s="50">
        <v>1113</v>
      </c>
      <c r="AC183" s="60">
        <v>43341</v>
      </c>
      <c r="AD183" s="52">
        <v>31586667</v>
      </c>
      <c r="AE183" s="64"/>
      <c r="AF183" s="50">
        <v>0</v>
      </c>
      <c r="AG183" s="50">
        <v>0</v>
      </c>
      <c r="AH183" s="55">
        <v>0</v>
      </c>
      <c r="AI183" s="50">
        <v>0</v>
      </c>
      <c r="AJ183" s="50">
        <v>0</v>
      </c>
      <c r="AK183" s="64"/>
      <c r="AL183" s="55">
        <v>0</v>
      </c>
      <c r="AM183" s="55">
        <v>0</v>
      </c>
      <c r="AN183" s="64"/>
      <c r="AO183" s="64"/>
      <c r="AP183" s="64"/>
      <c r="AQ183" s="64"/>
      <c r="AR183" s="64"/>
      <c r="AS183" s="64"/>
      <c r="AT183" s="64"/>
      <c r="AU183" s="64"/>
      <c r="AV183" s="64"/>
      <c r="AW183" s="220"/>
    </row>
    <row r="184" spans="1:49" s="221" customFormat="1" ht="313.5" x14ac:dyDescent="0.25">
      <c r="A184" s="64">
        <f t="shared" si="10"/>
        <v>180</v>
      </c>
      <c r="B184" s="47" t="s">
        <v>700</v>
      </c>
      <c r="C184" s="123" t="s">
        <v>49</v>
      </c>
      <c r="D184" s="123" t="s">
        <v>50</v>
      </c>
      <c r="E184" s="123" t="s">
        <v>89</v>
      </c>
      <c r="F184" s="123" t="s">
        <v>52</v>
      </c>
      <c r="G184" s="123" t="s">
        <v>53</v>
      </c>
      <c r="H184" s="123" t="s">
        <v>54</v>
      </c>
      <c r="I184" s="123" t="s">
        <v>55</v>
      </c>
      <c r="J184" s="123" t="s">
        <v>56</v>
      </c>
      <c r="K184" s="123">
        <v>80161506</v>
      </c>
      <c r="L184" s="123" t="s">
        <v>57</v>
      </c>
      <c r="M184" s="123" t="s">
        <v>701</v>
      </c>
      <c r="N184" s="123" t="s">
        <v>702</v>
      </c>
      <c r="O184" s="123" t="s">
        <v>703</v>
      </c>
      <c r="P184" s="58" t="s">
        <v>704</v>
      </c>
      <c r="Q184" s="69">
        <v>1751000</v>
      </c>
      <c r="R184" s="64">
        <v>1</v>
      </c>
      <c r="S184" s="70">
        <v>6712167</v>
      </c>
      <c r="T184" s="64" t="s">
        <v>63</v>
      </c>
      <c r="U184" s="47" t="s">
        <v>664</v>
      </c>
      <c r="V184" s="60">
        <v>43344</v>
      </c>
      <c r="W184" s="64">
        <v>3.5</v>
      </c>
      <c r="X184" s="64" t="s">
        <v>705</v>
      </c>
      <c r="Y184" s="60">
        <v>43340</v>
      </c>
      <c r="Z184" s="70">
        <v>6712167</v>
      </c>
      <c r="AA184" s="64" t="s">
        <v>660</v>
      </c>
      <c r="AB184" s="50">
        <v>1122</v>
      </c>
      <c r="AC184" s="60">
        <v>43341</v>
      </c>
      <c r="AD184" s="52">
        <v>6712167</v>
      </c>
      <c r="AE184" s="64"/>
      <c r="AF184" s="50">
        <v>0</v>
      </c>
      <c r="AG184" s="50">
        <v>0</v>
      </c>
      <c r="AH184" s="55">
        <v>0</v>
      </c>
      <c r="AI184" s="50">
        <v>0</v>
      </c>
      <c r="AJ184" s="50">
        <v>0</v>
      </c>
      <c r="AK184" s="64"/>
      <c r="AL184" s="55">
        <v>0</v>
      </c>
      <c r="AM184" s="55">
        <v>0</v>
      </c>
      <c r="AN184" s="64"/>
      <c r="AO184" s="64"/>
      <c r="AP184" s="64"/>
      <c r="AQ184" s="64"/>
      <c r="AR184" s="64"/>
      <c r="AS184" s="64"/>
      <c r="AT184" s="64"/>
      <c r="AU184" s="64"/>
      <c r="AV184" s="64"/>
      <c r="AW184" s="220"/>
    </row>
    <row r="185" spans="1:49" s="221" customFormat="1" ht="128.25" x14ac:dyDescent="0.25">
      <c r="A185" s="64">
        <f t="shared" si="10"/>
        <v>181</v>
      </c>
      <c r="B185" s="47" t="s">
        <v>706</v>
      </c>
      <c r="C185" s="123" t="s">
        <v>49</v>
      </c>
      <c r="D185" s="63" t="s">
        <v>50</v>
      </c>
      <c r="E185" s="63" t="s">
        <v>390</v>
      </c>
      <c r="F185" s="63" t="s">
        <v>52</v>
      </c>
      <c r="G185" s="63" t="s">
        <v>53</v>
      </c>
      <c r="H185" s="63" t="s">
        <v>54</v>
      </c>
      <c r="I185" s="63" t="s">
        <v>55</v>
      </c>
      <c r="J185" s="63" t="s">
        <v>56</v>
      </c>
      <c r="K185" s="63">
        <v>801116</v>
      </c>
      <c r="L185" s="126" t="s">
        <v>57</v>
      </c>
      <c r="M185" s="47" t="s">
        <v>58</v>
      </c>
      <c r="N185" s="47" t="s">
        <v>59</v>
      </c>
      <c r="O185" s="125" t="s">
        <v>60</v>
      </c>
      <c r="P185" s="47" t="s">
        <v>483</v>
      </c>
      <c r="Q185" s="50">
        <v>0</v>
      </c>
      <c r="R185" s="50">
        <v>0</v>
      </c>
      <c r="S185" s="44">
        <v>8737140</v>
      </c>
      <c r="T185" s="48" t="s">
        <v>63</v>
      </c>
      <c r="U185" s="47" t="s">
        <v>63</v>
      </c>
      <c r="V185" s="60" t="s">
        <v>441</v>
      </c>
      <c r="W185" s="48">
        <v>2</v>
      </c>
      <c r="X185" s="64"/>
      <c r="Y185" s="64"/>
      <c r="Z185" s="64"/>
      <c r="AA185" s="64"/>
      <c r="AB185" s="50">
        <v>0</v>
      </c>
      <c r="AC185" s="64"/>
      <c r="AD185" s="52">
        <v>0</v>
      </c>
      <c r="AE185" s="64"/>
      <c r="AF185" s="50">
        <v>0</v>
      </c>
      <c r="AG185" s="50">
        <v>0</v>
      </c>
      <c r="AH185" s="55">
        <v>0</v>
      </c>
      <c r="AI185" s="50">
        <v>0</v>
      </c>
      <c r="AJ185" s="50">
        <v>0</v>
      </c>
      <c r="AK185" s="64"/>
      <c r="AL185" s="55">
        <v>0</v>
      </c>
      <c r="AM185" s="55">
        <v>0</v>
      </c>
      <c r="AN185" s="64"/>
      <c r="AO185" s="58" t="s">
        <v>67</v>
      </c>
      <c r="AP185" s="64"/>
      <c r="AQ185" s="64"/>
      <c r="AR185" s="64"/>
      <c r="AS185" s="64"/>
      <c r="AT185" s="64"/>
      <c r="AU185" s="64"/>
      <c r="AV185" s="64"/>
      <c r="AW185" s="220"/>
    </row>
    <row r="186" spans="1:49" s="221" customFormat="1" ht="228" x14ac:dyDescent="0.25">
      <c r="A186" s="64">
        <f t="shared" si="10"/>
        <v>182</v>
      </c>
      <c r="B186" s="47" t="s">
        <v>707</v>
      </c>
      <c r="C186" s="123" t="s">
        <v>49</v>
      </c>
      <c r="D186" s="63" t="s">
        <v>50</v>
      </c>
      <c r="E186" s="63" t="s">
        <v>390</v>
      </c>
      <c r="F186" s="123" t="s">
        <v>577</v>
      </c>
      <c r="G186" s="123" t="s">
        <v>708</v>
      </c>
      <c r="H186" s="123" t="s">
        <v>709</v>
      </c>
      <c r="I186" s="123" t="s">
        <v>710</v>
      </c>
      <c r="J186" s="123" t="s">
        <v>711</v>
      </c>
      <c r="K186" s="64"/>
      <c r="L186" s="64"/>
      <c r="M186" s="64"/>
      <c r="N186" s="64"/>
      <c r="O186" s="64"/>
      <c r="P186" s="47" t="s">
        <v>712</v>
      </c>
      <c r="Q186" s="69"/>
      <c r="R186" s="64"/>
      <c r="S186" s="70">
        <v>2900000000</v>
      </c>
      <c r="T186" s="64"/>
      <c r="U186" s="47"/>
      <c r="V186" s="64"/>
      <c r="W186" s="64"/>
      <c r="X186" s="64"/>
      <c r="Y186" s="64"/>
      <c r="Z186" s="70"/>
      <c r="AA186" s="64"/>
      <c r="AB186" s="64"/>
      <c r="AC186" s="64"/>
      <c r="AD186" s="52"/>
      <c r="AE186" s="64"/>
      <c r="AF186" s="64"/>
      <c r="AG186" s="64"/>
      <c r="AH186" s="69"/>
      <c r="AI186" s="64"/>
      <c r="AJ186" s="64"/>
      <c r="AK186" s="64"/>
      <c r="AL186" s="69"/>
      <c r="AM186" s="69"/>
      <c r="AN186" s="64"/>
      <c r="AO186" s="64"/>
      <c r="AP186" s="64"/>
      <c r="AQ186" s="64"/>
      <c r="AR186" s="64"/>
      <c r="AS186" s="64"/>
      <c r="AT186" s="64"/>
      <c r="AU186" s="64"/>
      <c r="AV186" s="64"/>
      <c r="AW186" s="220"/>
    </row>
    <row r="187" spans="1:49" s="221" customFormat="1" x14ac:dyDescent="0.25">
      <c r="A187" s="220"/>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row>
    <row r="188" spans="1:49" s="221" customFormat="1" ht="399" x14ac:dyDescent="0.25">
      <c r="A188" s="63">
        <v>1</v>
      </c>
      <c r="B188" s="128" t="str">
        <f>+CONCATENATE("208-",A188)</f>
        <v>208-1</v>
      </c>
      <c r="C188" s="129" t="s">
        <v>713</v>
      </c>
      <c r="D188" s="130" t="s">
        <v>714</v>
      </c>
      <c r="E188" s="131" t="s">
        <v>715</v>
      </c>
      <c r="F188" s="132" t="s">
        <v>577</v>
      </c>
      <c r="G188" s="131" t="s">
        <v>716</v>
      </c>
      <c r="H188" s="132" t="s">
        <v>717</v>
      </c>
      <c r="I188" s="133" t="s">
        <v>718</v>
      </c>
      <c r="J188" s="111" t="s">
        <v>719</v>
      </c>
      <c r="K188" s="133"/>
      <c r="L188" s="111" t="s">
        <v>720</v>
      </c>
      <c r="M188" s="111" t="s">
        <v>58</v>
      </c>
      <c r="N188" s="111" t="s">
        <v>59</v>
      </c>
      <c r="O188" s="111" t="s">
        <v>721</v>
      </c>
      <c r="P188" s="226" t="s">
        <v>722</v>
      </c>
      <c r="Q188" s="134">
        <f>(S188/W188)/R188</f>
        <v>0</v>
      </c>
      <c r="R188" s="135">
        <v>25</v>
      </c>
      <c r="S188" s="136">
        <f>1718514000-535027112-646972888-536514000</f>
        <v>0</v>
      </c>
      <c r="T188" s="137"/>
      <c r="U188" s="128" t="s">
        <v>723</v>
      </c>
      <c r="V188" s="138" t="s">
        <v>724</v>
      </c>
      <c r="W188" s="139">
        <v>5</v>
      </c>
      <c r="X188" s="133"/>
      <c r="Y188" s="63"/>
      <c r="Z188" s="150"/>
      <c r="AA188" s="140"/>
      <c r="AB188" s="141"/>
      <c r="AC188" s="142"/>
      <c r="AD188" s="143"/>
      <c r="AE188" s="143">
        <f t="shared" ref="AE188:AE251" si="12">S188-AD188</f>
        <v>0</v>
      </c>
      <c r="AF188" s="133"/>
      <c r="AG188" s="85"/>
      <c r="AH188" s="143"/>
      <c r="AI188" s="63"/>
      <c r="AJ188" s="63"/>
      <c r="AK188" s="143">
        <f t="shared" ref="AK188:AK195" si="13">AD188-AH188</f>
        <v>0</v>
      </c>
      <c r="AL188" s="143"/>
      <c r="AM188" s="143">
        <f t="shared" ref="AM188:AM251" si="14">AH188-AL188</f>
        <v>0</v>
      </c>
      <c r="AN188" s="133"/>
      <c r="AO188" s="144">
        <f t="shared" ref="AO188:AO251" si="15">S188-AH188</f>
        <v>0</v>
      </c>
      <c r="AP188" s="133"/>
      <c r="AQ188" s="133"/>
      <c r="AR188" s="133"/>
      <c r="AS188" s="133"/>
      <c r="AT188" s="133"/>
      <c r="AU188" s="220"/>
      <c r="AV188" s="220"/>
      <c r="AW188" s="220"/>
    </row>
    <row r="189" spans="1:49" s="221" customFormat="1" ht="370.5" x14ac:dyDescent="0.25">
      <c r="A189" s="63">
        <f>A188+1</f>
        <v>2</v>
      </c>
      <c r="B189" s="128" t="str">
        <f t="shared" ref="B189:B252" si="16">+CONCATENATE("208-",A189)</f>
        <v>208-2</v>
      </c>
      <c r="C189" s="129" t="s">
        <v>713</v>
      </c>
      <c r="D189" s="130" t="s">
        <v>714</v>
      </c>
      <c r="E189" s="145" t="s">
        <v>725</v>
      </c>
      <c r="F189" s="132" t="s">
        <v>577</v>
      </c>
      <c r="G189" s="131" t="s">
        <v>716</v>
      </c>
      <c r="H189" s="132" t="s">
        <v>717</v>
      </c>
      <c r="I189" s="133" t="s">
        <v>718</v>
      </c>
      <c r="J189" s="111" t="s">
        <v>719</v>
      </c>
      <c r="K189" s="133"/>
      <c r="L189" s="111" t="s">
        <v>720</v>
      </c>
      <c r="M189" s="111" t="s">
        <v>58</v>
      </c>
      <c r="N189" s="111" t="s">
        <v>59</v>
      </c>
      <c r="O189" s="111" t="s">
        <v>721</v>
      </c>
      <c r="P189" s="227" t="s">
        <v>726</v>
      </c>
      <c r="Q189" s="134">
        <f t="shared" ref="Q189:Q252" si="17">(S189/W189)/R189</f>
        <v>0</v>
      </c>
      <c r="R189" s="146">
        <v>18</v>
      </c>
      <c r="S189" s="136">
        <f>5209867000-19967239-1248396593-1509603406-331596631-90752820-1+536514000-1349744175-1006623485-189696650</f>
        <v>0</v>
      </c>
      <c r="T189" s="137"/>
      <c r="U189" s="128" t="s">
        <v>723</v>
      </c>
      <c r="V189" s="138" t="s">
        <v>724</v>
      </c>
      <c r="W189" s="147">
        <v>7</v>
      </c>
      <c r="X189" s="133"/>
      <c r="Y189" s="63"/>
      <c r="Z189" s="150"/>
      <c r="AA189" s="140"/>
      <c r="AB189" s="141"/>
      <c r="AC189" s="142"/>
      <c r="AD189" s="143"/>
      <c r="AE189" s="143">
        <f t="shared" si="12"/>
        <v>0</v>
      </c>
      <c r="AF189" s="133"/>
      <c r="AG189" s="85"/>
      <c r="AH189" s="143"/>
      <c r="AI189" s="63"/>
      <c r="AJ189" s="63"/>
      <c r="AK189" s="143">
        <f t="shared" si="13"/>
        <v>0</v>
      </c>
      <c r="AL189" s="143"/>
      <c r="AM189" s="143">
        <f t="shared" si="14"/>
        <v>0</v>
      </c>
      <c r="AN189" s="133"/>
      <c r="AO189" s="144">
        <f t="shared" si="15"/>
        <v>0</v>
      </c>
      <c r="AP189" s="133"/>
      <c r="AQ189" s="133"/>
      <c r="AR189" s="133"/>
      <c r="AS189" s="133"/>
      <c r="AT189" s="133"/>
      <c r="AU189" s="220"/>
      <c r="AV189" s="220"/>
      <c r="AW189" s="220"/>
    </row>
    <row r="190" spans="1:49" s="221" customFormat="1" ht="399" x14ac:dyDescent="0.25">
      <c r="A190" s="63">
        <f t="shared" ref="A190:A253" si="18">A189+1</f>
        <v>3</v>
      </c>
      <c r="B190" s="128" t="str">
        <f t="shared" si="16"/>
        <v>208-3</v>
      </c>
      <c r="C190" s="129" t="s">
        <v>713</v>
      </c>
      <c r="D190" s="130" t="s">
        <v>714</v>
      </c>
      <c r="E190" s="131" t="s">
        <v>715</v>
      </c>
      <c r="F190" s="111" t="s">
        <v>425</v>
      </c>
      <c r="G190" s="145" t="s">
        <v>727</v>
      </c>
      <c r="H190" s="111" t="s">
        <v>427</v>
      </c>
      <c r="I190" s="111" t="s">
        <v>55</v>
      </c>
      <c r="J190" s="111" t="s">
        <v>56</v>
      </c>
      <c r="K190" s="63">
        <v>801116</v>
      </c>
      <c r="L190" s="111" t="s">
        <v>720</v>
      </c>
      <c r="M190" s="111" t="s">
        <v>58</v>
      </c>
      <c r="N190" s="111" t="s">
        <v>59</v>
      </c>
      <c r="O190" s="111" t="s">
        <v>728</v>
      </c>
      <c r="P190" s="227" t="s">
        <v>729</v>
      </c>
      <c r="Q190" s="134">
        <f t="shared" si="17"/>
        <v>421875</v>
      </c>
      <c r="R190" s="146">
        <v>1</v>
      </c>
      <c r="S190" s="136">
        <f>24375000-21000000</f>
        <v>3375000</v>
      </c>
      <c r="T190" s="137"/>
      <c r="U190" s="148" t="s">
        <v>730</v>
      </c>
      <c r="V190" s="148" t="s">
        <v>411</v>
      </c>
      <c r="W190" s="147">
        <v>8</v>
      </c>
      <c r="X190" s="133"/>
      <c r="Y190" s="81"/>
      <c r="Z190" s="156"/>
      <c r="AA190" s="140"/>
      <c r="AB190" s="141"/>
      <c r="AC190" s="142"/>
      <c r="AD190" s="143"/>
      <c r="AE190" s="143">
        <f t="shared" si="12"/>
        <v>3375000</v>
      </c>
      <c r="AF190" s="133"/>
      <c r="AG190" s="85"/>
      <c r="AH190" s="143"/>
      <c r="AI190" s="63"/>
      <c r="AJ190" s="63"/>
      <c r="AK190" s="143">
        <f t="shared" si="13"/>
        <v>0</v>
      </c>
      <c r="AL190" s="143"/>
      <c r="AM190" s="143">
        <f t="shared" si="14"/>
        <v>0</v>
      </c>
      <c r="AN190" s="133"/>
      <c r="AO190" s="144">
        <f t="shared" si="15"/>
        <v>3375000</v>
      </c>
      <c r="AP190" s="133"/>
      <c r="AQ190" s="133"/>
      <c r="AR190" s="133"/>
      <c r="AS190" s="133"/>
      <c r="AT190" s="133"/>
      <c r="AU190" s="220"/>
      <c r="AV190" s="220"/>
      <c r="AW190" s="220"/>
    </row>
    <row r="191" spans="1:49" s="221" customFormat="1" ht="370.5" x14ac:dyDescent="0.25">
      <c r="A191" s="63">
        <f t="shared" si="18"/>
        <v>4</v>
      </c>
      <c r="B191" s="128" t="str">
        <f t="shared" si="16"/>
        <v>208-4</v>
      </c>
      <c r="C191" s="129" t="s">
        <v>713</v>
      </c>
      <c r="D191" s="130" t="s">
        <v>714</v>
      </c>
      <c r="E191" s="145" t="s">
        <v>725</v>
      </c>
      <c r="F191" s="111" t="s">
        <v>425</v>
      </c>
      <c r="G191" s="145" t="s">
        <v>727</v>
      </c>
      <c r="H191" s="111" t="s">
        <v>427</v>
      </c>
      <c r="I191" s="111" t="s">
        <v>55</v>
      </c>
      <c r="J191" s="111" t="s">
        <v>56</v>
      </c>
      <c r="K191" s="63">
        <v>801116</v>
      </c>
      <c r="L191" s="111" t="s">
        <v>720</v>
      </c>
      <c r="M191" s="111" t="s">
        <v>58</v>
      </c>
      <c r="N191" s="111" t="s">
        <v>59</v>
      </c>
      <c r="O191" s="111" t="s">
        <v>728</v>
      </c>
      <c r="P191" s="227" t="s">
        <v>729</v>
      </c>
      <c r="Q191" s="134">
        <f t="shared" si="17"/>
        <v>984375</v>
      </c>
      <c r="R191" s="146">
        <v>1</v>
      </c>
      <c r="S191" s="136">
        <f>56875000-49000000</f>
        <v>7875000</v>
      </c>
      <c r="T191" s="137"/>
      <c r="U191" s="148" t="s">
        <v>730</v>
      </c>
      <c r="V191" s="148" t="s">
        <v>411</v>
      </c>
      <c r="W191" s="147">
        <v>8</v>
      </c>
      <c r="X191" s="133"/>
      <c r="Y191" s="63"/>
      <c r="Z191" s="150"/>
      <c r="AA191" s="140"/>
      <c r="AB191" s="141"/>
      <c r="AC191" s="142"/>
      <c r="AD191" s="143"/>
      <c r="AE191" s="143">
        <f t="shared" si="12"/>
        <v>7875000</v>
      </c>
      <c r="AF191" s="133"/>
      <c r="AG191" s="85"/>
      <c r="AH191" s="143"/>
      <c r="AI191" s="63"/>
      <c r="AJ191" s="63"/>
      <c r="AK191" s="143">
        <f t="shared" si="13"/>
        <v>0</v>
      </c>
      <c r="AL191" s="143"/>
      <c r="AM191" s="143">
        <f t="shared" si="14"/>
        <v>0</v>
      </c>
      <c r="AN191" s="133"/>
      <c r="AO191" s="144">
        <f t="shared" si="15"/>
        <v>7875000</v>
      </c>
      <c r="AP191" s="133"/>
      <c r="AQ191" s="133"/>
      <c r="AR191" s="133"/>
      <c r="AS191" s="133"/>
      <c r="AT191" s="133"/>
      <c r="AU191" s="220"/>
      <c r="AV191" s="220"/>
      <c r="AW191" s="220"/>
    </row>
    <row r="192" spans="1:49" s="221" customFormat="1" ht="399" x14ac:dyDescent="0.25">
      <c r="A192" s="63">
        <f t="shared" si="18"/>
        <v>5</v>
      </c>
      <c r="B192" s="128" t="str">
        <f t="shared" si="16"/>
        <v>208-5</v>
      </c>
      <c r="C192" s="129" t="s">
        <v>713</v>
      </c>
      <c r="D192" s="130" t="s">
        <v>714</v>
      </c>
      <c r="E192" s="131" t="s">
        <v>715</v>
      </c>
      <c r="F192" s="111" t="s">
        <v>425</v>
      </c>
      <c r="G192" s="145" t="s">
        <v>727</v>
      </c>
      <c r="H192" s="111" t="s">
        <v>427</v>
      </c>
      <c r="I192" s="111" t="s">
        <v>55</v>
      </c>
      <c r="J192" s="111" t="s">
        <v>56</v>
      </c>
      <c r="K192" s="63">
        <v>82101600</v>
      </c>
      <c r="L192" s="111" t="s">
        <v>720</v>
      </c>
      <c r="M192" s="111" t="s">
        <v>58</v>
      </c>
      <c r="N192" s="111" t="s">
        <v>59</v>
      </c>
      <c r="O192" s="111" t="s">
        <v>731</v>
      </c>
      <c r="P192" s="227" t="s">
        <v>732</v>
      </c>
      <c r="Q192" s="134">
        <f t="shared" si="17"/>
        <v>6093750</v>
      </c>
      <c r="R192" s="146">
        <v>1</v>
      </c>
      <c r="S192" s="136">
        <v>24375000</v>
      </c>
      <c r="T192" s="137"/>
      <c r="U192" s="148" t="s">
        <v>730</v>
      </c>
      <c r="V192" s="148" t="s">
        <v>431</v>
      </c>
      <c r="W192" s="147">
        <v>4</v>
      </c>
      <c r="X192" s="133"/>
      <c r="Y192" s="63"/>
      <c r="Z192" s="150"/>
      <c r="AA192" s="140"/>
      <c r="AB192" s="141"/>
      <c r="AC192" s="142"/>
      <c r="AD192" s="143"/>
      <c r="AE192" s="143">
        <f t="shared" si="12"/>
        <v>24375000</v>
      </c>
      <c r="AF192" s="133"/>
      <c r="AG192" s="85"/>
      <c r="AH192" s="143"/>
      <c r="AI192" s="63"/>
      <c r="AJ192" s="63"/>
      <c r="AK192" s="143">
        <f t="shared" si="13"/>
        <v>0</v>
      </c>
      <c r="AL192" s="143"/>
      <c r="AM192" s="143">
        <f t="shared" si="14"/>
        <v>0</v>
      </c>
      <c r="AN192" s="133"/>
      <c r="AO192" s="144">
        <f t="shared" si="15"/>
        <v>24375000</v>
      </c>
      <c r="AP192" s="133"/>
      <c r="AQ192" s="133"/>
      <c r="AR192" s="133"/>
      <c r="AS192" s="133"/>
      <c r="AT192" s="133"/>
      <c r="AU192" s="220"/>
      <c r="AV192" s="220"/>
      <c r="AW192" s="220"/>
    </row>
    <row r="193" spans="1:49" s="221" customFormat="1" ht="370.5" x14ac:dyDescent="0.25">
      <c r="A193" s="63">
        <f t="shared" si="18"/>
        <v>6</v>
      </c>
      <c r="B193" s="128" t="str">
        <f t="shared" si="16"/>
        <v>208-6</v>
      </c>
      <c r="C193" s="129" t="s">
        <v>713</v>
      </c>
      <c r="D193" s="130" t="s">
        <v>714</v>
      </c>
      <c r="E193" s="145" t="s">
        <v>725</v>
      </c>
      <c r="F193" s="111" t="s">
        <v>425</v>
      </c>
      <c r="G193" s="145" t="s">
        <v>727</v>
      </c>
      <c r="H193" s="111" t="s">
        <v>427</v>
      </c>
      <c r="I193" s="111" t="s">
        <v>55</v>
      </c>
      <c r="J193" s="111" t="s">
        <v>56</v>
      </c>
      <c r="K193" s="63">
        <v>82101600</v>
      </c>
      <c r="L193" s="111" t="s">
        <v>720</v>
      </c>
      <c r="M193" s="111" t="s">
        <v>58</v>
      </c>
      <c r="N193" s="111" t="s">
        <v>59</v>
      </c>
      <c r="O193" s="111" t="s">
        <v>731</v>
      </c>
      <c r="P193" s="227" t="s">
        <v>732</v>
      </c>
      <c r="Q193" s="134">
        <f t="shared" si="17"/>
        <v>14218750</v>
      </c>
      <c r="R193" s="146">
        <v>1</v>
      </c>
      <c r="S193" s="136">
        <v>56875000</v>
      </c>
      <c r="T193" s="137"/>
      <c r="U193" s="148" t="s">
        <v>730</v>
      </c>
      <c r="V193" s="148" t="s">
        <v>431</v>
      </c>
      <c r="W193" s="147">
        <v>4</v>
      </c>
      <c r="X193" s="133"/>
      <c r="Y193" s="63"/>
      <c r="Z193" s="150"/>
      <c r="AA193" s="140"/>
      <c r="AB193" s="141"/>
      <c r="AC193" s="142"/>
      <c r="AD193" s="143"/>
      <c r="AE193" s="143">
        <f t="shared" si="12"/>
        <v>56875000</v>
      </c>
      <c r="AF193" s="133"/>
      <c r="AG193" s="85"/>
      <c r="AH193" s="143"/>
      <c r="AI193" s="63"/>
      <c r="AJ193" s="63"/>
      <c r="AK193" s="143">
        <f t="shared" si="13"/>
        <v>0</v>
      </c>
      <c r="AL193" s="143"/>
      <c r="AM193" s="143">
        <f t="shared" si="14"/>
        <v>0</v>
      </c>
      <c r="AN193" s="133"/>
      <c r="AO193" s="144">
        <f t="shared" si="15"/>
        <v>56875000</v>
      </c>
      <c r="AP193" s="133"/>
      <c r="AQ193" s="133"/>
      <c r="AR193" s="133"/>
      <c r="AS193" s="133"/>
      <c r="AT193" s="133"/>
      <c r="AU193" s="220"/>
      <c r="AV193" s="220"/>
      <c r="AW193" s="220"/>
    </row>
    <row r="194" spans="1:49" s="221" customFormat="1" ht="399" x14ac:dyDescent="0.25">
      <c r="A194" s="63">
        <f t="shared" si="18"/>
        <v>7</v>
      </c>
      <c r="B194" s="128" t="str">
        <f t="shared" si="16"/>
        <v>208-7</v>
      </c>
      <c r="C194" s="129" t="s">
        <v>713</v>
      </c>
      <c r="D194" s="130" t="s">
        <v>714</v>
      </c>
      <c r="E194" s="131" t="s">
        <v>715</v>
      </c>
      <c r="F194" s="111" t="s">
        <v>52</v>
      </c>
      <c r="G194" s="145" t="s">
        <v>53</v>
      </c>
      <c r="H194" s="111" t="s">
        <v>733</v>
      </c>
      <c r="I194" s="111" t="s">
        <v>55</v>
      </c>
      <c r="J194" s="111" t="s">
        <v>56</v>
      </c>
      <c r="K194" s="149">
        <v>801116</v>
      </c>
      <c r="L194" s="111" t="s">
        <v>720</v>
      </c>
      <c r="M194" s="111" t="s">
        <v>58</v>
      </c>
      <c r="N194" s="111" t="s">
        <v>59</v>
      </c>
      <c r="O194" s="111" t="s">
        <v>728</v>
      </c>
      <c r="P194" s="227" t="s">
        <v>734</v>
      </c>
      <c r="Q194" s="134">
        <f t="shared" si="17"/>
        <v>3513416.25</v>
      </c>
      <c r="R194" s="146">
        <v>1</v>
      </c>
      <c r="S194" s="136">
        <v>42160995</v>
      </c>
      <c r="T194" s="137" t="s">
        <v>735</v>
      </c>
      <c r="U194" s="148" t="s">
        <v>445</v>
      </c>
      <c r="V194" s="148" t="s">
        <v>64</v>
      </c>
      <c r="W194" s="147">
        <v>12</v>
      </c>
      <c r="X194" s="133">
        <v>103</v>
      </c>
      <c r="Y194" s="81">
        <v>43102</v>
      </c>
      <c r="Z194" s="136">
        <v>42160995</v>
      </c>
      <c r="AA194" s="140"/>
      <c r="AB194" s="141">
        <v>50</v>
      </c>
      <c r="AC194" s="150">
        <v>43103</v>
      </c>
      <c r="AD194" s="151">
        <v>42160995</v>
      </c>
      <c r="AE194" s="143">
        <f t="shared" si="12"/>
        <v>0</v>
      </c>
      <c r="AF194" s="133" t="s">
        <v>736</v>
      </c>
      <c r="AG194" s="81">
        <v>43180</v>
      </c>
      <c r="AH194" s="143">
        <v>42160995</v>
      </c>
      <c r="AI194" s="63" t="s">
        <v>737</v>
      </c>
      <c r="AJ194" s="63" t="s">
        <v>738</v>
      </c>
      <c r="AK194" s="143">
        <f t="shared" si="13"/>
        <v>0</v>
      </c>
      <c r="AL194" s="143">
        <v>42160995</v>
      </c>
      <c r="AM194" s="143">
        <f t="shared" si="14"/>
        <v>0</v>
      </c>
      <c r="AN194" s="133"/>
      <c r="AO194" s="144">
        <f t="shared" si="15"/>
        <v>0</v>
      </c>
      <c r="AP194" s="133"/>
      <c r="AQ194" s="150">
        <v>43102</v>
      </c>
      <c r="AR194" s="133" t="s">
        <v>739</v>
      </c>
      <c r="AS194" s="150">
        <v>43102</v>
      </c>
      <c r="AT194" s="133" t="s">
        <v>740</v>
      </c>
      <c r="AU194" s="220"/>
      <c r="AV194" s="220"/>
      <c r="AW194" s="220"/>
    </row>
    <row r="195" spans="1:49" s="221" customFormat="1" ht="370.5" x14ac:dyDescent="0.25">
      <c r="A195" s="63">
        <f t="shared" si="18"/>
        <v>8</v>
      </c>
      <c r="B195" s="128" t="str">
        <f t="shared" si="16"/>
        <v>208-8</v>
      </c>
      <c r="C195" s="129" t="s">
        <v>713</v>
      </c>
      <c r="D195" s="130" t="s">
        <v>714</v>
      </c>
      <c r="E195" s="145" t="s">
        <v>725</v>
      </c>
      <c r="F195" s="111" t="s">
        <v>52</v>
      </c>
      <c r="G195" s="145" t="s">
        <v>53</v>
      </c>
      <c r="H195" s="111" t="s">
        <v>733</v>
      </c>
      <c r="I195" s="111" t="s">
        <v>55</v>
      </c>
      <c r="J195" s="111" t="s">
        <v>56</v>
      </c>
      <c r="K195" s="149">
        <v>801116</v>
      </c>
      <c r="L195" s="111" t="s">
        <v>720</v>
      </c>
      <c r="M195" s="111" t="s">
        <v>58</v>
      </c>
      <c r="N195" s="111" t="s">
        <v>59</v>
      </c>
      <c r="O195" s="111" t="s">
        <v>728</v>
      </c>
      <c r="P195" s="227" t="s">
        <v>734</v>
      </c>
      <c r="Q195" s="134">
        <f t="shared" si="17"/>
        <v>8197971.25</v>
      </c>
      <c r="R195" s="146">
        <v>1</v>
      </c>
      <c r="S195" s="136">
        <v>98375655</v>
      </c>
      <c r="T195" s="137" t="s">
        <v>735</v>
      </c>
      <c r="U195" s="148" t="s">
        <v>445</v>
      </c>
      <c r="V195" s="148" t="s">
        <v>64</v>
      </c>
      <c r="W195" s="147">
        <v>12</v>
      </c>
      <c r="X195" s="133">
        <v>104</v>
      </c>
      <c r="Y195" s="81">
        <v>43102</v>
      </c>
      <c r="Z195" s="136">
        <v>98375655</v>
      </c>
      <c r="AA195" s="140"/>
      <c r="AB195" s="141">
        <v>50</v>
      </c>
      <c r="AC195" s="150">
        <v>43103</v>
      </c>
      <c r="AD195" s="151">
        <v>98375655</v>
      </c>
      <c r="AE195" s="143">
        <f t="shared" si="12"/>
        <v>0</v>
      </c>
      <c r="AF195" s="133" t="s">
        <v>736</v>
      </c>
      <c r="AG195" s="81">
        <v>43180</v>
      </c>
      <c r="AH195" s="143">
        <v>98375655</v>
      </c>
      <c r="AI195" s="63" t="s">
        <v>737</v>
      </c>
      <c r="AJ195" s="63" t="s">
        <v>738</v>
      </c>
      <c r="AK195" s="143">
        <f t="shared" si="13"/>
        <v>0</v>
      </c>
      <c r="AL195" s="143">
        <v>98375655</v>
      </c>
      <c r="AM195" s="143">
        <f t="shared" si="14"/>
        <v>0</v>
      </c>
      <c r="AN195" s="133"/>
      <c r="AO195" s="144">
        <f t="shared" si="15"/>
        <v>0</v>
      </c>
      <c r="AP195" s="133"/>
      <c r="AQ195" s="150">
        <v>43102</v>
      </c>
      <c r="AR195" s="133" t="s">
        <v>739</v>
      </c>
      <c r="AS195" s="150">
        <v>43102</v>
      </c>
      <c r="AT195" s="133" t="s">
        <v>740</v>
      </c>
      <c r="AU195" s="220"/>
      <c r="AV195" s="220"/>
      <c r="AW195" s="220"/>
    </row>
    <row r="196" spans="1:49" s="221" customFormat="1" ht="399" x14ac:dyDescent="0.25">
      <c r="A196" s="63">
        <f t="shared" si="18"/>
        <v>9</v>
      </c>
      <c r="B196" s="128" t="str">
        <f t="shared" si="16"/>
        <v>208-9</v>
      </c>
      <c r="C196" s="129" t="s">
        <v>713</v>
      </c>
      <c r="D196" s="130" t="s">
        <v>714</v>
      </c>
      <c r="E196" s="131" t="s">
        <v>715</v>
      </c>
      <c r="F196" s="111" t="s">
        <v>52</v>
      </c>
      <c r="G196" s="145" t="s">
        <v>53</v>
      </c>
      <c r="H196" s="111" t="s">
        <v>733</v>
      </c>
      <c r="I196" s="111" t="s">
        <v>55</v>
      </c>
      <c r="J196" s="111" t="s">
        <v>56</v>
      </c>
      <c r="K196" s="149">
        <v>801116</v>
      </c>
      <c r="L196" s="111" t="s">
        <v>720</v>
      </c>
      <c r="M196" s="111" t="s">
        <v>58</v>
      </c>
      <c r="N196" s="111" t="s">
        <v>59</v>
      </c>
      <c r="O196" s="111" t="s">
        <v>728</v>
      </c>
      <c r="P196" s="227" t="s">
        <v>734</v>
      </c>
      <c r="Q196" s="134">
        <f t="shared" si="17"/>
        <v>3472553.75</v>
      </c>
      <c r="R196" s="146">
        <v>1</v>
      </c>
      <c r="S196" s="136">
        <v>41670645</v>
      </c>
      <c r="T196" s="137" t="s">
        <v>735</v>
      </c>
      <c r="U196" s="148" t="s">
        <v>445</v>
      </c>
      <c r="V196" s="148" t="s">
        <v>64</v>
      </c>
      <c r="W196" s="147">
        <v>12</v>
      </c>
      <c r="X196" s="133">
        <v>105</v>
      </c>
      <c r="Y196" s="81">
        <v>43102</v>
      </c>
      <c r="Z196" s="136">
        <v>41670645</v>
      </c>
      <c r="AA196" s="140"/>
      <c r="AB196" s="141">
        <v>50</v>
      </c>
      <c r="AC196" s="150">
        <v>43103</v>
      </c>
      <c r="AD196" s="151">
        <v>41670645</v>
      </c>
      <c r="AE196" s="143">
        <f t="shared" si="12"/>
        <v>0</v>
      </c>
      <c r="AF196" s="133" t="s">
        <v>741</v>
      </c>
      <c r="AG196" s="81">
        <v>43305</v>
      </c>
      <c r="AH196" s="143">
        <v>17257197</v>
      </c>
      <c r="AI196" s="63" t="s">
        <v>737</v>
      </c>
      <c r="AJ196" s="63">
        <v>52</v>
      </c>
      <c r="AK196" s="143">
        <v>17257197</v>
      </c>
      <c r="AL196" s="143">
        <v>17257197</v>
      </c>
      <c r="AM196" s="143">
        <f t="shared" si="14"/>
        <v>0</v>
      </c>
      <c r="AN196" s="133"/>
      <c r="AO196" s="144">
        <f t="shared" si="15"/>
        <v>24413448</v>
      </c>
      <c r="AP196" s="133"/>
      <c r="AQ196" s="150">
        <v>43102</v>
      </c>
      <c r="AR196" s="133" t="s">
        <v>739</v>
      </c>
      <c r="AS196" s="150">
        <v>43102</v>
      </c>
      <c r="AT196" s="133" t="s">
        <v>740</v>
      </c>
      <c r="AU196" s="220"/>
      <c r="AV196" s="220"/>
      <c r="AW196" s="220"/>
    </row>
    <row r="197" spans="1:49" s="221" customFormat="1" ht="370.5" x14ac:dyDescent="0.25">
      <c r="A197" s="63">
        <f t="shared" si="18"/>
        <v>10</v>
      </c>
      <c r="B197" s="128" t="str">
        <f t="shared" si="16"/>
        <v>208-10</v>
      </c>
      <c r="C197" s="129" t="s">
        <v>713</v>
      </c>
      <c r="D197" s="130" t="s">
        <v>714</v>
      </c>
      <c r="E197" s="145" t="s">
        <v>725</v>
      </c>
      <c r="F197" s="111" t="s">
        <v>52</v>
      </c>
      <c r="G197" s="145" t="s">
        <v>53</v>
      </c>
      <c r="H197" s="111" t="s">
        <v>733</v>
      </c>
      <c r="I197" s="111" t="s">
        <v>55</v>
      </c>
      <c r="J197" s="111" t="s">
        <v>56</v>
      </c>
      <c r="K197" s="149">
        <v>801116</v>
      </c>
      <c r="L197" s="111" t="s">
        <v>720</v>
      </c>
      <c r="M197" s="111" t="s">
        <v>58</v>
      </c>
      <c r="N197" s="111" t="s">
        <v>59</v>
      </c>
      <c r="O197" s="111" t="s">
        <v>728</v>
      </c>
      <c r="P197" s="227" t="s">
        <v>734</v>
      </c>
      <c r="Q197" s="134">
        <f t="shared" si="17"/>
        <v>8102625.416666667</v>
      </c>
      <c r="R197" s="146">
        <v>1</v>
      </c>
      <c r="S197" s="136">
        <v>97231505</v>
      </c>
      <c r="T197" s="137" t="s">
        <v>735</v>
      </c>
      <c r="U197" s="148" t="s">
        <v>445</v>
      </c>
      <c r="V197" s="148" t="s">
        <v>64</v>
      </c>
      <c r="W197" s="147">
        <v>12</v>
      </c>
      <c r="X197" s="133">
        <v>106</v>
      </c>
      <c r="Y197" s="81">
        <v>43102</v>
      </c>
      <c r="Z197" s="136">
        <v>97231505</v>
      </c>
      <c r="AA197" s="140"/>
      <c r="AB197" s="141">
        <v>50</v>
      </c>
      <c r="AC197" s="150">
        <v>43103</v>
      </c>
      <c r="AD197" s="151">
        <v>97231505</v>
      </c>
      <c r="AE197" s="143">
        <f t="shared" si="12"/>
        <v>0</v>
      </c>
      <c r="AF197" s="133" t="s">
        <v>741</v>
      </c>
      <c r="AG197" s="81">
        <v>43305</v>
      </c>
      <c r="AH197" s="143">
        <v>40266793</v>
      </c>
      <c r="AI197" s="63" t="s">
        <v>737</v>
      </c>
      <c r="AJ197" s="63">
        <v>52</v>
      </c>
      <c r="AK197" s="143">
        <v>40266793</v>
      </c>
      <c r="AL197" s="143">
        <v>40266793</v>
      </c>
      <c r="AM197" s="143">
        <f t="shared" si="14"/>
        <v>0</v>
      </c>
      <c r="AN197" s="133"/>
      <c r="AO197" s="144">
        <f t="shared" si="15"/>
        <v>56964712</v>
      </c>
      <c r="AP197" s="133"/>
      <c r="AQ197" s="150">
        <v>43102</v>
      </c>
      <c r="AR197" s="133" t="s">
        <v>739</v>
      </c>
      <c r="AS197" s="150">
        <v>43102</v>
      </c>
      <c r="AT197" s="133" t="s">
        <v>740</v>
      </c>
      <c r="AU197" s="220"/>
      <c r="AV197" s="220"/>
      <c r="AW197" s="220"/>
    </row>
    <row r="198" spans="1:49" s="221" customFormat="1" ht="399" x14ac:dyDescent="0.25">
      <c r="A198" s="63">
        <f t="shared" si="18"/>
        <v>11</v>
      </c>
      <c r="B198" s="128" t="str">
        <f t="shared" si="16"/>
        <v>208-11</v>
      </c>
      <c r="C198" s="129" t="s">
        <v>713</v>
      </c>
      <c r="D198" s="130" t="s">
        <v>714</v>
      </c>
      <c r="E198" s="131" t="s">
        <v>715</v>
      </c>
      <c r="F198" s="111" t="s">
        <v>52</v>
      </c>
      <c r="G198" s="145" t="s">
        <v>53</v>
      </c>
      <c r="H198" s="111" t="s">
        <v>733</v>
      </c>
      <c r="I198" s="111" t="s">
        <v>55</v>
      </c>
      <c r="J198" s="111" t="s">
        <v>56</v>
      </c>
      <c r="K198" s="149">
        <v>801116</v>
      </c>
      <c r="L198" s="111" t="s">
        <v>720</v>
      </c>
      <c r="M198" s="111" t="s">
        <v>58</v>
      </c>
      <c r="N198" s="111" t="s">
        <v>59</v>
      </c>
      <c r="O198" s="111" t="s">
        <v>728</v>
      </c>
      <c r="P198" s="227" t="s">
        <v>734</v>
      </c>
      <c r="Q198" s="134">
        <f t="shared" si="17"/>
        <v>2432618.75</v>
      </c>
      <c r="R198" s="146">
        <v>1</v>
      </c>
      <c r="S198" s="136">
        <v>29191425</v>
      </c>
      <c r="T198" s="137" t="s">
        <v>735</v>
      </c>
      <c r="U198" s="148" t="s">
        <v>445</v>
      </c>
      <c r="V198" s="148" t="s">
        <v>64</v>
      </c>
      <c r="W198" s="147">
        <v>12</v>
      </c>
      <c r="X198" s="133">
        <v>107</v>
      </c>
      <c r="Y198" s="81">
        <v>43102</v>
      </c>
      <c r="Z198" s="136">
        <v>29191425</v>
      </c>
      <c r="AA198" s="140"/>
      <c r="AB198" s="141">
        <v>50</v>
      </c>
      <c r="AC198" s="150">
        <v>43103</v>
      </c>
      <c r="AD198" s="151">
        <v>29191425</v>
      </c>
      <c r="AE198" s="143">
        <f t="shared" si="12"/>
        <v>0</v>
      </c>
      <c r="AF198" s="133"/>
      <c r="AG198" s="85"/>
      <c r="AH198" s="143"/>
      <c r="AI198" s="152"/>
      <c r="AJ198" s="63"/>
      <c r="AK198" s="143">
        <f t="shared" ref="AK198:AK261" si="19">AD198-AH198</f>
        <v>29191425</v>
      </c>
      <c r="AL198" s="143"/>
      <c r="AM198" s="143">
        <f t="shared" si="14"/>
        <v>0</v>
      </c>
      <c r="AN198" s="133"/>
      <c r="AO198" s="144">
        <f t="shared" si="15"/>
        <v>29191425</v>
      </c>
      <c r="AP198" s="133"/>
      <c r="AQ198" s="150">
        <v>43102</v>
      </c>
      <c r="AR198" s="133" t="s">
        <v>739</v>
      </c>
      <c r="AS198" s="150">
        <v>43102</v>
      </c>
      <c r="AT198" s="133" t="s">
        <v>740</v>
      </c>
      <c r="AU198" s="220"/>
      <c r="AV198" s="220"/>
      <c r="AW198" s="220"/>
    </row>
    <row r="199" spans="1:49" s="221" customFormat="1" ht="370.5" x14ac:dyDescent="0.25">
      <c r="A199" s="63">
        <f t="shared" si="18"/>
        <v>12</v>
      </c>
      <c r="B199" s="128" t="str">
        <f t="shared" si="16"/>
        <v>208-12</v>
      </c>
      <c r="C199" s="129" t="s">
        <v>713</v>
      </c>
      <c r="D199" s="130" t="s">
        <v>714</v>
      </c>
      <c r="E199" s="145" t="s">
        <v>725</v>
      </c>
      <c r="F199" s="111" t="s">
        <v>52</v>
      </c>
      <c r="G199" s="145" t="s">
        <v>53</v>
      </c>
      <c r="H199" s="111" t="s">
        <v>733</v>
      </c>
      <c r="I199" s="111" t="s">
        <v>55</v>
      </c>
      <c r="J199" s="111" t="s">
        <v>56</v>
      </c>
      <c r="K199" s="149">
        <v>801116</v>
      </c>
      <c r="L199" s="111" t="s">
        <v>720</v>
      </c>
      <c r="M199" s="111" t="s">
        <v>58</v>
      </c>
      <c r="N199" s="111" t="s">
        <v>59</v>
      </c>
      <c r="O199" s="111" t="s">
        <v>728</v>
      </c>
      <c r="P199" s="227" t="s">
        <v>734</v>
      </c>
      <c r="Q199" s="134">
        <f t="shared" si="17"/>
        <v>5676110.416666667</v>
      </c>
      <c r="R199" s="146">
        <v>1</v>
      </c>
      <c r="S199" s="136">
        <v>68113325</v>
      </c>
      <c r="T199" s="137" t="s">
        <v>735</v>
      </c>
      <c r="U199" s="148" t="s">
        <v>445</v>
      </c>
      <c r="V199" s="148" t="s">
        <v>64</v>
      </c>
      <c r="W199" s="147">
        <v>12</v>
      </c>
      <c r="X199" s="133">
        <v>108</v>
      </c>
      <c r="Y199" s="81">
        <v>43102</v>
      </c>
      <c r="Z199" s="136">
        <v>68113325</v>
      </c>
      <c r="AA199" s="140"/>
      <c r="AB199" s="141">
        <v>50</v>
      </c>
      <c r="AC199" s="150">
        <v>43103</v>
      </c>
      <c r="AD199" s="151">
        <v>68113325</v>
      </c>
      <c r="AE199" s="143">
        <f t="shared" si="12"/>
        <v>0</v>
      </c>
      <c r="AF199" s="133"/>
      <c r="AG199" s="85"/>
      <c r="AH199" s="143"/>
      <c r="AI199" s="63"/>
      <c r="AJ199" s="63"/>
      <c r="AK199" s="143">
        <f t="shared" si="19"/>
        <v>68113325</v>
      </c>
      <c r="AL199" s="143"/>
      <c r="AM199" s="143">
        <f t="shared" si="14"/>
        <v>0</v>
      </c>
      <c r="AN199" s="133"/>
      <c r="AO199" s="144">
        <f t="shared" si="15"/>
        <v>68113325</v>
      </c>
      <c r="AP199" s="133"/>
      <c r="AQ199" s="150">
        <v>43102</v>
      </c>
      <c r="AR199" s="133" t="s">
        <v>739</v>
      </c>
      <c r="AS199" s="150">
        <v>43102</v>
      </c>
      <c r="AT199" s="133" t="s">
        <v>740</v>
      </c>
      <c r="AU199" s="220"/>
      <c r="AV199" s="220"/>
      <c r="AW199" s="220"/>
    </row>
    <row r="200" spans="1:49" s="221" customFormat="1" ht="399" x14ac:dyDescent="0.25">
      <c r="A200" s="63">
        <f t="shared" si="18"/>
        <v>13</v>
      </c>
      <c r="B200" s="128" t="str">
        <f t="shared" si="16"/>
        <v>208-13</v>
      </c>
      <c r="C200" s="129" t="s">
        <v>713</v>
      </c>
      <c r="D200" s="130" t="s">
        <v>714</v>
      </c>
      <c r="E200" s="131" t="s">
        <v>715</v>
      </c>
      <c r="F200" s="111" t="s">
        <v>52</v>
      </c>
      <c r="G200" s="145" t="s">
        <v>53</v>
      </c>
      <c r="H200" s="111" t="s">
        <v>733</v>
      </c>
      <c r="I200" s="111" t="s">
        <v>55</v>
      </c>
      <c r="J200" s="111" t="s">
        <v>56</v>
      </c>
      <c r="K200" s="149">
        <v>801116</v>
      </c>
      <c r="L200" s="111" t="s">
        <v>720</v>
      </c>
      <c r="M200" s="111" t="s">
        <v>58</v>
      </c>
      <c r="N200" s="111" t="s">
        <v>59</v>
      </c>
      <c r="O200" s="111" t="s">
        <v>728</v>
      </c>
      <c r="P200" s="227" t="s">
        <v>742</v>
      </c>
      <c r="Q200" s="134">
        <f t="shared" si="17"/>
        <v>900000</v>
      </c>
      <c r="R200" s="146">
        <v>1</v>
      </c>
      <c r="S200" s="136">
        <v>10800000</v>
      </c>
      <c r="T200" s="137" t="s">
        <v>735</v>
      </c>
      <c r="U200" s="148" t="s">
        <v>445</v>
      </c>
      <c r="V200" s="148" t="s">
        <v>64</v>
      </c>
      <c r="W200" s="147">
        <v>12</v>
      </c>
      <c r="X200" s="133">
        <v>101</v>
      </c>
      <c r="Y200" s="81">
        <v>43102</v>
      </c>
      <c r="Z200" s="136">
        <v>10800000</v>
      </c>
      <c r="AA200" s="140"/>
      <c r="AB200" s="141">
        <v>52</v>
      </c>
      <c r="AC200" s="150">
        <v>43103</v>
      </c>
      <c r="AD200" s="143">
        <v>10800000</v>
      </c>
      <c r="AE200" s="143">
        <f t="shared" si="12"/>
        <v>0</v>
      </c>
      <c r="AF200" s="133" t="s">
        <v>743</v>
      </c>
      <c r="AG200" s="81">
        <v>43165</v>
      </c>
      <c r="AH200" s="143">
        <v>4242780</v>
      </c>
      <c r="AI200" s="64" t="s">
        <v>513</v>
      </c>
      <c r="AJ200" s="100" t="s">
        <v>744</v>
      </c>
      <c r="AK200" s="143">
        <f t="shared" si="19"/>
        <v>6557220</v>
      </c>
      <c r="AL200" s="143">
        <v>4242780</v>
      </c>
      <c r="AM200" s="143">
        <f t="shared" si="14"/>
        <v>0</v>
      </c>
      <c r="AN200" s="133"/>
      <c r="AO200" s="144">
        <f t="shared" si="15"/>
        <v>6557220</v>
      </c>
      <c r="AP200" s="133"/>
      <c r="AQ200" s="150">
        <v>43102</v>
      </c>
      <c r="AR200" s="133" t="s">
        <v>739</v>
      </c>
      <c r="AS200" s="150">
        <v>43102</v>
      </c>
      <c r="AT200" s="133" t="s">
        <v>745</v>
      </c>
      <c r="AU200" s="220"/>
      <c r="AV200" s="220"/>
      <c r="AW200" s="220"/>
    </row>
    <row r="201" spans="1:49" s="221" customFormat="1" ht="370.5" x14ac:dyDescent="0.25">
      <c r="A201" s="63">
        <f t="shared" si="18"/>
        <v>14</v>
      </c>
      <c r="B201" s="128" t="str">
        <f t="shared" si="16"/>
        <v>208-14</v>
      </c>
      <c r="C201" s="129" t="s">
        <v>713</v>
      </c>
      <c r="D201" s="130" t="s">
        <v>714</v>
      </c>
      <c r="E201" s="145" t="s">
        <v>725</v>
      </c>
      <c r="F201" s="111" t="s">
        <v>52</v>
      </c>
      <c r="G201" s="145" t="s">
        <v>53</v>
      </c>
      <c r="H201" s="111" t="s">
        <v>733</v>
      </c>
      <c r="I201" s="111" t="s">
        <v>55</v>
      </c>
      <c r="J201" s="111" t="s">
        <v>56</v>
      </c>
      <c r="K201" s="149">
        <v>801116</v>
      </c>
      <c r="L201" s="111" t="s">
        <v>720</v>
      </c>
      <c r="M201" s="111" t="s">
        <v>58</v>
      </c>
      <c r="N201" s="111" t="s">
        <v>59</v>
      </c>
      <c r="O201" s="111" t="s">
        <v>728</v>
      </c>
      <c r="P201" s="227" t="s">
        <v>742</v>
      </c>
      <c r="Q201" s="134">
        <f t="shared" si="17"/>
        <v>2100000</v>
      </c>
      <c r="R201" s="146">
        <v>1</v>
      </c>
      <c r="S201" s="136">
        <v>25200000</v>
      </c>
      <c r="T201" s="137" t="s">
        <v>735</v>
      </c>
      <c r="U201" s="148" t="s">
        <v>445</v>
      </c>
      <c r="V201" s="148" t="s">
        <v>64</v>
      </c>
      <c r="W201" s="147">
        <v>12</v>
      </c>
      <c r="X201" s="133">
        <v>102</v>
      </c>
      <c r="Y201" s="81">
        <v>43102</v>
      </c>
      <c r="Z201" s="136">
        <v>25200000</v>
      </c>
      <c r="AA201" s="140"/>
      <c r="AB201" s="141">
        <v>52</v>
      </c>
      <c r="AC201" s="150">
        <v>43103</v>
      </c>
      <c r="AD201" s="143">
        <v>25200000</v>
      </c>
      <c r="AE201" s="143">
        <f t="shared" si="12"/>
        <v>0</v>
      </c>
      <c r="AF201" s="133" t="s">
        <v>743</v>
      </c>
      <c r="AG201" s="81">
        <v>43165</v>
      </c>
      <c r="AH201" s="143">
        <v>9899820</v>
      </c>
      <c r="AI201" s="64" t="s">
        <v>513</v>
      </c>
      <c r="AJ201" s="100" t="s">
        <v>744</v>
      </c>
      <c r="AK201" s="143">
        <f t="shared" si="19"/>
        <v>15300180</v>
      </c>
      <c r="AL201" s="143">
        <v>9899820</v>
      </c>
      <c r="AM201" s="143">
        <f t="shared" si="14"/>
        <v>0</v>
      </c>
      <c r="AN201" s="133"/>
      <c r="AO201" s="144">
        <f t="shared" si="15"/>
        <v>15300180</v>
      </c>
      <c r="AP201" s="133"/>
      <c r="AQ201" s="150">
        <v>43102</v>
      </c>
      <c r="AR201" s="133" t="s">
        <v>739</v>
      </c>
      <c r="AS201" s="150">
        <v>43102</v>
      </c>
      <c r="AT201" s="133" t="s">
        <v>745</v>
      </c>
      <c r="AU201" s="220"/>
      <c r="AV201" s="220"/>
      <c r="AW201" s="220"/>
    </row>
    <row r="202" spans="1:49" s="221" customFormat="1" ht="399" x14ac:dyDescent="0.25">
      <c r="A202" s="63">
        <f t="shared" si="18"/>
        <v>15</v>
      </c>
      <c r="B202" s="128" t="str">
        <f t="shared" si="16"/>
        <v>208-15</v>
      </c>
      <c r="C202" s="129" t="s">
        <v>713</v>
      </c>
      <c r="D202" s="130" t="s">
        <v>714</v>
      </c>
      <c r="E202" s="131" t="s">
        <v>715</v>
      </c>
      <c r="F202" s="111" t="s">
        <v>52</v>
      </c>
      <c r="G202" s="145" t="s">
        <v>53</v>
      </c>
      <c r="H202" s="111" t="s">
        <v>733</v>
      </c>
      <c r="I202" s="111" t="s">
        <v>55</v>
      </c>
      <c r="J202" s="111" t="s">
        <v>56</v>
      </c>
      <c r="K202" s="63">
        <v>801116</v>
      </c>
      <c r="L202" s="111" t="s">
        <v>720</v>
      </c>
      <c r="M202" s="111" t="s">
        <v>58</v>
      </c>
      <c r="N202" s="111" t="s">
        <v>59</v>
      </c>
      <c r="O202" s="111" t="s">
        <v>728</v>
      </c>
      <c r="P202" s="227" t="s">
        <v>746</v>
      </c>
      <c r="Q202" s="134">
        <f t="shared" si="17"/>
        <v>2472000</v>
      </c>
      <c r="R202" s="146">
        <v>1</v>
      </c>
      <c r="S202" s="136">
        <v>28428000</v>
      </c>
      <c r="T202" s="137" t="s">
        <v>747</v>
      </c>
      <c r="U202" s="148" t="s">
        <v>445</v>
      </c>
      <c r="V202" s="148" t="s">
        <v>64</v>
      </c>
      <c r="W202" s="153">
        <v>11.5</v>
      </c>
      <c r="X202" s="133">
        <v>100</v>
      </c>
      <c r="Y202" s="81">
        <v>43102</v>
      </c>
      <c r="Z202" s="154">
        <v>28428000</v>
      </c>
      <c r="AA202" s="140"/>
      <c r="AB202" s="141">
        <v>48</v>
      </c>
      <c r="AC202" s="150">
        <v>43103</v>
      </c>
      <c r="AD202" s="143">
        <v>28428000</v>
      </c>
      <c r="AE202" s="143">
        <f t="shared" si="12"/>
        <v>0</v>
      </c>
      <c r="AF202" s="133">
        <v>80</v>
      </c>
      <c r="AG202" s="81">
        <v>43116</v>
      </c>
      <c r="AH202" s="143">
        <v>28428000</v>
      </c>
      <c r="AI202" s="63" t="s">
        <v>748</v>
      </c>
      <c r="AJ202" s="63">
        <v>55</v>
      </c>
      <c r="AK202" s="143">
        <f t="shared" si="19"/>
        <v>0</v>
      </c>
      <c r="AL202" s="143">
        <v>14502399.9</v>
      </c>
      <c r="AM202" s="143">
        <f t="shared" si="14"/>
        <v>13925600.1</v>
      </c>
      <c r="AN202" s="133"/>
      <c r="AO202" s="144">
        <f t="shared" si="15"/>
        <v>0</v>
      </c>
      <c r="AP202" s="133"/>
      <c r="AQ202" s="150">
        <v>43102</v>
      </c>
      <c r="AR202" s="133" t="s">
        <v>739</v>
      </c>
      <c r="AS202" s="150">
        <v>43102</v>
      </c>
      <c r="AT202" s="133" t="s">
        <v>740</v>
      </c>
      <c r="AU202" s="220"/>
      <c r="AV202" s="220"/>
      <c r="AW202" s="220"/>
    </row>
    <row r="203" spans="1:49" s="221" customFormat="1" ht="370.5" x14ac:dyDescent="0.25">
      <c r="A203" s="63">
        <f t="shared" si="18"/>
        <v>16</v>
      </c>
      <c r="B203" s="128" t="str">
        <f t="shared" si="16"/>
        <v>208-16</v>
      </c>
      <c r="C203" s="129" t="s">
        <v>713</v>
      </c>
      <c r="D203" s="130" t="s">
        <v>714</v>
      </c>
      <c r="E203" s="145" t="s">
        <v>725</v>
      </c>
      <c r="F203" s="111" t="s">
        <v>52</v>
      </c>
      <c r="G203" s="145" t="s">
        <v>53</v>
      </c>
      <c r="H203" s="111" t="s">
        <v>733</v>
      </c>
      <c r="I203" s="111" t="s">
        <v>55</v>
      </c>
      <c r="J203" s="111" t="s">
        <v>56</v>
      </c>
      <c r="K203" s="63">
        <v>801116</v>
      </c>
      <c r="L203" s="111" t="s">
        <v>720</v>
      </c>
      <c r="M203" s="111" t="s">
        <v>58</v>
      </c>
      <c r="N203" s="111" t="s">
        <v>59</v>
      </c>
      <c r="O203" s="111" t="s">
        <v>728</v>
      </c>
      <c r="P203" s="227" t="s">
        <v>746</v>
      </c>
      <c r="Q203" s="134">
        <f t="shared" si="17"/>
        <v>5768000</v>
      </c>
      <c r="R203" s="146">
        <v>1</v>
      </c>
      <c r="S203" s="136">
        <v>66332000</v>
      </c>
      <c r="T203" s="137" t="s">
        <v>747</v>
      </c>
      <c r="U203" s="148" t="s">
        <v>445</v>
      </c>
      <c r="V203" s="148" t="s">
        <v>64</v>
      </c>
      <c r="W203" s="153">
        <v>11.5</v>
      </c>
      <c r="X203" s="133">
        <v>99</v>
      </c>
      <c r="Y203" s="81">
        <v>43102</v>
      </c>
      <c r="Z203" s="154">
        <v>66332000</v>
      </c>
      <c r="AA203" s="140"/>
      <c r="AB203" s="141">
        <v>48</v>
      </c>
      <c r="AC203" s="150">
        <v>43103</v>
      </c>
      <c r="AD203" s="143">
        <v>66332000</v>
      </c>
      <c r="AE203" s="143">
        <f t="shared" si="12"/>
        <v>0</v>
      </c>
      <c r="AF203" s="133">
        <v>80</v>
      </c>
      <c r="AG203" s="81">
        <v>43116</v>
      </c>
      <c r="AH203" s="143">
        <v>66332000</v>
      </c>
      <c r="AI203" s="63" t="s">
        <v>748</v>
      </c>
      <c r="AJ203" s="63">
        <v>55</v>
      </c>
      <c r="AK203" s="143">
        <f t="shared" si="19"/>
        <v>0</v>
      </c>
      <c r="AL203" s="143">
        <v>33838933.100000001</v>
      </c>
      <c r="AM203" s="143">
        <f t="shared" si="14"/>
        <v>32493066.899999999</v>
      </c>
      <c r="AN203" s="133"/>
      <c r="AO203" s="144">
        <f t="shared" si="15"/>
        <v>0</v>
      </c>
      <c r="AP203" s="133"/>
      <c r="AQ203" s="150">
        <v>43102</v>
      </c>
      <c r="AR203" s="133" t="s">
        <v>739</v>
      </c>
      <c r="AS203" s="150">
        <v>43102</v>
      </c>
      <c r="AT203" s="133" t="s">
        <v>740</v>
      </c>
      <c r="AU203" s="220"/>
      <c r="AV203" s="220"/>
      <c r="AW203" s="220"/>
    </row>
    <row r="204" spans="1:49" s="221" customFormat="1" ht="399" x14ac:dyDescent="0.25">
      <c r="A204" s="63">
        <f t="shared" si="18"/>
        <v>17</v>
      </c>
      <c r="B204" s="128" t="str">
        <f t="shared" si="16"/>
        <v>208-17</v>
      </c>
      <c r="C204" s="129" t="s">
        <v>713</v>
      </c>
      <c r="D204" s="130" t="s">
        <v>714</v>
      </c>
      <c r="E204" s="131" t="s">
        <v>715</v>
      </c>
      <c r="F204" s="111" t="s">
        <v>52</v>
      </c>
      <c r="G204" s="145" t="s">
        <v>53</v>
      </c>
      <c r="H204" s="111" t="s">
        <v>733</v>
      </c>
      <c r="I204" s="111" t="s">
        <v>55</v>
      </c>
      <c r="J204" s="111" t="s">
        <v>56</v>
      </c>
      <c r="K204" s="63">
        <v>801116</v>
      </c>
      <c r="L204" s="111" t="s">
        <v>720</v>
      </c>
      <c r="M204" s="111" t="s">
        <v>58</v>
      </c>
      <c r="N204" s="111" t="s">
        <v>59</v>
      </c>
      <c r="O204" s="111" t="s">
        <v>728</v>
      </c>
      <c r="P204" s="227" t="s">
        <v>749</v>
      </c>
      <c r="Q204" s="134">
        <f t="shared" si="17"/>
        <v>1699500</v>
      </c>
      <c r="R204" s="146">
        <v>1</v>
      </c>
      <c r="S204" s="136">
        <v>19544250</v>
      </c>
      <c r="T204" s="137" t="s">
        <v>747</v>
      </c>
      <c r="U204" s="148" t="s">
        <v>445</v>
      </c>
      <c r="V204" s="148" t="s">
        <v>64</v>
      </c>
      <c r="W204" s="153">
        <v>11.5</v>
      </c>
      <c r="X204" s="133">
        <v>98</v>
      </c>
      <c r="Y204" s="81">
        <v>43102</v>
      </c>
      <c r="Z204" s="154">
        <v>19544250</v>
      </c>
      <c r="AA204" s="140"/>
      <c r="AB204" s="141">
        <v>47</v>
      </c>
      <c r="AC204" s="150">
        <v>43103</v>
      </c>
      <c r="AD204" s="143">
        <v>19544250</v>
      </c>
      <c r="AE204" s="143">
        <f t="shared" si="12"/>
        <v>0</v>
      </c>
      <c r="AF204" s="133">
        <v>170</v>
      </c>
      <c r="AG204" s="81">
        <v>43118</v>
      </c>
      <c r="AH204" s="143">
        <v>19544250</v>
      </c>
      <c r="AI204" s="63" t="s">
        <v>750</v>
      </c>
      <c r="AJ204" s="63">
        <v>127</v>
      </c>
      <c r="AK204" s="143">
        <f t="shared" si="19"/>
        <v>0</v>
      </c>
      <c r="AL204" s="143">
        <v>12632949.9</v>
      </c>
      <c r="AM204" s="143">
        <f t="shared" si="14"/>
        <v>6911300.0999999996</v>
      </c>
      <c r="AN204" s="133"/>
      <c r="AO204" s="144">
        <f t="shared" si="15"/>
        <v>0</v>
      </c>
      <c r="AP204" s="133"/>
      <c r="AQ204" s="150">
        <v>43102</v>
      </c>
      <c r="AR204" s="133" t="s">
        <v>739</v>
      </c>
      <c r="AS204" s="150">
        <v>43102</v>
      </c>
      <c r="AT204" s="133" t="s">
        <v>740</v>
      </c>
      <c r="AU204" s="220"/>
      <c r="AV204" s="220"/>
      <c r="AW204" s="220"/>
    </row>
    <row r="205" spans="1:49" s="221" customFormat="1" ht="370.5" x14ac:dyDescent="0.25">
      <c r="A205" s="63">
        <f t="shared" si="18"/>
        <v>18</v>
      </c>
      <c r="B205" s="128" t="str">
        <f t="shared" si="16"/>
        <v>208-18</v>
      </c>
      <c r="C205" s="129" t="s">
        <v>713</v>
      </c>
      <c r="D205" s="130" t="s">
        <v>714</v>
      </c>
      <c r="E205" s="145" t="s">
        <v>725</v>
      </c>
      <c r="F205" s="111" t="s">
        <v>52</v>
      </c>
      <c r="G205" s="145" t="s">
        <v>53</v>
      </c>
      <c r="H205" s="111" t="s">
        <v>733</v>
      </c>
      <c r="I205" s="111" t="s">
        <v>55</v>
      </c>
      <c r="J205" s="111" t="s">
        <v>56</v>
      </c>
      <c r="K205" s="63">
        <v>801116</v>
      </c>
      <c r="L205" s="111" t="s">
        <v>720</v>
      </c>
      <c r="M205" s="111" t="s">
        <v>58</v>
      </c>
      <c r="N205" s="111" t="s">
        <v>59</v>
      </c>
      <c r="O205" s="111" t="s">
        <v>728</v>
      </c>
      <c r="P205" s="227" t="s">
        <v>749</v>
      </c>
      <c r="Q205" s="134">
        <f t="shared" si="17"/>
        <v>3965499.9999999995</v>
      </c>
      <c r="R205" s="146">
        <v>1</v>
      </c>
      <c r="S205" s="136">
        <v>45603249.999999993</v>
      </c>
      <c r="T205" s="137" t="s">
        <v>747</v>
      </c>
      <c r="U205" s="148" t="s">
        <v>445</v>
      </c>
      <c r="V205" s="148" t="s">
        <v>64</v>
      </c>
      <c r="W205" s="153">
        <v>11.5</v>
      </c>
      <c r="X205" s="133">
        <v>97</v>
      </c>
      <c r="Y205" s="81">
        <v>43102</v>
      </c>
      <c r="Z205" s="154">
        <v>45603249.999999993</v>
      </c>
      <c r="AA205" s="140"/>
      <c r="AB205" s="141">
        <v>47</v>
      </c>
      <c r="AC205" s="150">
        <v>43103</v>
      </c>
      <c r="AD205" s="143">
        <v>45603249.999999993</v>
      </c>
      <c r="AE205" s="143">
        <f t="shared" si="12"/>
        <v>0</v>
      </c>
      <c r="AF205" s="133">
        <v>170</v>
      </c>
      <c r="AG205" s="81">
        <v>43118</v>
      </c>
      <c r="AH205" s="143">
        <v>45603249.999999993</v>
      </c>
      <c r="AI205" s="63" t="s">
        <v>750</v>
      </c>
      <c r="AJ205" s="63">
        <v>127</v>
      </c>
      <c r="AK205" s="143">
        <f t="shared" si="19"/>
        <v>0</v>
      </c>
      <c r="AL205" s="143">
        <v>29476883.099999998</v>
      </c>
      <c r="AM205" s="143">
        <f t="shared" si="14"/>
        <v>16126366.899999995</v>
      </c>
      <c r="AN205" s="133"/>
      <c r="AO205" s="144">
        <f t="shared" si="15"/>
        <v>0</v>
      </c>
      <c r="AP205" s="133"/>
      <c r="AQ205" s="150">
        <v>43102</v>
      </c>
      <c r="AR205" s="133" t="s">
        <v>739</v>
      </c>
      <c r="AS205" s="150">
        <v>43102</v>
      </c>
      <c r="AT205" s="133" t="s">
        <v>740</v>
      </c>
      <c r="AU205" s="220"/>
      <c r="AV205" s="220"/>
      <c r="AW205" s="220"/>
    </row>
    <row r="206" spans="1:49" s="221" customFormat="1" ht="399" x14ac:dyDescent="0.25">
      <c r="A206" s="63">
        <f t="shared" si="18"/>
        <v>19</v>
      </c>
      <c r="B206" s="128" t="str">
        <f t="shared" si="16"/>
        <v>208-19</v>
      </c>
      <c r="C206" s="129" t="s">
        <v>713</v>
      </c>
      <c r="D206" s="130" t="s">
        <v>714</v>
      </c>
      <c r="E206" s="131" t="s">
        <v>715</v>
      </c>
      <c r="F206" s="111" t="s">
        <v>52</v>
      </c>
      <c r="G206" s="145" t="s">
        <v>53</v>
      </c>
      <c r="H206" s="111" t="s">
        <v>733</v>
      </c>
      <c r="I206" s="111" t="s">
        <v>55</v>
      </c>
      <c r="J206" s="111" t="s">
        <v>56</v>
      </c>
      <c r="K206" s="63">
        <v>801116</v>
      </c>
      <c r="L206" s="111" t="s">
        <v>720</v>
      </c>
      <c r="M206" s="111" t="s">
        <v>58</v>
      </c>
      <c r="N206" s="111" t="s">
        <v>59</v>
      </c>
      <c r="O206" s="111" t="s">
        <v>728</v>
      </c>
      <c r="P206" s="227" t="s">
        <v>751</v>
      </c>
      <c r="Q206" s="134">
        <f t="shared" si="17"/>
        <v>1511010</v>
      </c>
      <c r="R206" s="146">
        <v>1</v>
      </c>
      <c r="S206" s="136">
        <v>17376615</v>
      </c>
      <c r="T206" s="137" t="s">
        <v>747</v>
      </c>
      <c r="U206" s="148" t="s">
        <v>445</v>
      </c>
      <c r="V206" s="148" t="s">
        <v>64</v>
      </c>
      <c r="W206" s="153">
        <v>11.5</v>
      </c>
      <c r="X206" s="133">
        <v>96</v>
      </c>
      <c r="Y206" s="81">
        <v>43102</v>
      </c>
      <c r="Z206" s="154">
        <v>17376615</v>
      </c>
      <c r="AA206" s="140"/>
      <c r="AB206" s="141">
        <v>45</v>
      </c>
      <c r="AC206" s="150">
        <v>43103</v>
      </c>
      <c r="AD206" s="143">
        <v>17376615</v>
      </c>
      <c r="AE206" s="143">
        <f t="shared" si="12"/>
        <v>0</v>
      </c>
      <c r="AF206" s="133">
        <v>165</v>
      </c>
      <c r="AG206" s="81">
        <v>43118</v>
      </c>
      <c r="AH206" s="143">
        <v>17376615</v>
      </c>
      <c r="AI206" s="63" t="s">
        <v>752</v>
      </c>
      <c r="AJ206" s="63">
        <v>131</v>
      </c>
      <c r="AK206" s="143">
        <f t="shared" si="19"/>
        <v>0</v>
      </c>
      <c r="AL206" s="143">
        <v>11231841</v>
      </c>
      <c r="AM206" s="143">
        <f t="shared" si="14"/>
        <v>6144774</v>
      </c>
      <c r="AN206" s="133"/>
      <c r="AO206" s="144">
        <f t="shared" si="15"/>
        <v>0</v>
      </c>
      <c r="AP206" s="133"/>
      <c r="AQ206" s="150">
        <v>43102</v>
      </c>
      <c r="AR206" s="133" t="s">
        <v>739</v>
      </c>
      <c r="AS206" s="150">
        <v>43102</v>
      </c>
      <c r="AT206" s="133" t="s">
        <v>740</v>
      </c>
      <c r="AU206" s="220"/>
      <c r="AV206" s="220"/>
      <c r="AW206" s="220"/>
    </row>
    <row r="207" spans="1:49" s="221" customFormat="1" ht="370.5" x14ac:dyDescent="0.25">
      <c r="A207" s="63">
        <f t="shared" si="18"/>
        <v>20</v>
      </c>
      <c r="B207" s="128" t="str">
        <f t="shared" si="16"/>
        <v>208-20</v>
      </c>
      <c r="C207" s="129" t="s">
        <v>713</v>
      </c>
      <c r="D207" s="130" t="s">
        <v>714</v>
      </c>
      <c r="E207" s="145" t="s">
        <v>725</v>
      </c>
      <c r="F207" s="111" t="s">
        <v>52</v>
      </c>
      <c r="G207" s="145" t="s">
        <v>53</v>
      </c>
      <c r="H207" s="111" t="s">
        <v>733</v>
      </c>
      <c r="I207" s="111" t="s">
        <v>55</v>
      </c>
      <c r="J207" s="111" t="s">
        <v>56</v>
      </c>
      <c r="K207" s="63">
        <v>801116</v>
      </c>
      <c r="L207" s="111" t="s">
        <v>720</v>
      </c>
      <c r="M207" s="111" t="s">
        <v>58</v>
      </c>
      <c r="N207" s="111" t="s">
        <v>59</v>
      </c>
      <c r="O207" s="111" t="s">
        <v>728</v>
      </c>
      <c r="P207" s="227" t="s">
        <v>751</v>
      </c>
      <c r="Q207" s="134">
        <f t="shared" si="17"/>
        <v>3525690</v>
      </c>
      <c r="R207" s="146">
        <v>1</v>
      </c>
      <c r="S207" s="136">
        <v>40545435</v>
      </c>
      <c r="T207" s="137" t="s">
        <v>747</v>
      </c>
      <c r="U207" s="148" t="s">
        <v>445</v>
      </c>
      <c r="V207" s="148" t="s">
        <v>64</v>
      </c>
      <c r="W207" s="153">
        <v>11.5</v>
      </c>
      <c r="X207" s="133">
        <v>95</v>
      </c>
      <c r="Y207" s="81">
        <v>43102</v>
      </c>
      <c r="Z207" s="154">
        <v>40545435</v>
      </c>
      <c r="AA207" s="140"/>
      <c r="AB207" s="141">
        <v>45</v>
      </c>
      <c r="AC207" s="150">
        <v>43103</v>
      </c>
      <c r="AD207" s="143">
        <v>40545435</v>
      </c>
      <c r="AE207" s="143">
        <f t="shared" si="12"/>
        <v>0</v>
      </c>
      <c r="AF207" s="133">
        <v>165</v>
      </c>
      <c r="AG207" s="81">
        <v>43118</v>
      </c>
      <c r="AH207" s="143">
        <v>40545435</v>
      </c>
      <c r="AI207" s="63" t="s">
        <v>752</v>
      </c>
      <c r="AJ207" s="63">
        <v>131</v>
      </c>
      <c r="AK207" s="143">
        <f t="shared" si="19"/>
        <v>0</v>
      </c>
      <c r="AL207" s="143">
        <v>26207629</v>
      </c>
      <c r="AM207" s="143">
        <f t="shared" si="14"/>
        <v>14337806</v>
      </c>
      <c r="AN207" s="133"/>
      <c r="AO207" s="144">
        <f t="shared" si="15"/>
        <v>0</v>
      </c>
      <c r="AP207" s="133"/>
      <c r="AQ207" s="150">
        <v>43102</v>
      </c>
      <c r="AR207" s="133" t="s">
        <v>739</v>
      </c>
      <c r="AS207" s="150">
        <v>43102</v>
      </c>
      <c r="AT207" s="133" t="s">
        <v>740</v>
      </c>
      <c r="AU207" s="220"/>
      <c r="AV207" s="220"/>
      <c r="AW207" s="220"/>
    </row>
    <row r="208" spans="1:49" s="221" customFormat="1" ht="399" x14ac:dyDescent="0.25">
      <c r="A208" s="63">
        <f t="shared" si="18"/>
        <v>21</v>
      </c>
      <c r="B208" s="128" t="str">
        <f t="shared" si="16"/>
        <v>208-21</v>
      </c>
      <c r="C208" s="129" t="s">
        <v>713</v>
      </c>
      <c r="D208" s="130" t="s">
        <v>714</v>
      </c>
      <c r="E208" s="131" t="s">
        <v>715</v>
      </c>
      <c r="F208" s="111" t="s">
        <v>52</v>
      </c>
      <c r="G208" s="145" t="s">
        <v>53</v>
      </c>
      <c r="H208" s="111" t="s">
        <v>733</v>
      </c>
      <c r="I208" s="111" t="s">
        <v>55</v>
      </c>
      <c r="J208" s="111" t="s">
        <v>56</v>
      </c>
      <c r="K208" s="63">
        <v>801116</v>
      </c>
      <c r="L208" s="111" t="s">
        <v>720</v>
      </c>
      <c r="M208" s="111" t="s">
        <v>58</v>
      </c>
      <c r="N208" s="111" t="s">
        <v>59</v>
      </c>
      <c r="O208" s="111" t="s">
        <v>728</v>
      </c>
      <c r="P208" s="227" t="s">
        <v>753</v>
      </c>
      <c r="Q208" s="134">
        <f t="shared" si="17"/>
        <v>1236000</v>
      </c>
      <c r="R208" s="146">
        <v>1</v>
      </c>
      <c r="S208" s="136">
        <v>14214000</v>
      </c>
      <c r="T208" s="137" t="s">
        <v>747</v>
      </c>
      <c r="U208" s="148" t="s">
        <v>445</v>
      </c>
      <c r="V208" s="148" t="s">
        <v>64</v>
      </c>
      <c r="W208" s="153">
        <v>11.5</v>
      </c>
      <c r="X208" s="133">
        <v>94</v>
      </c>
      <c r="Y208" s="81">
        <v>43102</v>
      </c>
      <c r="Z208" s="154">
        <v>14214000</v>
      </c>
      <c r="AA208" s="140"/>
      <c r="AB208" s="141">
        <v>43</v>
      </c>
      <c r="AC208" s="150">
        <v>43103</v>
      </c>
      <c r="AD208" s="143">
        <v>14214000</v>
      </c>
      <c r="AE208" s="143">
        <f t="shared" si="12"/>
        <v>0</v>
      </c>
      <c r="AF208" s="133">
        <v>185</v>
      </c>
      <c r="AG208" s="81">
        <v>43118</v>
      </c>
      <c r="AH208" s="143">
        <v>14214000</v>
      </c>
      <c r="AI208" s="63" t="s">
        <v>754</v>
      </c>
      <c r="AJ208" s="63">
        <v>136</v>
      </c>
      <c r="AK208" s="143">
        <f t="shared" si="19"/>
        <v>0</v>
      </c>
      <c r="AL208" s="143">
        <v>9146400</v>
      </c>
      <c r="AM208" s="143">
        <f t="shared" si="14"/>
        <v>5067600</v>
      </c>
      <c r="AN208" s="133"/>
      <c r="AO208" s="144">
        <f t="shared" si="15"/>
        <v>0</v>
      </c>
      <c r="AP208" s="133"/>
      <c r="AQ208" s="150">
        <v>43102</v>
      </c>
      <c r="AR208" s="133" t="s">
        <v>739</v>
      </c>
      <c r="AS208" s="150">
        <v>43102</v>
      </c>
      <c r="AT208" s="133" t="s">
        <v>740</v>
      </c>
      <c r="AU208" s="220"/>
      <c r="AV208" s="220"/>
      <c r="AW208" s="220"/>
    </row>
    <row r="209" spans="1:49" s="221" customFormat="1" ht="370.5" x14ac:dyDescent="0.25">
      <c r="A209" s="63">
        <f t="shared" si="18"/>
        <v>22</v>
      </c>
      <c r="B209" s="128" t="str">
        <f t="shared" si="16"/>
        <v>208-22</v>
      </c>
      <c r="C209" s="129" t="s">
        <v>713</v>
      </c>
      <c r="D209" s="130" t="s">
        <v>714</v>
      </c>
      <c r="E209" s="145" t="s">
        <v>725</v>
      </c>
      <c r="F209" s="111" t="s">
        <v>52</v>
      </c>
      <c r="G209" s="145" t="s">
        <v>53</v>
      </c>
      <c r="H209" s="111" t="s">
        <v>733</v>
      </c>
      <c r="I209" s="111" t="s">
        <v>55</v>
      </c>
      <c r="J209" s="111" t="s">
        <v>56</v>
      </c>
      <c r="K209" s="63">
        <v>801116</v>
      </c>
      <c r="L209" s="111" t="s">
        <v>720</v>
      </c>
      <c r="M209" s="111" t="s">
        <v>58</v>
      </c>
      <c r="N209" s="111" t="s">
        <v>59</v>
      </c>
      <c r="O209" s="111" t="s">
        <v>728</v>
      </c>
      <c r="P209" s="227" t="s">
        <v>753</v>
      </c>
      <c r="Q209" s="134">
        <f t="shared" si="17"/>
        <v>2884000</v>
      </c>
      <c r="R209" s="146">
        <v>1</v>
      </c>
      <c r="S209" s="136">
        <v>33166000</v>
      </c>
      <c r="T209" s="137" t="s">
        <v>747</v>
      </c>
      <c r="U209" s="148" t="s">
        <v>445</v>
      </c>
      <c r="V209" s="148" t="s">
        <v>64</v>
      </c>
      <c r="W209" s="153">
        <v>11.5</v>
      </c>
      <c r="X209" s="133">
        <v>93</v>
      </c>
      <c r="Y209" s="81">
        <v>43102</v>
      </c>
      <c r="Z209" s="154">
        <v>33166000</v>
      </c>
      <c r="AA209" s="140"/>
      <c r="AB209" s="141">
        <v>43</v>
      </c>
      <c r="AC209" s="150">
        <v>43103</v>
      </c>
      <c r="AD209" s="143">
        <v>33166000</v>
      </c>
      <c r="AE209" s="143">
        <f t="shared" si="12"/>
        <v>0</v>
      </c>
      <c r="AF209" s="133">
        <v>185</v>
      </c>
      <c r="AG209" s="81">
        <v>43118</v>
      </c>
      <c r="AH209" s="143">
        <v>33166000</v>
      </c>
      <c r="AI209" s="63" t="s">
        <v>754</v>
      </c>
      <c r="AJ209" s="63">
        <v>136</v>
      </c>
      <c r="AK209" s="143">
        <f t="shared" si="19"/>
        <v>0</v>
      </c>
      <c r="AL209" s="143">
        <v>21341600</v>
      </c>
      <c r="AM209" s="143">
        <f t="shared" si="14"/>
        <v>11824400</v>
      </c>
      <c r="AN209" s="133"/>
      <c r="AO209" s="144">
        <f t="shared" si="15"/>
        <v>0</v>
      </c>
      <c r="AP209" s="133"/>
      <c r="AQ209" s="150">
        <v>43102</v>
      </c>
      <c r="AR209" s="133" t="s">
        <v>739</v>
      </c>
      <c r="AS209" s="150">
        <v>43102</v>
      </c>
      <c r="AT209" s="133" t="s">
        <v>740</v>
      </c>
      <c r="AU209" s="220"/>
      <c r="AV209" s="220"/>
      <c r="AW209" s="220"/>
    </row>
    <row r="210" spans="1:49" s="221" customFormat="1" ht="399" x14ac:dyDescent="0.25">
      <c r="A210" s="63">
        <f t="shared" si="18"/>
        <v>23</v>
      </c>
      <c r="B210" s="128" t="str">
        <f t="shared" si="16"/>
        <v>208-23</v>
      </c>
      <c r="C210" s="129" t="s">
        <v>713</v>
      </c>
      <c r="D210" s="130" t="s">
        <v>714</v>
      </c>
      <c r="E210" s="131" t="s">
        <v>715</v>
      </c>
      <c r="F210" s="111" t="s">
        <v>52</v>
      </c>
      <c r="G210" s="145" t="s">
        <v>53</v>
      </c>
      <c r="H210" s="111" t="s">
        <v>733</v>
      </c>
      <c r="I210" s="111" t="s">
        <v>55</v>
      </c>
      <c r="J210" s="111" t="s">
        <v>56</v>
      </c>
      <c r="K210" s="63">
        <v>801116</v>
      </c>
      <c r="L210" s="111" t="s">
        <v>720</v>
      </c>
      <c r="M210" s="111" t="s">
        <v>58</v>
      </c>
      <c r="N210" s="111" t="s">
        <v>59</v>
      </c>
      <c r="O210" s="111" t="s">
        <v>728</v>
      </c>
      <c r="P210" s="227" t="s">
        <v>749</v>
      </c>
      <c r="Q210" s="134">
        <f t="shared" si="17"/>
        <v>1066050</v>
      </c>
      <c r="R210" s="146">
        <v>1</v>
      </c>
      <c r="S210" s="136">
        <v>12259575</v>
      </c>
      <c r="T210" s="137" t="s">
        <v>747</v>
      </c>
      <c r="U210" s="148" t="s">
        <v>445</v>
      </c>
      <c r="V210" s="148" t="s">
        <v>64</v>
      </c>
      <c r="W210" s="153">
        <v>11.5</v>
      </c>
      <c r="X210" s="133">
        <v>92</v>
      </c>
      <c r="Y210" s="81">
        <v>43102</v>
      </c>
      <c r="Z210" s="154">
        <v>12259575</v>
      </c>
      <c r="AA210" s="140"/>
      <c r="AB210" s="141">
        <v>42</v>
      </c>
      <c r="AC210" s="150">
        <v>43103</v>
      </c>
      <c r="AD210" s="143">
        <v>12259575</v>
      </c>
      <c r="AE210" s="143">
        <f t="shared" si="12"/>
        <v>0</v>
      </c>
      <c r="AF210" s="133">
        <v>329</v>
      </c>
      <c r="AG210" s="81">
        <v>43123</v>
      </c>
      <c r="AH210" s="143">
        <v>12259575</v>
      </c>
      <c r="AI210" s="63" t="s">
        <v>755</v>
      </c>
      <c r="AJ210" s="63">
        <v>288</v>
      </c>
      <c r="AK210" s="143">
        <f t="shared" si="19"/>
        <v>0</v>
      </c>
      <c r="AL210" s="143">
        <v>6680580</v>
      </c>
      <c r="AM210" s="143">
        <f t="shared" si="14"/>
        <v>5578995</v>
      </c>
      <c r="AN210" s="133"/>
      <c r="AO210" s="144">
        <f t="shared" si="15"/>
        <v>0</v>
      </c>
      <c r="AP210" s="133"/>
      <c r="AQ210" s="150">
        <v>43102</v>
      </c>
      <c r="AR210" s="133" t="s">
        <v>739</v>
      </c>
      <c r="AS210" s="150">
        <v>43102</v>
      </c>
      <c r="AT210" s="133" t="s">
        <v>740</v>
      </c>
      <c r="AU210" s="220"/>
      <c r="AV210" s="220"/>
      <c r="AW210" s="220"/>
    </row>
    <row r="211" spans="1:49" s="221" customFormat="1" ht="370.5" x14ac:dyDescent="0.25">
      <c r="A211" s="63">
        <f t="shared" si="18"/>
        <v>24</v>
      </c>
      <c r="B211" s="128" t="str">
        <f t="shared" si="16"/>
        <v>208-24</v>
      </c>
      <c r="C211" s="129" t="s">
        <v>713</v>
      </c>
      <c r="D211" s="130" t="s">
        <v>714</v>
      </c>
      <c r="E211" s="145" t="s">
        <v>725</v>
      </c>
      <c r="F211" s="111" t="s">
        <v>52</v>
      </c>
      <c r="G211" s="145" t="s">
        <v>53</v>
      </c>
      <c r="H211" s="111" t="s">
        <v>733</v>
      </c>
      <c r="I211" s="111" t="s">
        <v>55</v>
      </c>
      <c r="J211" s="111" t="s">
        <v>56</v>
      </c>
      <c r="K211" s="63">
        <v>801116</v>
      </c>
      <c r="L211" s="111" t="s">
        <v>720</v>
      </c>
      <c r="M211" s="111" t="s">
        <v>58</v>
      </c>
      <c r="N211" s="111" t="s">
        <v>59</v>
      </c>
      <c r="O211" s="111" t="s">
        <v>728</v>
      </c>
      <c r="P211" s="227" t="s">
        <v>749</v>
      </c>
      <c r="Q211" s="134">
        <f t="shared" si="17"/>
        <v>2487450</v>
      </c>
      <c r="R211" s="146">
        <v>1</v>
      </c>
      <c r="S211" s="136">
        <v>28605675</v>
      </c>
      <c r="T211" s="137" t="s">
        <v>747</v>
      </c>
      <c r="U211" s="148" t="s">
        <v>445</v>
      </c>
      <c r="V211" s="148" t="s">
        <v>64</v>
      </c>
      <c r="W211" s="153">
        <v>11.5</v>
      </c>
      <c r="X211" s="133">
        <v>91</v>
      </c>
      <c r="Y211" s="81">
        <v>43102</v>
      </c>
      <c r="Z211" s="154">
        <v>28605675</v>
      </c>
      <c r="AA211" s="140"/>
      <c r="AB211" s="141">
        <v>42</v>
      </c>
      <c r="AC211" s="150">
        <v>43103</v>
      </c>
      <c r="AD211" s="143">
        <v>28605675</v>
      </c>
      <c r="AE211" s="143">
        <f t="shared" si="12"/>
        <v>0</v>
      </c>
      <c r="AF211" s="133">
        <v>329</v>
      </c>
      <c r="AG211" s="81">
        <v>43123</v>
      </c>
      <c r="AH211" s="143">
        <v>28605675</v>
      </c>
      <c r="AI211" s="63" t="s">
        <v>755</v>
      </c>
      <c r="AJ211" s="63">
        <v>288</v>
      </c>
      <c r="AK211" s="143">
        <f t="shared" si="19"/>
        <v>0</v>
      </c>
      <c r="AL211" s="143">
        <v>15588019.999999998</v>
      </c>
      <c r="AM211" s="143">
        <f t="shared" si="14"/>
        <v>13017655.000000002</v>
      </c>
      <c r="AN211" s="133"/>
      <c r="AO211" s="144">
        <f t="shared" si="15"/>
        <v>0</v>
      </c>
      <c r="AP211" s="133"/>
      <c r="AQ211" s="150">
        <v>43102</v>
      </c>
      <c r="AR211" s="133" t="s">
        <v>739</v>
      </c>
      <c r="AS211" s="150">
        <v>43102</v>
      </c>
      <c r="AT211" s="133" t="s">
        <v>740</v>
      </c>
      <c r="AU211" s="220"/>
      <c r="AV211" s="220"/>
      <c r="AW211" s="220"/>
    </row>
    <row r="212" spans="1:49" s="221" customFormat="1" ht="399" x14ac:dyDescent="0.25">
      <c r="A212" s="63">
        <f t="shared" si="18"/>
        <v>25</v>
      </c>
      <c r="B212" s="128" t="str">
        <f t="shared" si="16"/>
        <v>208-25</v>
      </c>
      <c r="C212" s="129" t="s">
        <v>713</v>
      </c>
      <c r="D212" s="130" t="s">
        <v>714</v>
      </c>
      <c r="E212" s="131" t="s">
        <v>715</v>
      </c>
      <c r="F212" s="111" t="s">
        <v>52</v>
      </c>
      <c r="G212" s="145" t="s">
        <v>53</v>
      </c>
      <c r="H212" s="111" t="s">
        <v>733</v>
      </c>
      <c r="I212" s="111" t="s">
        <v>55</v>
      </c>
      <c r="J212" s="111" t="s">
        <v>56</v>
      </c>
      <c r="K212" s="63">
        <v>801116</v>
      </c>
      <c r="L212" s="111" t="s">
        <v>720</v>
      </c>
      <c r="M212" s="111" t="s">
        <v>58</v>
      </c>
      <c r="N212" s="111" t="s">
        <v>59</v>
      </c>
      <c r="O212" s="111" t="s">
        <v>728</v>
      </c>
      <c r="P212" s="227" t="s">
        <v>756</v>
      </c>
      <c r="Q212" s="134">
        <f t="shared" si="17"/>
        <v>998070</v>
      </c>
      <c r="R212" s="146">
        <v>1</v>
      </c>
      <c r="S212" s="136">
        <v>11477805</v>
      </c>
      <c r="T212" s="137" t="s">
        <v>747</v>
      </c>
      <c r="U212" s="148" t="s">
        <v>445</v>
      </c>
      <c r="V212" s="148" t="s">
        <v>64</v>
      </c>
      <c r="W212" s="153">
        <v>11.5</v>
      </c>
      <c r="X212" s="133">
        <v>90</v>
      </c>
      <c r="Y212" s="81">
        <v>43102</v>
      </c>
      <c r="Z212" s="154">
        <v>11477805</v>
      </c>
      <c r="AA212" s="140"/>
      <c r="AB212" s="141">
        <v>41</v>
      </c>
      <c r="AC212" s="150">
        <v>43103</v>
      </c>
      <c r="AD212" s="143">
        <v>11477805</v>
      </c>
      <c r="AE212" s="143">
        <f t="shared" si="12"/>
        <v>0</v>
      </c>
      <c r="AF212" s="133">
        <v>120</v>
      </c>
      <c r="AG212" s="81">
        <v>43117</v>
      </c>
      <c r="AH212" s="143">
        <v>11477805</v>
      </c>
      <c r="AI212" s="63" t="s">
        <v>757</v>
      </c>
      <c r="AJ212" s="63">
        <v>99</v>
      </c>
      <c r="AK212" s="143">
        <f t="shared" si="19"/>
        <v>0</v>
      </c>
      <c r="AL212" s="155">
        <v>7418986.7999999998</v>
      </c>
      <c r="AM212" s="143">
        <f t="shared" si="14"/>
        <v>4058818.2</v>
      </c>
      <c r="AN212" s="133"/>
      <c r="AO212" s="144">
        <f t="shared" si="15"/>
        <v>0</v>
      </c>
      <c r="AP212" s="133"/>
      <c r="AQ212" s="150">
        <v>43102</v>
      </c>
      <c r="AR212" s="133" t="s">
        <v>739</v>
      </c>
      <c r="AS212" s="150">
        <v>43102</v>
      </c>
      <c r="AT212" s="133" t="s">
        <v>740</v>
      </c>
      <c r="AU212" s="220"/>
      <c r="AV212" s="220"/>
      <c r="AW212" s="220"/>
    </row>
    <row r="213" spans="1:49" s="221" customFormat="1" ht="370.5" x14ac:dyDescent="0.25">
      <c r="A213" s="63">
        <f t="shared" si="18"/>
        <v>26</v>
      </c>
      <c r="B213" s="128" t="str">
        <f t="shared" si="16"/>
        <v>208-26</v>
      </c>
      <c r="C213" s="129" t="s">
        <v>713</v>
      </c>
      <c r="D213" s="130" t="s">
        <v>714</v>
      </c>
      <c r="E213" s="145" t="s">
        <v>725</v>
      </c>
      <c r="F213" s="111" t="s">
        <v>52</v>
      </c>
      <c r="G213" s="145" t="s">
        <v>53</v>
      </c>
      <c r="H213" s="111" t="s">
        <v>733</v>
      </c>
      <c r="I213" s="111" t="s">
        <v>55</v>
      </c>
      <c r="J213" s="111" t="s">
        <v>56</v>
      </c>
      <c r="K213" s="63">
        <v>801116</v>
      </c>
      <c r="L213" s="111" t="s">
        <v>720</v>
      </c>
      <c r="M213" s="111" t="s">
        <v>58</v>
      </c>
      <c r="N213" s="111" t="s">
        <v>59</v>
      </c>
      <c r="O213" s="111" t="s">
        <v>728</v>
      </c>
      <c r="P213" s="227" t="s">
        <v>756</v>
      </c>
      <c r="Q213" s="134">
        <f t="shared" si="17"/>
        <v>2328830</v>
      </c>
      <c r="R213" s="146">
        <v>1</v>
      </c>
      <c r="S213" s="136">
        <v>26781545</v>
      </c>
      <c r="T213" s="137" t="s">
        <v>747</v>
      </c>
      <c r="U213" s="148" t="s">
        <v>445</v>
      </c>
      <c r="V213" s="148" t="s">
        <v>64</v>
      </c>
      <c r="W213" s="153">
        <v>11.5</v>
      </c>
      <c r="X213" s="133">
        <v>89</v>
      </c>
      <c r="Y213" s="81">
        <v>43102</v>
      </c>
      <c r="Z213" s="154">
        <v>26781545</v>
      </c>
      <c r="AA213" s="140"/>
      <c r="AB213" s="141">
        <v>41</v>
      </c>
      <c r="AC213" s="150">
        <v>43103</v>
      </c>
      <c r="AD213" s="143">
        <v>26781545</v>
      </c>
      <c r="AE213" s="143">
        <f t="shared" si="12"/>
        <v>0</v>
      </c>
      <c r="AF213" s="133">
        <v>120</v>
      </c>
      <c r="AG213" s="81">
        <v>43117</v>
      </c>
      <c r="AH213" s="143">
        <v>26781545</v>
      </c>
      <c r="AI213" s="63" t="s">
        <v>757</v>
      </c>
      <c r="AJ213" s="63">
        <v>99</v>
      </c>
      <c r="AK213" s="143">
        <f t="shared" si="19"/>
        <v>0</v>
      </c>
      <c r="AL213" s="143">
        <v>17310969.199999999</v>
      </c>
      <c r="AM213" s="143">
        <f t="shared" si="14"/>
        <v>9470575.8000000007</v>
      </c>
      <c r="AN213" s="133"/>
      <c r="AO213" s="144">
        <f t="shared" si="15"/>
        <v>0</v>
      </c>
      <c r="AP213" s="133"/>
      <c r="AQ213" s="150">
        <v>43102</v>
      </c>
      <c r="AR213" s="133" t="s">
        <v>739</v>
      </c>
      <c r="AS213" s="150">
        <v>43102</v>
      </c>
      <c r="AT213" s="133" t="s">
        <v>740</v>
      </c>
      <c r="AU213" s="220"/>
      <c r="AV213" s="220"/>
      <c r="AW213" s="220"/>
    </row>
    <row r="214" spans="1:49" s="221" customFormat="1" ht="399" x14ac:dyDescent="0.25">
      <c r="A214" s="63">
        <f t="shared" si="18"/>
        <v>27</v>
      </c>
      <c r="B214" s="128" t="str">
        <f t="shared" si="16"/>
        <v>208-27</v>
      </c>
      <c r="C214" s="129" t="s">
        <v>713</v>
      </c>
      <c r="D214" s="130" t="s">
        <v>714</v>
      </c>
      <c r="E214" s="131" t="s">
        <v>715</v>
      </c>
      <c r="F214" s="111" t="s">
        <v>52</v>
      </c>
      <c r="G214" s="145" t="s">
        <v>53</v>
      </c>
      <c r="H214" s="111" t="s">
        <v>733</v>
      </c>
      <c r="I214" s="111" t="s">
        <v>55</v>
      </c>
      <c r="J214" s="111" t="s">
        <v>56</v>
      </c>
      <c r="K214" s="63">
        <v>801116</v>
      </c>
      <c r="L214" s="111" t="s">
        <v>720</v>
      </c>
      <c r="M214" s="111" t="s">
        <v>58</v>
      </c>
      <c r="N214" s="111" t="s">
        <v>59</v>
      </c>
      <c r="O214" s="111" t="s">
        <v>728</v>
      </c>
      <c r="P214" s="227" t="s">
        <v>758</v>
      </c>
      <c r="Q214" s="134">
        <f t="shared" si="17"/>
        <v>741600</v>
      </c>
      <c r="R214" s="146">
        <v>1</v>
      </c>
      <c r="S214" s="136">
        <v>8528400</v>
      </c>
      <c r="T214" s="137" t="s">
        <v>747</v>
      </c>
      <c r="U214" s="148" t="s">
        <v>445</v>
      </c>
      <c r="V214" s="148" t="s">
        <v>64</v>
      </c>
      <c r="W214" s="153">
        <v>11.5</v>
      </c>
      <c r="X214" s="133">
        <v>88</v>
      </c>
      <c r="Y214" s="81">
        <v>43102</v>
      </c>
      <c r="Z214" s="154">
        <v>8528400</v>
      </c>
      <c r="AA214" s="140"/>
      <c r="AB214" s="141">
        <v>39</v>
      </c>
      <c r="AC214" s="150">
        <v>43103</v>
      </c>
      <c r="AD214" s="143">
        <v>8528400</v>
      </c>
      <c r="AE214" s="143">
        <f t="shared" si="12"/>
        <v>0</v>
      </c>
      <c r="AF214" s="133">
        <v>119</v>
      </c>
      <c r="AG214" s="81">
        <v>43117</v>
      </c>
      <c r="AH214" s="143">
        <v>8528400</v>
      </c>
      <c r="AI214" s="63" t="s">
        <v>759</v>
      </c>
      <c r="AJ214" s="63">
        <v>98</v>
      </c>
      <c r="AK214" s="143">
        <f t="shared" si="19"/>
        <v>0</v>
      </c>
      <c r="AL214" s="143">
        <v>5512560</v>
      </c>
      <c r="AM214" s="143">
        <f t="shared" si="14"/>
        <v>3015840</v>
      </c>
      <c r="AN214" s="133"/>
      <c r="AO214" s="144">
        <f t="shared" si="15"/>
        <v>0</v>
      </c>
      <c r="AP214" s="133"/>
      <c r="AQ214" s="150">
        <v>43102</v>
      </c>
      <c r="AR214" s="133" t="s">
        <v>739</v>
      </c>
      <c r="AS214" s="150">
        <v>43102</v>
      </c>
      <c r="AT214" s="133" t="s">
        <v>740</v>
      </c>
      <c r="AU214" s="220"/>
      <c r="AV214" s="220"/>
      <c r="AW214" s="220"/>
    </row>
    <row r="215" spans="1:49" s="221" customFormat="1" ht="370.5" x14ac:dyDescent="0.25">
      <c r="A215" s="63">
        <f t="shared" si="18"/>
        <v>28</v>
      </c>
      <c r="B215" s="128" t="str">
        <f t="shared" si="16"/>
        <v>208-28</v>
      </c>
      <c r="C215" s="129" t="s">
        <v>713</v>
      </c>
      <c r="D215" s="130" t="s">
        <v>714</v>
      </c>
      <c r="E215" s="145" t="s">
        <v>725</v>
      </c>
      <c r="F215" s="111" t="s">
        <v>52</v>
      </c>
      <c r="G215" s="145" t="s">
        <v>53</v>
      </c>
      <c r="H215" s="111" t="s">
        <v>733</v>
      </c>
      <c r="I215" s="111" t="s">
        <v>55</v>
      </c>
      <c r="J215" s="111" t="s">
        <v>56</v>
      </c>
      <c r="K215" s="63">
        <v>801116</v>
      </c>
      <c r="L215" s="111" t="s">
        <v>720</v>
      </c>
      <c r="M215" s="111" t="s">
        <v>58</v>
      </c>
      <c r="N215" s="111" t="s">
        <v>59</v>
      </c>
      <c r="O215" s="111" t="s">
        <v>728</v>
      </c>
      <c r="P215" s="227" t="s">
        <v>758</v>
      </c>
      <c r="Q215" s="134">
        <f t="shared" si="17"/>
        <v>1730400</v>
      </c>
      <c r="R215" s="146">
        <v>1</v>
      </c>
      <c r="S215" s="136">
        <v>19899600</v>
      </c>
      <c r="T215" s="137" t="s">
        <v>747</v>
      </c>
      <c r="U215" s="148" t="s">
        <v>445</v>
      </c>
      <c r="V215" s="148" t="s">
        <v>64</v>
      </c>
      <c r="W215" s="153">
        <v>11.5</v>
      </c>
      <c r="X215" s="133">
        <v>87</v>
      </c>
      <c r="Y215" s="81">
        <v>43102</v>
      </c>
      <c r="Z215" s="154">
        <v>19899600</v>
      </c>
      <c r="AA215" s="140"/>
      <c r="AB215" s="141">
        <v>39</v>
      </c>
      <c r="AC215" s="150">
        <v>43103</v>
      </c>
      <c r="AD215" s="143">
        <v>19899600</v>
      </c>
      <c r="AE215" s="143">
        <f t="shared" si="12"/>
        <v>0</v>
      </c>
      <c r="AF215" s="133">
        <v>119</v>
      </c>
      <c r="AG215" s="81">
        <v>43117</v>
      </c>
      <c r="AH215" s="143">
        <v>19899600</v>
      </c>
      <c r="AI215" s="63" t="s">
        <v>759</v>
      </c>
      <c r="AJ215" s="63">
        <v>98</v>
      </c>
      <c r="AK215" s="143">
        <f t="shared" si="19"/>
        <v>0</v>
      </c>
      <c r="AL215" s="143">
        <v>12862640</v>
      </c>
      <c r="AM215" s="143">
        <f t="shared" si="14"/>
        <v>7036960</v>
      </c>
      <c r="AN215" s="133"/>
      <c r="AO215" s="144">
        <f t="shared" si="15"/>
        <v>0</v>
      </c>
      <c r="AP215" s="133"/>
      <c r="AQ215" s="150">
        <v>43102</v>
      </c>
      <c r="AR215" s="133" t="s">
        <v>739</v>
      </c>
      <c r="AS215" s="150">
        <v>43102</v>
      </c>
      <c r="AT215" s="133" t="s">
        <v>740</v>
      </c>
      <c r="AU215" s="220"/>
      <c r="AV215" s="220"/>
      <c r="AW215" s="220"/>
    </row>
    <row r="216" spans="1:49" s="221" customFormat="1" ht="399" x14ac:dyDescent="0.25">
      <c r="A216" s="63">
        <f t="shared" si="18"/>
        <v>29</v>
      </c>
      <c r="B216" s="128" t="str">
        <f t="shared" si="16"/>
        <v>208-29</v>
      </c>
      <c r="C216" s="129" t="s">
        <v>713</v>
      </c>
      <c r="D216" s="130" t="s">
        <v>714</v>
      </c>
      <c r="E216" s="131" t="s">
        <v>715</v>
      </c>
      <c r="F216" s="111" t="s">
        <v>52</v>
      </c>
      <c r="G216" s="145" t="s">
        <v>53</v>
      </c>
      <c r="H216" s="111" t="s">
        <v>733</v>
      </c>
      <c r="I216" s="111" t="s">
        <v>55</v>
      </c>
      <c r="J216" s="111" t="s">
        <v>56</v>
      </c>
      <c r="K216" s="63">
        <v>801116</v>
      </c>
      <c r="L216" s="111" t="s">
        <v>720</v>
      </c>
      <c r="M216" s="111" t="s">
        <v>58</v>
      </c>
      <c r="N216" s="111" t="s">
        <v>59</v>
      </c>
      <c r="O216" s="111" t="s">
        <v>728</v>
      </c>
      <c r="P216" s="227" t="s">
        <v>760</v>
      </c>
      <c r="Q216" s="134">
        <f t="shared" si="17"/>
        <v>1500000</v>
      </c>
      <c r="R216" s="146">
        <v>1</v>
      </c>
      <c r="S216" s="136">
        <f>24874500-7624500</f>
        <v>17250000</v>
      </c>
      <c r="T216" s="137" t="s">
        <v>747</v>
      </c>
      <c r="U216" s="148" t="s">
        <v>445</v>
      </c>
      <c r="V216" s="148" t="s">
        <v>64</v>
      </c>
      <c r="W216" s="153">
        <v>11.5</v>
      </c>
      <c r="X216" s="133" t="s">
        <v>761</v>
      </c>
      <c r="Y216" s="81">
        <v>43118</v>
      </c>
      <c r="Z216" s="154">
        <v>17250000</v>
      </c>
      <c r="AA216" s="140"/>
      <c r="AB216" s="141">
        <v>530</v>
      </c>
      <c r="AC216" s="150">
        <v>43118</v>
      </c>
      <c r="AD216" s="143">
        <f>24874500-7624500</f>
        <v>17250000</v>
      </c>
      <c r="AE216" s="143">
        <f t="shared" si="12"/>
        <v>0</v>
      </c>
      <c r="AF216" s="133">
        <v>332</v>
      </c>
      <c r="AG216" s="81">
        <v>43123</v>
      </c>
      <c r="AH216" s="143">
        <f>24874500-7624500</f>
        <v>17250000</v>
      </c>
      <c r="AI216" s="63" t="s">
        <v>762</v>
      </c>
      <c r="AJ216" s="63">
        <v>282</v>
      </c>
      <c r="AK216" s="143">
        <f t="shared" si="19"/>
        <v>0</v>
      </c>
      <c r="AL216" s="143">
        <v>10550000.1</v>
      </c>
      <c r="AM216" s="143">
        <f t="shared" si="14"/>
        <v>6699999.9000000004</v>
      </c>
      <c r="AN216" s="133"/>
      <c r="AO216" s="144">
        <f t="shared" si="15"/>
        <v>0</v>
      </c>
      <c r="AP216" s="133"/>
      <c r="AQ216" s="150">
        <v>43118</v>
      </c>
      <c r="AR216" s="133" t="s">
        <v>739</v>
      </c>
      <c r="AS216" s="150">
        <v>43118</v>
      </c>
      <c r="AT216" s="133" t="s">
        <v>740</v>
      </c>
      <c r="AU216" s="220"/>
      <c r="AV216" s="220"/>
      <c r="AW216" s="220"/>
    </row>
    <row r="217" spans="1:49" s="221" customFormat="1" ht="370.5" x14ac:dyDescent="0.25">
      <c r="A217" s="63">
        <f t="shared" si="18"/>
        <v>30</v>
      </c>
      <c r="B217" s="128" t="str">
        <f t="shared" si="16"/>
        <v>208-30</v>
      </c>
      <c r="C217" s="129" t="s">
        <v>713</v>
      </c>
      <c r="D217" s="130" t="s">
        <v>714</v>
      </c>
      <c r="E217" s="145" t="s">
        <v>725</v>
      </c>
      <c r="F217" s="111" t="s">
        <v>52</v>
      </c>
      <c r="G217" s="145" t="s">
        <v>53</v>
      </c>
      <c r="H217" s="111" t="s">
        <v>733</v>
      </c>
      <c r="I217" s="111" t="s">
        <v>55</v>
      </c>
      <c r="J217" s="111" t="s">
        <v>56</v>
      </c>
      <c r="K217" s="63">
        <v>801116</v>
      </c>
      <c r="L217" s="111" t="s">
        <v>720</v>
      </c>
      <c r="M217" s="111" t="s">
        <v>58</v>
      </c>
      <c r="N217" s="111" t="s">
        <v>59</v>
      </c>
      <c r="O217" s="111" t="s">
        <v>728</v>
      </c>
      <c r="P217" s="227" t="s">
        <v>760</v>
      </c>
      <c r="Q217" s="134">
        <f t="shared" si="17"/>
        <v>3500000</v>
      </c>
      <c r="R217" s="146">
        <v>1</v>
      </c>
      <c r="S217" s="136">
        <f>58040500-17790500</f>
        <v>40250000</v>
      </c>
      <c r="T217" s="137" t="s">
        <v>747</v>
      </c>
      <c r="U217" s="148" t="s">
        <v>445</v>
      </c>
      <c r="V217" s="148" t="s">
        <v>64</v>
      </c>
      <c r="W217" s="153">
        <v>11.5</v>
      </c>
      <c r="X217" s="133" t="s">
        <v>763</v>
      </c>
      <c r="Y217" s="81">
        <v>43118</v>
      </c>
      <c r="Z217" s="154">
        <v>40250000</v>
      </c>
      <c r="AA217" s="140"/>
      <c r="AB217" s="141">
        <v>530</v>
      </c>
      <c r="AC217" s="150">
        <v>43118</v>
      </c>
      <c r="AD217" s="143">
        <f>58040500-17790500</f>
        <v>40250000</v>
      </c>
      <c r="AE217" s="143">
        <f t="shared" si="12"/>
        <v>0</v>
      </c>
      <c r="AF217" s="133">
        <v>332</v>
      </c>
      <c r="AG217" s="81">
        <v>43123</v>
      </c>
      <c r="AH217" s="143">
        <f>58040500-17790500</f>
        <v>40250000</v>
      </c>
      <c r="AI217" s="63" t="s">
        <v>762</v>
      </c>
      <c r="AJ217" s="63">
        <v>282</v>
      </c>
      <c r="AK217" s="143">
        <f t="shared" si="19"/>
        <v>0</v>
      </c>
      <c r="AL217" s="143">
        <v>24616666.899999999</v>
      </c>
      <c r="AM217" s="143">
        <f t="shared" si="14"/>
        <v>15633333.100000001</v>
      </c>
      <c r="AN217" s="133"/>
      <c r="AO217" s="144">
        <f t="shared" si="15"/>
        <v>0</v>
      </c>
      <c r="AP217" s="133"/>
      <c r="AQ217" s="150">
        <v>43118</v>
      </c>
      <c r="AR217" s="133" t="s">
        <v>739</v>
      </c>
      <c r="AS217" s="150">
        <v>43118</v>
      </c>
      <c r="AT217" s="133" t="s">
        <v>740</v>
      </c>
      <c r="AU217" s="220"/>
      <c r="AV217" s="220"/>
      <c r="AW217" s="220"/>
    </row>
    <row r="218" spans="1:49" s="221" customFormat="1" ht="399" x14ac:dyDescent="0.25">
      <c r="A218" s="63">
        <f t="shared" si="18"/>
        <v>31</v>
      </c>
      <c r="B218" s="128" t="str">
        <f t="shared" si="16"/>
        <v>208-31</v>
      </c>
      <c r="C218" s="129" t="s">
        <v>713</v>
      </c>
      <c r="D218" s="130" t="s">
        <v>714</v>
      </c>
      <c r="E218" s="131" t="s">
        <v>715</v>
      </c>
      <c r="F218" s="111" t="s">
        <v>52</v>
      </c>
      <c r="G218" s="145" t="s">
        <v>53</v>
      </c>
      <c r="H218" s="111" t="s">
        <v>733</v>
      </c>
      <c r="I218" s="111" t="s">
        <v>55</v>
      </c>
      <c r="J218" s="111" t="s">
        <v>56</v>
      </c>
      <c r="K218" s="63">
        <v>801116</v>
      </c>
      <c r="L218" s="111" t="s">
        <v>720</v>
      </c>
      <c r="M218" s="111" t="s">
        <v>58</v>
      </c>
      <c r="N218" s="111" t="s">
        <v>59</v>
      </c>
      <c r="O218" s="111" t="s">
        <v>728</v>
      </c>
      <c r="P218" s="227" t="s">
        <v>764</v>
      </c>
      <c r="Q218" s="134">
        <f t="shared" si="17"/>
        <v>0</v>
      </c>
      <c r="R218" s="146">
        <v>1</v>
      </c>
      <c r="S218" s="136">
        <f>17376615-17376615</f>
        <v>0</v>
      </c>
      <c r="T218" s="137" t="s">
        <v>747</v>
      </c>
      <c r="U218" s="148" t="s">
        <v>445</v>
      </c>
      <c r="V218" s="148" t="s">
        <v>64</v>
      </c>
      <c r="W218" s="153">
        <v>11.5</v>
      </c>
      <c r="X218" s="133" t="s">
        <v>765</v>
      </c>
      <c r="Y218" s="81"/>
      <c r="Z218" s="154"/>
      <c r="AA218" s="140"/>
      <c r="AB218" s="141"/>
      <c r="AC218" s="142"/>
      <c r="AD218" s="143"/>
      <c r="AE218" s="143">
        <f t="shared" si="12"/>
        <v>0</v>
      </c>
      <c r="AF218" s="133"/>
      <c r="AG218" s="85"/>
      <c r="AH218" s="143"/>
      <c r="AI218" s="63"/>
      <c r="AJ218" s="63"/>
      <c r="AK218" s="143">
        <f t="shared" si="19"/>
        <v>0</v>
      </c>
      <c r="AL218" s="143"/>
      <c r="AM218" s="143">
        <f t="shared" si="14"/>
        <v>0</v>
      </c>
      <c r="AN218" s="133"/>
      <c r="AO218" s="144">
        <f t="shared" si="15"/>
        <v>0</v>
      </c>
      <c r="AP218" s="133"/>
      <c r="AQ218" s="150"/>
      <c r="AR218" s="133"/>
      <c r="AS218" s="150"/>
      <c r="AT218" s="133"/>
      <c r="AU218" s="220"/>
      <c r="AV218" s="220"/>
      <c r="AW218" s="220"/>
    </row>
    <row r="219" spans="1:49" s="221" customFormat="1" ht="370.5" x14ac:dyDescent="0.25">
      <c r="A219" s="63">
        <f t="shared" si="18"/>
        <v>32</v>
      </c>
      <c r="B219" s="128" t="str">
        <f t="shared" si="16"/>
        <v>208-32</v>
      </c>
      <c r="C219" s="129" t="s">
        <v>713</v>
      </c>
      <c r="D219" s="130" t="s">
        <v>714</v>
      </c>
      <c r="E219" s="145" t="s">
        <v>725</v>
      </c>
      <c r="F219" s="111" t="s">
        <v>52</v>
      </c>
      <c r="G219" s="145" t="s">
        <v>53</v>
      </c>
      <c r="H219" s="111" t="s">
        <v>733</v>
      </c>
      <c r="I219" s="111" t="s">
        <v>55</v>
      </c>
      <c r="J219" s="111" t="s">
        <v>56</v>
      </c>
      <c r="K219" s="63">
        <v>801116</v>
      </c>
      <c r="L219" s="111" t="s">
        <v>720</v>
      </c>
      <c r="M219" s="111" t="s">
        <v>58</v>
      </c>
      <c r="N219" s="111" t="s">
        <v>59</v>
      </c>
      <c r="O219" s="111" t="s">
        <v>728</v>
      </c>
      <c r="P219" s="227" t="s">
        <v>764</v>
      </c>
      <c r="Q219" s="134">
        <f t="shared" si="17"/>
        <v>0</v>
      </c>
      <c r="R219" s="146">
        <v>1</v>
      </c>
      <c r="S219" s="136">
        <f>40545435-40545435</f>
        <v>0</v>
      </c>
      <c r="T219" s="137" t="s">
        <v>747</v>
      </c>
      <c r="U219" s="148" t="s">
        <v>445</v>
      </c>
      <c r="V219" s="148" t="s">
        <v>64</v>
      </c>
      <c r="W219" s="153">
        <v>11.5</v>
      </c>
      <c r="X219" s="133" t="s">
        <v>766</v>
      </c>
      <c r="Y219" s="81"/>
      <c r="Z219" s="154"/>
      <c r="AA219" s="140"/>
      <c r="AB219" s="141"/>
      <c r="AC219" s="142"/>
      <c r="AD219" s="143"/>
      <c r="AE219" s="143">
        <f t="shared" si="12"/>
        <v>0</v>
      </c>
      <c r="AF219" s="133"/>
      <c r="AG219" s="85"/>
      <c r="AH219" s="143"/>
      <c r="AI219" s="63"/>
      <c r="AJ219" s="63"/>
      <c r="AK219" s="143">
        <f t="shared" si="19"/>
        <v>0</v>
      </c>
      <c r="AL219" s="143"/>
      <c r="AM219" s="143">
        <f t="shared" si="14"/>
        <v>0</v>
      </c>
      <c r="AN219" s="133"/>
      <c r="AO219" s="144">
        <f t="shared" si="15"/>
        <v>0</v>
      </c>
      <c r="AP219" s="133"/>
      <c r="AQ219" s="150"/>
      <c r="AR219" s="133"/>
      <c r="AS219" s="150"/>
      <c r="AT219" s="133"/>
      <c r="AU219" s="220"/>
      <c r="AV219" s="220"/>
      <c r="AW219" s="220"/>
    </row>
    <row r="220" spans="1:49" s="221" customFormat="1" ht="399" x14ac:dyDescent="0.25">
      <c r="A220" s="63">
        <f t="shared" si="18"/>
        <v>33</v>
      </c>
      <c r="B220" s="128" t="str">
        <f t="shared" si="16"/>
        <v>208-33</v>
      </c>
      <c r="C220" s="129" t="s">
        <v>713</v>
      </c>
      <c r="D220" s="130" t="s">
        <v>714</v>
      </c>
      <c r="E220" s="131" t="s">
        <v>715</v>
      </c>
      <c r="F220" s="111" t="s">
        <v>52</v>
      </c>
      <c r="G220" s="145" t="s">
        <v>53</v>
      </c>
      <c r="H220" s="111" t="s">
        <v>733</v>
      </c>
      <c r="I220" s="111" t="s">
        <v>55</v>
      </c>
      <c r="J220" s="111" t="s">
        <v>56</v>
      </c>
      <c r="K220" s="63">
        <v>801116</v>
      </c>
      <c r="L220" s="111" t="s">
        <v>720</v>
      </c>
      <c r="M220" s="111" t="s">
        <v>58</v>
      </c>
      <c r="N220" s="111" t="s">
        <v>59</v>
      </c>
      <c r="O220" s="111" t="s">
        <v>728</v>
      </c>
      <c r="P220" s="227" t="s">
        <v>764</v>
      </c>
      <c r="Q220" s="134">
        <f t="shared" si="17"/>
        <v>1699500</v>
      </c>
      <c r="R220" s="146">
        <v>1</v>
      </c>
      <c r="S220" s="136">
        <v>19544250</v>
      </c>
      <c r="T220" s="137" t="s">
        <v>747</v>
      </c>
      <c r="U220" s="148" t="s">
        <v>445</v>
      </c>
      <c r="V220" s="148" t="s">
        <v>64</v>
      </c>
      <c r="W220" s="153">
        <v>11.5</v>
      </c>
      <c r="X220" s="133">
        <v>82</v>
      </c>
      <c r="Y220" s="81">
        <v>43102</v>
      </c>
      <c r="Z220" s="154">
        <v>19544250</v>
      </c>
      <c r="AA220" s="140"/>
      <c r="AB220" s="141">
        <v>35</v>
      </c>
      <c r="AC220" s="150">
        <v>43103</v>
      </c>
      <c r="AD220" s="143">
        <v>19544250</v>
      </c>
      <c r="AE220" s="143">
        <f t="shared" si="12"/>
        <v>0</v>
      </c>
      <c r="AF220" s="133">
        <v>79</v>
      </c>
      <c r="AG220" s="81">
        <v>43116</v>
      </c>
      <c r="AH220" s="143">
        <v>19544250</v>
      </c>
      <c r="AI220" s="63" t="s">
        <v>767</v>
      </c>
      <c r="AJ220" s="63">
        <v>65</v>
      </c>
      <c r="AK220" s="143">
        <f t="shared" si="19"/>
        <v>0</v>
      </c>
      <c r="AL220" s="143">
        <v>12689600.1</v>
      </c>
      <c r="AM220" s="143">
        <f t="shared" si="14"/>
        <v>6854649.9000000004</v>
      </c>
      <c r="AN220" s="133"/>
      <c r="AO220" s="144">
        <f t="shared" si="15"/>
        <v>0</v>
      </c>
      <c r="AP220" s="133"/>
      <c r="AQ220" s="150">
        <v>43102</v>
      </c>
      <c r="AR220" s="133" t="s">
        <v>739</v>
      </c>
      <c r="AS220" s="150">
        <v>43102</v>
      </c>
      <c r="AT220" s="133" t="s">
        <v>740</v>
      </c>
      <c r="AU220" s="220"/>
      <c r="AV220" s="220"/>
      <c r="AW220" s="220"/>
    </row>
    <row r="221" spans="1:49" s="221" customFormat="1" ht="370.5" x14ac:dyDescent="0.25">
      <c r="A221" s="63">
        <f t="shared" si="18"/>
        <v>34</v>
      </c>
      <c r="B221" s="128" t="str">
        <f t="shared" si="16"/>
        <v>208-34</v>
      </c>
      <c r="C221" s="129" t="s">
        <v>713</v>
      </c>
      <c r="D221" s="130" t="s">
        <v>714</v>
      </c>
      <c r="E221" s="145" t="s">
        <v>725</v>
      </c>
      <c r="F221" s="111" t="s">
        <v>52</v>
      </c>
      <c r="G221" s="145" t="s">
        <v>53</v>
      </c>
      <c r="H221" s="111" t="s">
        <v>733</v>
      </c>
      <c r="I221" s="111" t="s">
        <v>55</v>
      </c>
      <c r="J221" s="111" t="s">
        <v>56</v>
      </c>
      <c r="K221" s="63">
        <v>801116</v>
      </c>
      <c r="L221" s="111" t="s">
        <v>720</v>
      </c>
      <c r="M221" s="111" t="s">
        <v>58</v>
      </c>
      <c r="N221" s="111" t="s">
        <v>59</v>
      </c>
      <c r="O221" s="111" t="s">
        <v>728</v>
      </c>
      <c r="P221" s="227" t="s">
        <v>764</v>
      </c>
      <c r="Q221" s="134">
        <f t="shared" si="17"/>
        <v>3965499.9999999995</v>
      </c>
      <c r="R221" s="146">
        <v>1</v>
      </c>
      <c r="S221" s="136">
        <v>45603249.999999993</v>
      </c>
      <c r="T221" s="137" t="s">
        <v>747</v>
      </c>
      <c r="U221" s="148" t="s">
        <v>445</v>
      </c>
      <c r="V221" s="148" t="s">
        <v>64</v>
      </c>
      <c r="W221" s="153">
        <v>11.5</v>
      </c>
      <c r="X221" s="133">
        <v>81</v>
      </c>
      <c r="Y221" s="81">
        <v>43102</v>
      </c>
      <c r="Z221" s="154">
        <v>45603249.999999993</v>
      </c>
      <c r="AA221" s="140"/>
      <c r="AB221" s="141">
        <v>35</v>
      </c>
      <c r="AC221" s="150">
        <v>43103</v>
      </c>
      <c r="AD221" s="143">
        <v>45603249.999999993</v>
      </c>
      <c r="AE221" s="143">
        <f t="shared" si="12"/>
        <v>0</v>
      </c>
      <c r="AF221" s="133">
        <v>79</v>
      </c>
      <c r="AG221" s="81">
        <v>43116</v>
      </c>
      <c r="AH221" s="143">
        <v>45603249.999999993</v>
      </c>
      <c r="AI221" s="63" t="s">
        <v>767</v>
      </c>
      <c r="AJ221" s="63">
        <v>65</v>
      </c>
      <c r="AK221" s="143">
        <f t="shared" si="19"/>
        <v>0</v>
      </c>
      <c r="AL221" s="143">
        <v>29609066.899999999</v>
      </c>
      <c r="AM221" s="143">
        <f t="shared" si="14"/>
        <v>15994183.099999994</v>
      </c>
      <c r="AN221" s="133"/>
      <c r="AO221" s="144">
        <f t="shared" si="15"/>
        <v>0</v>
      </c>
      <c r="AP221" s="133"/>
      <c r="AQ221" s="150">
        <v>43102</v>
      </c>
      <c r="AR221" s="133" t="s">
        <v>739</v>
      </c>
      <c r="AS221" s="150">
        <v>43102</v>
      </c>
      <c r="AT221" s="133" t="s">
        <v>740</v>
      </c>
      <c r="AU221" s="220"/>
      <c r="AV221" s="220"/>
      <c r="AW221" s="220"/>
    </row>
    <row r="222" spans="1:49" s="221" customFormat="1" ht="399" x14ac:dyDescent="0.25">
      <c r="A222" s="63">
        <f t="shared" si="18"/>
        <v>35</v>
      </c>
      <c r="B222" s="128" t="str">
        <f t="shared" si="16"/>
        <v>208-35</v>
      </c>
      <c r="C222" s="129" t="s">
        <v>713</v>
      </c>
      <c r="D222" s="130" t="s">
        <v>714</v>
      </c>
      <c r="E222" s="131" t="s">
        <v>715</v>
      </c>
      <c r="F222" s="111" t="s">
        <v>52</v>
      </c>
      <c r="G222" s="145" t="s">
        <v>53</v>
      </c>
      <c r="H222" s="111" t="s">
        <v>733</v>
      </c>
      <c r="I222" s="111" t="s">
        <v>55</v>
      </c>
      <c r="J222" s="111" t="s">
        <v>56</v>
      </c>
      <c r="K222" s="63">
        <v>801116</v>
      </c>
      <c r="L222" s="111" t="s">
        <v>720</v>
      </c>
      <c r="M222" s="111" t="s">
        <v>58</v>
      </c>
      <c r="N222" s="111" t="s">
        <v>59</v>
      </c>
      <c r="O222" s="111" t="s">
        <v>728</v>
      </c>
      <c r="P222" s="227" t="s">
        <v>764</v>
      </c>
      <c r="Q222" s="134">
        <f t="shared" si="17"/>
        <v>0</v>
      </c>
      <c r="R222" s="146">
        <v>1</v>
      </c>
      <c r="S222" s="136">
        <f>17376615-17376615</f>
        <v>0</v>
      </c>
      <c r="T222" s="137" t="s">
        <v>747</v>
      </c>
      <c r="U222" s="148" t="s">
        <v>445</v>
      </c>
      <c r="V222" s="148" t="s">
        <v>64</v>
      </c>
      <c r="W222" s="153">
        <v>11.5</v>
      </c>
      <c r="X222" s="133" t="s">
        <v>768</v>
      </c>
      <c r="Y222" s="81"/>
      <c r="Z222" s="154"/>
      <c r="AA222" s="140"/>
      <c r="AB222" s="141"/>
      <c r="AC222" s="142"/>
      <c r="AD222" s="143"/>
      <c r="AE222" s="143">
        <f t="shared" si="12"/>
        <v>0</v>
      </c>
      <c r="AF222" s="133"/>
      <c r="AG222" s="85"/>
      <c r="AH222" s="143"/>
      <c r="AI222" s="63"/>
      <c r="AJ222" s="63"/>
      <c r="AK222" s="143">
        <f t="shared" si="19"/>
        <v>0</v>
      </c>
      <c r="AL222" s="143"/>
      <c r="AM222" s="143">
        <f t="shared" si="14"/>
        <v>0</v>
      </c>
      <c r="AN222" s="133"/>
      <c r="AO222" s="144">
        <f t="shared" si="15"/>
        <v>0</v>
      </c>
      <c r="AP222" s="133"/>
      <c r="AQ222" s="150"/>
      <c r="AR222" s="133"/>
      <c r="AS222" s="150"/>
      <c r="AT222" s="133"/>
      <c r="AU222" s="220"/>
      <c r="AV222" s="220"/>
      <c r="AW222" s="220"/>
    </row>
    <row r="223" spans="1:49" s="221" customFormat="1" ht="370.5" x14ac:dyDescent="0.25">
      <c r="A223" s="63">
        <f t="shared" si="18"/>
        <v>36</v>
      </c>
      <c r="B223" s="128" t="str">
        <f t="shared" si="16"/>
        <v>208-36</v>
      </c>
      <c r="C223" s="129" t="s">
        <v>713</v>
      </c>
      <c r="D223" s="130" t="s">
        <v>714</v>
      </c>
      <c r="E223" s="145" t="s">
        <v>725</v>
      </c>
      <c r="F223" s="111" t="s">
        <v>52</v>
      </c>
      <c r="G223" s="145" t="s">
        <v>53</v>
      </c>
      <c r="H223" s="111" t="s">
        <v>733</v>
      </c>
      <c r="I223" s="111" t="s">
        <v>55</v>
      </c>
      <c r="J223" s="111" t="s">
        <v>56</v>
      </c>
      <c r="K223" s="63">
        <v>801116</v>
      </c>
      <c r="L223" s="111" t="s">
        <v>720</v>
      </c>
      <c r="M223" s="111" t="s">
        <v>58</v>
      </c>
      <c r="N223" s="111" t="s">
        <v>59</v>
      </c>
      <c r="O223" s="111" t="s">
        <v>728</v>
      </c>
      <c r="P223" s="227" t="s">
        <v>764</v>
      </c>
      <c r="Q223" s="134">
        <f t="shared" si="17"/>
        <v>0</v>
      </c>
      <c r="R223" s="146">
        <v>1</v>
      </c>
      <c r="S223" s="136">
        <f>40545435-40545435</f>
        <v>0</v>
      </c>
      <c r="T223" s="137" t="s">
        <v>747</v>
      </c>
      <c r="U223" s="148" t="s">
        <v>445</v>
      </c>
      <c r="V223" s="148" t="s">
        <v>64</v>
      </c>
      <c r="W223" s="153">
        <v>11.5</v>
      </c>
      <c r="X223" s="133" t="s">
        <v>769</v>
      </c>
      <c r="Y223" s="81"/>
      <c r="Z223" s="154"/>
      <c r="AA223" s="140"/>
      <c r="AB223" s="141"/>
      <c r="AC223" s="142"/>
      <c r="AD223" s="143"/>
      <c r="AE223" s="143">
        <f t="shared" si="12"/>
        <v>0</v>
      </c>
      <c r="AF223" s="133"/>
      <c r="AG223" s="85"/>
      <c r="AH223" s="143"/>
      <c r="AI223" s="63"/>
      <c r="AJ223" s="63"/>
      <c r="AK223" s="143">
        <f t="shared" si="19"/>
        <v>0</v>
      </c>
      <c r="AL223" s="143"/>
      <c r="AM223" s="143">
        <f t="shared" si="14"/>
        <v>0</v>
      </c>
      <c r="AN223" s="133"/>
      <c r="AO223" s="144">
        <f t="shared" si="15"/>
        <v>0</v>
      </c>
      <c r="AP223" s="133"/>
      <c r="AQ223" s="150"/>
      <c r="AR223" s="133"/>
      <c r="AS223" s="150"/>
      <c r="AT223" s="133"/>
      <c r="AU223" s="220"/>
      <c r="AV223" s="220"/>
      <c r="AW223" s="220"/>
    </row>
    <row r="224" spans="1:49" s="221" customFormat="1" ht="399" x14ac:dyDescent="0.25">
      <c r="A224" s="63">
        <f t="shared" si="18"/>
        <v>37</v>
      </c>
      <c r="B224" s="128" t="str">
        <f t="shared" si="16"/>
        <v>208-37</v>
      </c>
      <c r="C224" s="129" t="s">
        <v>713</v>
      </c>
      <c r="D224" s="130" t="s">
        <v>714</v>
      </c>
      <c r="E224" s="131" t="s">
        <v>715</v>
      </c>
      <c r="F224" s="111" t="s">
        <v>52</v>
      </c>
      <c r="G224" s="145" t="s">
        <v>53</v>
      </c>
      <c r="H224" s="111" t="s">
        <v>733</v>
      </c>
      <c r="I224" s="111" t="s">
        <v>55</v>
      </c>
      <c r="J224" s="111" t="s">
        <v>56</v>
      </c>
      <c r="K224" s="63">
        <v>801116</v>
      </c>
      <c r="L224" s="111" t="s">
        <v>720</v>
      </c>
      <c r="M224" s="111" t="s">
        <v>58</v>
      </c>
      <c r="N224" s="111" t="s">
        <v>59</v>
      </c>
      <c r="O224" s="111" t="s">
        <v>728</v>
      </c>
      <c r="P224" s="227" t="s">
        <v>770</v>
      </c>
      <c r="Q224" s="134">
        <f t="shared" si="17"/>
        <v>1575900</v>
      </c>
      <c r="R224" s="146">
        <v>1</v>
      </c>
      <c r="S224" s="136">
        <v>18122850</v>
      </c>
      <c r="T224" s="137" t="s">
        <v>747</v>
      </c>
      <c r="U224" s="148" t="s">
        <v>445</v>
      </c>
      <c r="V224" s="148" t="s">
        <v>64</v>
      </c>
      <c r="W224" s="153">
        <v>11.5</v>
      </c>
      <c r="X224" s="133">
        <v>78</v>
      </c>
      <c r="Y224" s="81">
        <v>43102</v>
      </c>
      <c r="Z224" s="154">
        <v>18122850</v>
      </c>
      <c r="AA224" s="140"/>
      <c r="AB224" s="141">
        <v>24</v>
      </c>
      <c r="AC224" s="150">
        <v>43102</v>
      </c>
      <c r="AD224" s="143">
        <v>18122850</v>
      </c>
      <c r="AE224" s="143">
        <f t="shared" si="12"/>
        <v>0</v>
      </c>
      <c r="AF224" s="133">
        <v>13</v>
      </c>
      <c r="AG224" s="81">
        <v>43112</v>
      </c>
      <c r="AH224" s="143">
        <v>18122850</v>
      </c>
      <c r="AI224" s="63" t="s">
        <v>771</v>
      </c>
      <c r="AJ224" s="63">
        <v>12</v>
      </c>
      <c r="AK224" s="143">
        <f t="shared" si="19"/>
        <v>0</v>
      </c>
      <c r="AL224" s="143">
        <v>11819250</v>
      </c>
      <c r="AM224" s="143">
        <f t="shared" si="14"/>
        <v>6303600</v>
      </c>
      <c r="AN224" s="133"/>
      <c r="AO224" s="144">
        <f t="shared" si="15"/>
        <v>0</v>
      </c>
      <c r="AP224" s="133"/>
      <c r="AQ224" s="150">
        <v>43102</v>
      </c>
      <c r="AR224" s="133" t="s">
        <v>739</v>
      </c>
      <c r="AS224" s="150">
        <v>43102</v>
      </c>
      <c r="AT224" s="133" t="s">
        <v>740</v>
      </c>
      <c r="AU224" s="220"/>
      <c r="AV224" s="220"/>
      <c r="AW224" s="220"/>
    </row>
    <row r="225" spans="1:49" s="221" customFormat="1" ht="370.5" x14ac:dyDescent="0.25">
      <c r="A225" s="63">
        <f t="shared" si="18"/>
        <v>38</v>
      </c>
      <c r="B225" s="128" t="str">
        <f t="shared" si="16"/>
        <v>208-38</v>
      </c>
      <c r="C225" s="129" t="s">
        <v>713</v>
      </c>
      <c r="D225" s="130" t="s">
        <v>714</v>
      </c>
      <c r="E225" s="145" t="s">
        <v>725</v>
      </c>
      <c r="F225" s="111" t="s">
        <v>52</v>
      </c>
      <c r="G225" s="145" t="s">
        <v>53</v>
      </c>
      <c r="H225" s="111" t="s">
        <v>733</v>
      </c>
      <c r="I225" s="111" t="s">
        <v>55</v>
      </c>
      <c r="J225" s="111" t="s">
        <v>56</v>
      </c>
      <c r="K225" s="63">
        <v>801116</v>
      </c>
      <c r="L225" s="111" t="s">
        <v>720</v>
      </c>
      <c r="M225" s="111" t="s">
        <v>58</v>
      </c>
      <c r="N225" s="111" t="s">
        <v>59</v>
      </c>
      <c r="O225" s="111" t="s">
        <v>728</v>
      </c>
      <c r="P225" s="227" t="s">
        <v>770</v>
      </c>
      <c r="Q225" s="134">
        <f t="shared" si="17"/>
        <v>3677099.9999999995</v>
      </c>
      <c r="R225" s="146">
        <v>1</v>
      </c>
      <c r="S225" s="136">
        <v>42286649.999999993</v>
      </c>
      <c r="T225" s="137" t="s">
        <v>747</v>
      </c>
      <c r="U225" s="148" t="s">
        <v>445</v>
      </c>
      <c r="V225" s="148" t="s">
        <v>64</v>
      </c>
      <c r="W225" s="153">
        <v>11.5</v>
      </c>
      <c r="X225" s="133">
        <v>77</v>
      </c>
      <c r="Y225" s="81">
        <v>43102</v>
      </c>
      <c r="Z225" s="154">
        <v>42286649.999999993</v>
      </c>
      <c r="AA225" s="140"/>
      <c r="AB225" s="141">
        <v>24</v>
      </c>
      <c r="AC225" s="150">
        <v>43102</v>
      </c>
      <c r="AD225" s="143">
        <v>42286649.999999993</v>
      </c>
      <c r="AE225" s="143">
        <f t="shared" si="12"/>
        <v>0</v>
      </c>
      <c r="AF225" s="133">
        <v>13</v>
      </c>
      <c r="AG225" s="81">
        <v>43112</v>
      </c>
      <c r="AH225" s="143">
        <v>42286649.999999993</v>
      </c>
      <c r="AI225" s="63" t="s">
        <v>771</v>
      </c>
      <c r="AJ225" s="63">
        <v>12</v>
      </c>
      <c r="AK225" s="143">
        <f t="shared" si="19"/>
        <v>0</v>
      </c>
      <c r="AL225" s="143">
        <v>27578250</v>
      </c>
      <c r="AM225" s="143">
        <f t="shared" si="14"/>
        <v>14708399.999999993</v>
      </c>
      <c r="AN225" s="133"/>
      <c r="AO225" s="144">
        <f t="shared" si="15"/>
        <v>0</v>
      </c>
      <c r="AP225" s="133"/>
      <c r="AQ225" s="150">
        <v>43102</v>
      </c>
      <c r="AR225" s="133" t="s">
        <v>739</v>
      </c>
      <c r="AS225" s="150">
        <v>43102</v>
      </c>
      <c r="AT225" s="133" t="s">
        <v>740</v>
      </c>
      <c r="AU225" s="220"/>
      <c r="AV225" s="220"/>
      <c r="AW225" s="220"/>
    </row>
    <row r="226" spans="1:49" s="221" customFormat="1" ht="409.5" x14ac:dyDescent="0.25">
      <c r="A226" s="63">
        <f t="shared" si="18"/>
        <v>39</v>
      </c>
      <c r="B226" s="128" t="str">
        <f t="shared" si="16"/>
        <v>208-39</v>
      </c>
      <c r="C226" s="129" t="s">
        <v>713</v>
      </c>
      <c r="D226" s="130" t="s">
        <v>714</v>
      </c>
      <c r="E226" s="131" t="s">
        <v>715</v>
      </c>
      <c r="F226" s="111" t="s">
        <v>52</v>
      </c>
      <c r="G226" s="145" t="s">
        <v>53</v>
      </c>
      <c r="H226" s="111" t="s">
        <v>733</v>
      </c>
      <c r="I226" s="111" t="s">
        <v>55</v>
      </c>
      <c r="J226" s="111" t="s">
        <v>56</v>
      </c>
      <c r="K226" s="63">
        <v>801116</v>
      </c>
      <c r="L226" s="111" t="s">
        <v>720</v>
      </c>
      <c r="M226" s="111" t="s">
        <v>58</v>
      </c>
      <c r="N226" s="111" t="s">
        <v>59</v>
      </c>
      <c r="O226" s="111" t="s">
        <v>728</v>
      </c>
      <c r="P226" s="227" t="s">
        <v>772</v>
      </c>
      <c r="Q226" s="134">
        <f t="shared" si="17"/>
        <v>741600</v>
      </c>
      <c r="R226" s="146">
        <v>1</v>
      </c>
      <c r="S226" s="136">
        <v>8528400</v>
      </c>
      <c r="T226" s="137" t="s">
        <v>747</v>
      </c>
      <c r="U226" s="148" t="s">
        <v>445</v>
      </c>
      <c r="V226" s="148" t="s">
        <v>64</v>
      </c>
      <c r="W226" s="153">
        <v>11.5</v>
      </c>
      <c r="X226" s="133">
        <v>76</v>
      </c>
      <c r="Y226" s="81">
        <v>43102</v>
      </c>
      <c r="Z226" s="154">
        <v>8528400</v>
      </c>
      <c r="AA226" s="140"/>
      <c r="AB226" s="141">
        <v>23</v>
      </c>
      <c r="AC226" s="150">
        <v>43102</v>
      </c>
      <c r="AD226" s="143">
        <v>8528400</v>
      </c>
      <c r="AE226" s="143">
        <f t="shared" si="12"/>
        <v>0</v>
      </c>
      <c r="AF226" s="133">
        <v>163</v>
      </c>
      <c r="AG226" s="81">
        <v>43118</v>
      </c>
      <c r="AH226" s="143">
        <v>8528400</v>
      </c>
      <c r="AI226" s="63" t="s">
        <v>773</v>
      </c>
      <c r="AJ226" s="63">
        <v>132</v>
      </c>
      <c r="AK226" s="143">
        <f t="shared" si="19"/>
        <v>0</v>
      </c>
      <c r="AL226" s="143">
        <v>5512560</v>
      </c>
      <c r="AM226" s="143">
        <f t="shared" si="14"/>
        <v>3015840</v>
      </c>
      <c r="AN226" s="133"/>
      <c r="AO226" s="144">
        <f t="shared" si="15"/>
        <v>0</v>
      </c>
      <c r="AP226" s="133"/>
      <c r="AQ226" s="150">
        <v>43102</v>
      </c>
      <c r="AR226" s="133" t="s">
        <v>739</v>
      </c>
      <c r="AS226" s="150">
        <v>43102</v>
      </c>
      <c r="AT226" s="133" t="s">
        <v>740</v>
      </c>
      <c r="AU226" s="220"/>
      <c r="AV226" s="220"/>
      <c r="AW226" s="220"/>
    </row>
    <row r="227" spans="1:49" s="221" customFormat="1" ht="409.5" x14ac:dyDescent="0.25">
      <c r="A227" s="63">
        <f t="shared" si="18"/>
        <v>40</v>
      </c>
      <c r="B227" s="128" t="str">
        <f t="shared" si="16"/>
        <v>208-40</v>
      </c>
      <c r="C227" s="129" t="s">
        <v>713</v>
      </c>
      <c r="D227" s="130" t="s">
        <v>714</v>
      </c>
      <c r="E227" s="145" t="s">
        <v>725</v>
      </c>
      <c r="F227" s="111" t="s">
        <v>52</v>
      </c>
      <c r="G227" s="145" t="s">
        <v>53</v>
      </c>
      <c r="H227" s="111" t="s">
        <v>733</v>
      </c>
      <c r="I227" s="111" t="s">
        <v>55</v>
      </c>
      <c r="J227" s="111" t="s">
        <v>56</v>
      </c>
      <c r="K227" s="63">
        <v>801116</v>
      </c>
      <c r="L227" s="111" t="s">
        <v>720</v>
      </c>
      <c r="M227" s="111" t="s">
        <v>58</v>
      </c>
      <c r="N227" s="111" t="s">
        <v>59</v>
      </c>
      <c r="O227" s="111" t="s">
        <v>728</v>
      </c>
      <c r="P227" s="227" t="s">
        <v>772</v>
      </c>
      <c r="Q227" s="134">
        <f t="shared" si="17"/>
        <v>1730400</v>
      </c>
      <c r="R227" s="146">
        <v>1</v>
      </c>
      <c r="S227" s="136">
        <v>19899600</v>
      </c>
      <c r="T227" s="137" t="s">
        <v>747</v>
      </c>
      <c r="U227" s="148" t="s">
        <v>445</v>
      </c>
      <c r="V227" s="148" t="s">
        <v>64</v>
      </c>
      <c r="W227" s="153">
        <v>11.5</v>
      </c>
      <c r="X227" s="133">
        <v>75</v>
      </c>
      <c r="Y227" s="81">
        <v>43102</v>
      </c>
      <c r="Z227" s="154">
        <v>19899600</v>
      </c>
      <c r="AA227" s="140"/>
      <c r="AB227" s="141">
        <v>23</v>
      </c>
      <c r="AC227" s="150">
        <v>43102</v>
      </c>
      <c r="AD227" s="143">
        <v>19899600</v>
      </c>
      <c r="AE227" s="143">
        <f t="shared" si="12"/>
        <v>0</v>
      </c>
      <c r="AF227" s="133">
        <v>163</v>
      </c>
      <c r="AG227" s="81">
        <v>43118</v>
      </c>
      <c r="AH227" s="143">
        <v>19899600</v>
      </c>
      <c r="AI227" s="63" t="s">
        <v>773</v>
      </c>
      <c r="AJ227" s="63">
        <v>132</v>
      </c>
      <c r="AK227" s="143">
        <f t="shared" si="19"/>
        <v>0</v>
      </c>
      <c r="AL227" s="143">
        <v>12862640</v>
      </c>
      <c r="AM227" s="143">
        <f t="shared" si="14"/>
        <v>7036960</v>
      </c>
      <c r="AN227" s="133"/>
      <c r="AO227" s="144">
        <f t="shared" si="15"/>
        <v>0</v>
      </c>
      <c r="AP227" s="133"/>
      <c r="AQ227" s="150">
        <v>43102</v>
      </c>
      <c r="AR227" s="133" t="s">
        <v>739</v>
      </c>
      <c r="AS227" s="150">
        <v>43102</v>
      </c>
      <c r="AT227" s="133" t="s">
        <v>740</v>
      </c>
      <c r="AU227" s="220"/>
      <c r="AV227" s="220"/>
      <c r="AW227" s="220"/>
    </row>
    <row r="228" spans="1:49" s="221" customFormat="1" ht="399" x14ac:dyDescent="0.25">
      <c r="A228" s="63">
        <f t="shared" si="18"/>
        <v>41</v>
      </c>
      <c r="B228" s="128" t="str">
        <f t="shared" si="16"/>
        <v>208-41</v>
      </c>
      <c r="C228" s="129" t="s">
        <v>713</v>
      </c>
      <c r="D228" s="130" t="s">
        <v>714</v>
      </c>
      <c r="E228" s="131" t="s">
        <v>715</v>
      </c>
      <c r="F228" s="111" t="s">
        <v>52</v>
      </c>
      <c r="G228" s="145" t="s">
        <v>53</v>
      </c>
      <c r="H228" s="111" t="s">
        <v>733</v>
      </c>
      <c r="I228" s="111" t="s">
        <v>55</v>
      </c>
      <c r="J228" s="111" t="s">
        <v>56</v>
      </c>
      <c r="K228" s="63">
        <v>801116</v>
      </c>
      <c r="L228" s="111" t="s">
        <v>720</v>
      </c>
      <c r="M228" s="111" t="s">
        <v>58</v>
      </c>
      <c r="N228" s="111" t="s">
        <v>59</v>
      </c>
      <c r="O228" s="111" t="s">
        <v>728</v>
      </c>
      <c r="P228" s="227" t="s">
        <v>774</v>
      </c>
      <c r="Q228" s="134">
        <f t="shared" si="17"/>
        <v>463500</v>
      </c>
      <c r="R228" s="146">
        <v>1</v>
      </c>
      <c r="S228" s="136">
        <v>5330250</v>
      </c>
      <c r="T228" s="137" t="s">
        <v>747</v>
      </c>
      <c r="U228" s="148" t="s">
        <v>445</v>
      </c>
      <c r="V228" s="148" t="s">
        <v>64</v>
      </c>
      <c r="W228" s="153">
        <v>11.5</v>
      </c>
      <c r="X228" s="133">
        <v>74</v>
      </c>
      <c r="Y228" s="81">
        <v>43102</v>
      </c>
      <c r="Z228" s="154">
        <v>5330250</v>
      </c>
      <c r="AA228" s="140"/>
      <c r="AB228" s="141">
        <v>22</v>
      </c>
      <c r="AC228" s="150">
        <v>43102</v>
      </c>
      <c r="AD228" s="143">
        <v>5330250</v>
      </c>
      <c r="AE228" s="143">
        <f t="shared" si="12"/>
        <v>0</v>
      </c>
      <c r="AF228" s="133">
        <v>144</v>
      </c>
      <c r="AG228" s="81">
        <v>43117</v>
      </c>
      <c r="AH228" s="143">
        <v>5330250</v>
      </c>
      <c r="AI228" s="63" t="s">
        <v>775</v>
      </c>
      <c r="AJ228" s="63">
        <v>148</v>
      </c>
      <c r="AK228" s="143">
        <f t="shared" si="19"/>
        <v>0</v>
      </c>
      <c r="AL228" s="143">
        <v>3445350</v>
      </c>
      <c r="AM228" s="143">
        <f t="shared" si="14"/>
        <v>1884900</v>
      </c>
      <c r="AN228" s="133"/>
      <c r="AO228" s="144">
        <f t="shared" si="15"/>
        <v>0</v>
      </c>
      <c r="AP228" s="133"/>
      <c r="AQ228" s="150">
        <v>43102</v>
      </c>
      <c r="AR228" s="133" t="s">
        <v>739</v>
      </c>
      <c r="AS228" s="150">
        <v>43102</v>
      </c>
      <c r="AT228" s="133" t="s">
        <v>740</v>
      </c>
      <c r="AU228" s="220"/>
      <c r="AV228" s="220"/>
      <c r="AW228" s="220"/>
    </row>
    <row r="229" spans="1:49" s="221" customFormat="1" ht="370.5" x14ac:dyDescent="0.25">
      <c r="A229" s="63">
        <f t="shared" si="18"/>
        <v>42</v>
      </c>
      <c r="B229" s="128" t="str">
        <f t="shared" si="16"/>
        <v>208-42</v>
      </c>
      <c r="C229" s="129" t="s">
        <v>713</v>
      </c>
      <c r="D229" s="130" t="s">
        <v>714</v>
      </c>
      <c r="E229" s="145" t="s">
        <v>725</v>
      </c>
      <c r="F229" s="111" t="s">
        <v>52</v>
      </c>
      <c r="G229" s="145" t="s">
        <v>53</v>
      </c>
      <c r="H229" s="111" t="s">
        <v>733</v>
      </c>
      <c r="I229" s="111" t="s">
        <v>55</v>
      </c>
      <c r="J229" s="111" t="s">
        <v>56</v>
      </c>
      <c r="K229" s="63">
        <v>801116</v>
      </c>
      <c r="L229" s="111" t="s">
        <v>720</v>
      </c>
      <c r="M229" s="111" t="s">
        <v>58</v>
      </c>
      <c r="N229" s="111" t="s">
        <v>59</v>
      </c>
      <c r="O229" s="111" t="s">
        <v>728</v>
      </c>
      <c r="P229" s="227" t="s">
        <v>774</v>
      </c>
      <c r="Q229" s="134">
        <f t="shared" si="17"/>
        <v>1081500</v>
      </c>
      <c r="R229" s="146">
        <v>1</v>
      </c>
      <c r="S229" s="136">
        <v>12437250</v>
      </c>
      <c r="T229" s="137" t="s">
        <v>747</v>
      </c>
      <c r="U229" s="148" t="s">
        <v>445</v>
      </c>
      <c r="V229" s="148" t="s">
        <v>64</v>
      </c>
      <c r="W229" s="153">
        <v>11.5</v>
      </c>
      <c r="X229" s="133">
        <v>73</v>
      </c>
      <c r="Y229" s="81">
        <v>43102</v>
      </c>
      <c r="Z229" s="154">
        <v>12437250</v>
      </c>
      <c r="AA229" s="140"/>
      <c r="AB229" s="141">
        <v>22</v>
      </c>
      <c r="AC229" s="150">
        <v>43102</v>
      </c>
      <c r="AD229" s="143">
        <v>12437250</v>
      </c>
      <c r="AE229" s="143">
        <f t="shared" si="12"/>
        <v>0</v>
      </c>
      <c r="AF229" s="133">
        <v>144</v>
      </c>
      <c r="AG229" s="81">
        <v>43117</v>
      </c>
      <c r="AH229" s="143">
        <v>12437250</v>
      </c>
      <c r="AI229" s="63" t="s">
        <v>775</v>
      </c>
      <c r="AJ229" s="63">
        <v>148</v>
      </c>
      <c r="AK229" s="143">
        <f t="shared" si="19"/>
        <v>0</v>
      </c>
      <c r="AL229" s="143">
        <v>8039149.9999999991</v>
      </c>
      <c r="AM229" s="143">
        <f t="shared" si="14"/>
        <v>4398100.0000000009</v>
      </c>
      <c r="AN229" s="133"/>
      <c r="AO229" s="144">
        <f t="shared" si="15"/>
        <v>0</v>
      </c>
      <c r="AP229" s="133"/>
      <c r="AQ229" s="150">
        <v>43102</v>
      </c>
      <c r="AR229" s="133" t="s">
        <v>739</v>
      </c>
      <c r="AS229" s="150">
        <v>43102</v>
      </c>
      <c r="AT229" s="133" t="s">
        <v>740</v>
      </c>
      <c r="AU229" s="220"/>
      <c r="AV229" s="220"/>
      <c r="AW229" s="220"/>
    </row>
    <row r="230" spans="1:49" s="221" customFormat="1" ht="399" x14ac:dyDescent="0.25">
      <c r="A230" s="63">
        <f t="shared" si="18"/>
        <v>43</v>
      </c>
      <c r="B230" s="128" t="str">
        <f t="shared" si="16"/>
        <v>208-43</v>
      </c>
      <c r="C230" s="129" t="s">
        <v>713</v>
      </c>
      <c r="D230" s="130" t="s">
        <v>714</v>
      </c>
      <c r="E230" s="131" t="s">
        <v>715</v>
      </c>
      <c r="F230" s="111" t="s">
        <v>52</v>
      </c>
      <c r="G230" s="145" t="s">
        <v>53</v>
      </c>
      <c r="H230" s="111" t="s">
        <v>733</v>
      </c>
      <c r="I230" s="111" t="s">
        <v>55</v>
      </c>
      <c r="J230" s="111" t="s">
        <v>56</v>
      </c>
      <c r="K230" s="63">
        <v>801116</v>
      </c>
      <c r="L230" s="111" t="s">
        <v>720</v>
      </c>
      <c r="M230" s="111" t="s">
        <v>58</v>
      </c>
      <c r="N230" s="111" t="s">
        <v>59</v>
      </c>
      <c r="O230" s="111" t="s">
        <v>728</v>
      </c>
      <c r="P230" s="227" t="s">
        <v>774</v>
      </c>
      <c r="Q230" s="134">
        <f t="shared" si="17"/>
        <v>463500</v>
      </c>
      <c r="R230" s="146">
        <v>1</v>
      </c>
      <c r="S230" s="136">
        <v>5330250</v>
      </c>
      <c r="T230" s="137" t="s">
        <v>747</v>
      </c>
      <c r="U230" s="148" t="s">
        <v>445</v>
      </c>
      <c r="V230" s="148" t="s">
        <v>64</v>
      </c>
      <c r="W230" s="153">
        <v>11.5</v>
      </c>
      <c r="X230" s="133">
        <v>72</v>
      </c>
      <c r="Y230" s="81">
        <v>43102</v>
      </c>
      <c r="Z230" s="154">
        <v>5330250</v>
      </c>
      <c r="AA230" s="140"/>
      <c r="AB230" s="141">
        <v>20</v>
      </c>
      <c r="AC230" s="150">
        <v>43102</v>
      </c>
      <c r="AD230" s="143">
        <v>5330250</v>
      </c>
      <c r="AE230" s="143">
        <f t="shared" si="12"/>
        <v>0</v>
      </c>
      <c r="AF230" s="133">
        <v>168</v>
      </c>
      <c r="AG230" s="81">
        <v>43118</v>
      </c>
      <c r="AH230" s="143">
        <v>5330250</v>
      </c>
      <c r="AI230" s="63" t="s">
        <v>776</v>
      </c>
      <c r="AJ230" s="63">
        <v>129</v>
      </c>
      <c r="AK230" s="143">
        <f t="shared" si="19"/>
        <v>0</v>
      </c>
      <c r="AL230" s="143">
        <v>3445350</v>
      </c>
      <c r="AM230" s="143">
        <f t="shared" si="14"/>
        <v>1884900</v>
      </c>
      <c r="AN230" s="133"/>
      <c r="AO230" s="144">
        <f t="shared" si="15"/>
        <v>0</v>
      </c>
      <c r="AP230" s="133"/>
      <c r="AQ230" s="150">
        <v>43102</v>
      </c>
      <c r="AR230" s="133" t="s">
        <v>739</v>
      </c>
      <c r="AS230" s="150">
        <v>43102</v>
      </c>
      <c r="AT230" s="133" t="s">
        <v>740</v>
      </c>
      <c r="AU230" s="220"/>
      <c r="AV230" s="220"/>
      <c r="AW230" s="220"/>
    </row>
    <row r="231" spans="1:49" s="221" customFormat="1" ht="370.5" x14ac:dyDescent="0.25">
      <c r="A231" s="63">
        <f t="shared" si="18"/>
        <v>44</v>
      </c>
      <c r="B231" s="128" t="str">
        <f t="shared" si="16"/>
        <v>208-44</v>
      </c>
      <c r="C231" s="129" t="s">
        <v>713</v>
      </c>
      <c r="D231" s="130" t="s">
        <v>714</v>
      </c>
      <c r="E231" s="145" t="s">
        <v>725</v>
      </c>
      <c r="F231" s="111" t="s">
        <v>52</v>
      </c>
      <c r="G231" s="145" t="s">
        <v>53</v>
      </c>
      <c r="H231" s="111" t="s">
        <v>733</v>
      </c>
      <c r="I231" s="111" t="s">
        <v>55</v>
      </c>
      <c r="J231" s="111" t="s">
        <v>56</v>
      </c>
      <c r="K231" s="63">
        <v>801116</v>
      </c>
      <c r="L231" s="111" t="s">
        <v>720</v>
      </c>
      <c r="M231" s="111" t="s">
        <v>58</v>
      </c>
      <c r="N231" s="111" t="s">
        <v>59</v>
      </c>
      <c r="O231" s="111" t="s">
        <v>728</v>
      </c>
      <c r="P231" s="227" t="s">
        <v>774</v>
      </c>
      <c r="Q231" s="134">
        <f t="shared" si="17"/>
        <v>1081500</v>
      </c>
      <c r="R231" s="146">
        <v>1</v>
      </c>
      <c r="S231" s="136">
        <v>12437250</v>
      </c>
      <c r="T231" s="137" t="s">
        <v>747</v>
      </c>
      <c r="U231" s="148" t="s">
        <v>445</v>
      </c>
      <c r="V231" s="148" t="s">
        <v>64</v>
      </c>
      <c r="W231" s="153">
        <v>11.5</v>
      </c>
      <c r="X231" s="133">
        <v>71</v>
      </c>
      <c r="Y231" s="81">
        <v>43102</v>
      </c>
      <c r="Z231" s="154">
        <v>12437250</v>
      </c>
      <c r="AA231" s="140"/>
      <c r="AB231" s="141">
        <v>20</v>
      </c>
      <c r="AC231" s="150">
        <v>43102</v>
      </c>
      <c r="AD231" s="143">
        <v>12437250</v>
      </c>
      <c r="AE231" s="143">
        <f t="shared" si="12"/>
        <v>0</v>
      </c>
      <c r="AF231" s="133">
        <v>168</v>
      </c>
      <c r="AG231" s="81">
        <v>43118</v>
      </c>
      <c r="AH231" s="143">
        <v>12437250</v>
      </c>
      <c r="AI231" s="63" t="s">
        <v>776</v>
      </c>
      <c r="AJ231" s="63">
        <v>129</v>
      </c>
      <c r="AK231" s="143">
        <f t="shared" si="19"/>
        <v>0</v>
      </c>
      <c r="AL231" s="143">
        <v>8039149.9999999991</v>
      </c>
      <c r="AM231" s="143">
        <f t="shared" si="14"/>
        <v>4398100.0000000009</v>
      </c>
      <c r="AN231" s="133"/>
      <c r="AO231" s="144">
        <f t="shared" si="15"/>
        <v>0</v>
      </c>
      <c r="AP231" s="133"/>
      <c r="AQ231" s="150">
        <v>43102</v>
      </c>
      <c r="AR231" s="133" t="s">
        <v>739</v>
      </c>
      <c r="AS231" s="150">
        <v>43102</v>
      </c>
      <c r="AT231" s="133" t="s">
        <v>740</v>
      </c>
      <c r="AU231" s="220"/>
      <c r="AV231" s="220"/>
      <c r="AW231" s="220"/>
    </row>
    <row r="232" spans="1:49" s="221" customFormat="1" ht="399" x14ac:dyDescent="0.25">
      <c r="A232" s="63">
        <f t="shared" si="18"/>
        <v>45</v>
      </c>
      <c r="B232" s="128" t="str">
        <f t="shared" si="16"/>
        <v>208-45</v>
      </c>
      <c r="C232" s="129" t="s">
        <v>713</v>
      </c>
      <c r="D232" s="130" t="s">
        <v>714</v>
      </c>
      <c r="E232" s="131" t="s">
        <v>715</v>
      </c>
      <c r="F232" s="111" t="s">
        <v>52</v>
      </c>
      <c r="G232" s="145" t="s">
        <v>53</v>
      </c>
      <c r="H232" s="111" t="s">
        <v>733</v>
      </c>
      <c r="I232" s="111" t="s">
        <v>55</v>
      </c>
      <c r="J232" s="111" t="s">
        <v>56</v>
      </c>
      <c r="K232" s="63">
        <v>801116</v>
      </c>
      <c r="L232" s="111" t="s">
        <v>720</v>
      </c>
      <c r="M232" s="111" t="s">
        <v>58</v>
      </c>
      <c r="N232" s="111" t="s">
        <v>59</v>
      </c>
      <c r="O232" s="111" t="s">
        <v>728</v>
      </c>
      <c r="P232" s="227" t="s">
        <v>774</v>
      </c>
      <c r="Q232" s="134">
        <f t="shared" si="17"/>
        <v>463500</v>
      </c>
      <c r="R232" s="146">
        <v>1</v>
      </c>
      <c r="S232" s="136">
        <v>5330250</v>
      </c>
      <c r="T232" s="137" t="s">
        <v>747</v>
      </c>
      <c r="U232" s="148" t="s">
        <v>445</v>
      </c>
      <c r="V232" s="148" t="s">
        <v>64</v>
      </c>
      <c r="W232" s="153">
        <v>11.5</v>
      </c>
      <c r="X232" s="133">
        <v>70</v>
      </c>
      <c r="Y232" s="81">
        <v>43102</v>
      </c>
      <c r="Z232" s="154">
        <v>5330250</v>
      </c>
      <c r="AA232" s="140"/>
      <c r="AB232" s="141">
        <v>19</v>
      </c>
      <c r="AC232" s="150">
        <v>43102</v>
      </c>
      <c r="AD232" s="143">
        <v>5330250</v>
      </c>
      <c r="AE232" s="143">
        <f t="shared" si="12"/>
        <v>0</v>
      </c>
      <c r="AF232" s="133">
        <v>167</v>
      </c>
      <c r="AG232" s="81">
        <v>43118</v>
      </c>
      <c r="AH232" s="143">
        <v>5330250</v>
      </c>
      <c r="AI232" s="63" t="s">
        <v>777</v>
      </c>
      <c r="AJ232" s="63">
        <v>130</v>
      </c>
      <c r="AK232" s="143">
        <f t="shared" si="19"/>
        <v>0</v>
      </c>
      <c r="AL232" s="143">
        <v>2518350</v>
      </c>
      <c r="AM232" s="143">
        <f t="shared" si="14"/>
        <v>2811900</v>
      </c>
      <c r="AN232" s="133"/>
      <c r="AO232" s="144">
        <f t="shared" si="15"/>
        <v>0</v>
      </c>
      <c r="AP232" s="133"/>
      <c r="AQ232" s="150">
        <v>43102</v>
      </c>
      <c r="AR232" s="133" t="s">
        <v>739</v>
      </c>
      <c r="AS232" s="150">
        <v>43102</v>
      </c>
      <c r="AT232" s="133" t="s">
        <v>740</v>
      </c>
      <c r="AU232" s="220"/>
      <c r="AV232" s="220"/>
      <c r="AW232" s="220"/>
    </row>
    <row r="233" spans="1:49" s="221" customFormat="1" ht="370.5" x14ac:dyDescent="0.25">
      <c r="A233" s="63">
        <f t="shared" si="18"/>
        <v>46</v>
      </c>
      <c r="B233" s="128" t="str">
        <f t="shared" si="16"/>
        <v>208-46</v>
      </c>
      <c r="C233" s="129" t="s">
        <v>713</v>
      </c>
      <c r="D233" s="130" t="s">
        <v>714</v>
      </c>
      <c r="E233" s="145" t="s">
        <v>725</v>
      </c>
      <c r="F233" s="111" t="s">
        <v>52</v>
      </c>
      <c r="G233" s="145" t="s">
        <v>53</v>
      </c>
      <c r="H233" s="111" t="s">
        <v>733</v>
      </c>
      <c r="I233" s="111" t="s">
        <v>55</v>
      </c>
      <c r="J233" s="111" t="s">
        <v>56</v>
      </c>
      <c r="K233" s="63">
        <v>801116</v>
      </c>
      <c r="L233" s="111" t="s">
        <v>720</v>
      </c>
      <c r="M233" s="111" t="s">
        <v>58</v>
      </c>
      <c r="N233" s="111" t="s">
        <v>59</v>
      </c>
      <c r="O233" s="111" t="s">
        <v>728</v>
      </c>
      <c r="P233" s="227" t="s">
        <v>774</v>
      </c>
      <c r="Q233" s="134">
        <f t="shared" si="17"/>
        <v>1081500</v>
      </c>
      <c r="R233" s="146">
        <v>1</v>
      </c>
      <c r="S233" s="136">
        <v>12437250</v>
      </c>
      <c r="T233" s="137" t="s">
        <v>747</v>
      </c>
      <c r="U233" s="148" t="s">
        <v>445</v>
      </c>
      <c r="V233" s="148" t="s">
        <v>64</v>
      </c>
      <c r="W233" s="153">
        <v>11.5</v>
      </c>
      <c r="X233" s="133">
        <v>69</v>
      </c>
      <c r="Y233" s="81">
        <v>43102</v>
      </c>
      <c r="Z233" s="154">
        <v>12437250</v>
      </c>
      <c r="AA233" s="140"/>
      <c r="AB233" s="141">
        <v>19</v>
      </c>
      <c r="AC233" s="150">
        <v>43102</v>
      </c>
      <c r="AD233" s="143">
        <v>12437250</v>
      </c>
      <c r="AE233" s="143">
        <f t="shared" si="12"/>
        <v>0</v>
      </c>
      <c r="AF233" s="133">
        <v>167</v>
      </c>
      <c r="AG233" s="81">
        <v>43118</v>
      </c>
      <c r="AH233" s="143">
        <v>12437250</v>
      </c>
      <c r="AI233" s="63" t="s">
        <v>777</v>
      </c>
      <c r="AJ233" s="63">
        <v>130</v>
      </c>
      <c r="AK233" s="143">
        <f t="shared" si="19"/>
        <v>0</v>
      </c>
      <c r="AL233" s="143">
        <v>5876150</v>
      </c>
      <c r="AM233" s="143">
        <f t="shared" si="14"/>
        <v>6561100</v>
      </c>
      <c r="AN233" s="133"/>
      <c r="AO233" s="144">
        <f t="shared" si="15"/>
        <v>0</v>
      </c>
      <c r="AP233" s="133"/>
      <c r="AQ233" s="150">
        <v>43102</v>
      </c>
      <c r="AR233" s="133" t="s">
        <v>739</v>
      </c>
      <c r="AS233" s="150">
        <v>43102</v>
      </c>
      <c r="AT233" s="133" t="s">
        <v>740</v>
      </c>
      <c r="AU233" s="220"/>
      <c r="AV233" s="220"/>
      <c r="AW233" s="220"/>
    </row>
    <row r="234" spans="1:49" s="221" customFormat="1" ht="399" x14ac:dyDescent="0.25">
      <c r="A234" s="63">
        <f t="shared" si="18"/>
        <v>47</v>
      </c>
      <c r="B234" s="128" t="str">
        <f t="shared" si="16"/>
        <v>208-47</v>
      </c>
      <c r="C234" s="129" t="s">
        <v>713</v>
      </c>
      <c r="D234" s="130" t="s">
        <v>714</v>
      </c>
      <c r="E234" s="131" t="s">
        <v>715</v>
      </c>
      <c r="F234" s="111" t="s">
        <v>52</v>
      </c>
      <c r="G234" s="145" t="s">
        <v>53</v>
      </c>
      <c r="H234" s="111" t="s">
        <v>733</v>
      </c>
      <c r="I234" s="111" t="s">
        <v>55</v>
      </c>
      <c r="J234" s="111" t="s">
        <v>56</v>
      </c>
      <c r="K234" s="63">
        <v>801116</v>
      </c>
      <c r="L234" s="111" t="s">
        <v>720</v>
      </c>
      <c r="M234" s="111" t="s">
        <v>58</v>
      </c>
      <c r="N234" s="111" t="s">
        <v>59</v>
      </c>
      <c r="O234" s="111" t="s">
        <v>728</v>
      </c>
      <c r="P234" s="227" t="s">
        <v>774</v>
      </c>
      <c r="Q234" s="134">
        <f t="shared" si="17"/>
        <v>463500</v>
      </c>
      <c r="R234" s="146">
        <v>1</v>
      </c>
      <c r="S234" s="136">
        <v>5330250</v>
      </c>
      <c r="T234" s="137" t="s">
        <v>747</v>
      </c>
      <c r="U234" s="148" t="s">
        <v>445</v>
      </c>
      <c r="V234" s="148" t="s">
        <v>64</v>
      </c>
      <c r="W234" s="153">
        <v>11.5</v>
      </c>
      <c r="X234" s="133">
        <v>68</v>
      </c>
      <c r="Y234" s="81">
        <v>43102</v>
      </c>
      <c r="Z234" s="154">
        <v>5330250</v>
      </c>
      <c r="AA234" s="140"/>
      <c r="AB234" s="141">
        <v>17</v>
      </c>
      <c r="AC234" s="150">
        <v>43102</v>
      </c>
      <c r="AD234" s="143">
        <v>5330250</v>
      </c>
      <c r="AE234" s="143">
        <f t="shared" si="12"/>
        <v>0</v>
      </c>
      <c r="AF234" s="133">
        <v>451</v>
      </c>
      <c r="AG234" s="81">
        <v>43125</v>
      </c>
      <c r="AH234" s="143">
        <v>5330250</v>
      </c>
      <c r="AI234" s="63" t="s">
        <v>778</v>
      </c>
      <c r="AJ234" s="63">
        <v>381</v>
      </c>
      <c r="AK234" s="143">
        <f t="shared" si="19"/>
        <v>0</v>
      </c>
      <c r="AL234" s="143">
        <v>3321750</v>
      </c>
      <c r="AM234" s="143">
        <f t="shared" si="14"/>
        <v>2008500</v>
      </c>
      <c r="AN234" s="133"/>
      <c r="AO234" s="144">
        <f t="shared" si="15"/>
        <v>0</v>
      </c>
      <c r="AP234" s="133"/>
      <c r="AQ234" s="150">
        <v>43102</v>
      </c>
      <c r="AR234" s="133" t="s">
        <v>739</v>
      </c>
      <c r="AS234" s="150">
        <v>43102</v>
      </c>
      <c r="AT234" s="133" t="s">
        <v>740</v>
      </c>
      <c r="AU234" s="220"/>
      <c r="AV234" s="220"/>
      <c r="AW234" s="220"/>
    </row>
    <row r="235" spans="1:49" s="221" customFormat="1" ht="370.5" x14ac:dyDescent="0.25">
      <c r="A235" s="63">
        <f t="shared" si="18"/>
        <v>48</v>
      </c>
      <c r="B235" s="128" t="str">
        <f t="shared" si="16"/>
        <v>208-48</v>
      </c>
      <c r="C235" s="129" t="s">
        <v>713</v>
      </c>
      <c r="D235" s="130" t="s">
        <v>714</v>
      </c>
      <c r="E235" s="145" t="s">
        <v>725</v>
      </c>
      <c r="F235" s="111" t="s">
        <v>52</v>
      </c>
      <c r="G235" s="145" t="s">
        <v>53</v>
      </c>
      <c r="H235" s="111" t="s">
        <v>733</v>
      </c>
      <c r="I235" s="111" t="s">
        <v>55</v>
      </c>
      <c r="J235" s="111" t="s">
        <v>56</v>
      </c>
      <c r="K235" s="63">
        <v>801116</v>
      </c>
      <c r="L235" s="111" t="s">
        <v>720</v>
      </c>
      <c r="M235" s="111" t="s">
        <v>58</v>
      </c>
      <c r="N235" s="111" t="s">
        <v>59</v>
      </c>
      <c r="O235" s="111" t="s">
        <v>728</v>
      </c>
      <c r="P235" s="227" t="s">
        <v>774</v>
      </c>
      <c r="Q235" s="134">
        <f t="shared" si="17"/>
        <v>1081500</v>
      </c>
      <c r="R235" s="146">
        <v>1</v>
      </c>
      <c r="S235" s="136">
        <v>12437250</v>
      </c>
      <c r="T235" s="137" t="s">
        <v>747</v>
      </c>
      <c r="U235" s="148" t="s">
        <v>445</v>
      </c>
      <c r="V235" s="148" t="s">
        <v>64</v>
      </c>
      <c r="W235" s="153">
        <v>11.5</v>
      </c>
      <c r="X235" s="133">
        <v>67</v>
      </c>
      <c r="Y235" s="81">
        <v>43102</v>
      </c>
      <c r="Z235" s="154">
        <v>12437250</v>
      </c>
      <c r="AA235" s="140"/>
      <c r="AB235" s="141">
        <v>17</v>
      </c>
      <c r="AC235" s="150">
        <v>43102</v>
      </c>
      <c r="AD235" s="143">
        <v>12437250</v>
      </c>
      <c r="AE235" s="143">
        <f t="shared" si="12"/>
        <v>0</v>
      </c>
      <c r="AF235" s="133">
        <v>451</v>
      </c>
      <c r="AG235" s="81">
        <v>43125</v>
      </c>
      <c r="AH235" s="143">
        <v>12437250</v>
      </c>
      <c r="AI235" s="63" t="s">
        <v>778</v>
      </c>
      <c r="AJ235" s="63">
        <v>381</v>
      </c>
      <c r="AK235" s="143">
        <f t="shared" si="19"/>
        <v>0</v>
      </c>
      <c r="AL235" s="143">
        <v>7750749.9999999991</v>
      </c>
      <c r="AM235" s="143">
        <f t="shared" si="14"/>
        <v>4686500.0000000009</v>
      </c>
      <c r="AN235" s="133"/>
      <c r="AO235" s="144">
        <f t="shared" si="15"/>
        <v>0</v>
      </c>
      <c r="AP235" s="133"/>
      <c r="AQ235" s="150">
        <v>43102</v>
      </c>
      <c r="AR235" s="133" t="s">
        <v>739</v>
      </c>
      <c r="AS235" s="150">
        <v>43102</v>
      </c>
      <c r="AT235" s="133" t="s">
        <v>740</v>
      </c>
      <c r="AU235" s="220"/>
      <c r="AV235" s="220"/>
      <c r="AW235" s="220"/>
    </row>
    <row r="236" spans="1:49" s="221" customFormat="1" ht="399" x14ac:dyDescent="0.25">
      <c r="A236" s="63">
        <f t="shared" si="18"/>
        <v>49</v>
      </c>
      <c r="B236" s="128" t="str">
        <f t="shared" si="16"/>
        <v>208-49</v>
      </c>
      <c r="C236" s="129" t="s">
        <v>713</v>
      </c>
      <c r="D236" s="130" t="s">
        <v>714</v>
      </c>
      <c r="E236" s="131" t="s">
        <v>715</v>
      </c>
      <c r="F236" s="111" t="s">
        <v>52</v>
      </c>
      <c r="G236" s="145" t="s">
        <v>53</v>
      </c>
      <c r="H236" s="111" t="s">
        <v>733</v>
      </c>
      <c r="I236" s="111" t="s">
        <v>55</v>
      </c>
      <c r="J236" s="111" t="s">
        <v>56</v>
      </c>
      <c r="K236" s="63">
        <v>801116</v>
      </c>
      <c r="L236" s="111" t="s">
        <v>720</v>
      </c>
      <c r="M236" s="111" t="s">
        <v>58</v>
      </c>
      <c r="N236" s="111" t="s">
        <v>59</v>
      </c>
      <c r="O236" s="111" t="s">
        <v>728</v>
      </c>
      <c r="P236" s="227" t="s">
        <v>774</v>
      </c>
      <c r="Q236" s="134">
        <f t="shared" si="17"/>
        <v>463500</v>
      </c>
      <c r="R236" s="146">
        <v>1</v>
      </c>
      <c r="S236" s="136">
        <v>5330250</v>
      </c>
      <c r="T236" s="137" t="s">
        <v>747</v>
      </c>
      <c r="U236" s="148" t="s">
        <v>445</v>
      </c>
      <c r="V236" s="148" t="s">
        <v>64</v>
      </c>
      <c r="W236" s="153">
        <v>11.5</v>
      </c>
      <c r="X236" s="133">
        <v>66</v>
      </c>
      <c r="Y236" s="81">
        <v>43102</v>
      </c>
      <c r="Z236" s="154">
        <v>5330250</v>
      </c>
      <c r="AA236" s="140"/>
      <c r="AB236" s="141">
        <v>15</v>
      </c>
      <c r="AC236" s="150">
        <v>43102</v>
      </c>
      <c r="AD236" s="143">
        <v>5330250</v>
      </c>
      <c r="AE236" s="143">
        <f t="shared" si="12"/>
        <v>0</v>
      </c>
      <c r="AF236" s="133">
        <v>502</v>
      </c>
      <c r="AG236" s="63" t="s">
        <v>779</v>
      </c>
      <c r="AH236" s="143">
        <v>5330250</v>
      </c>
      <c r="AI236" s="63" t="s">
        <v>780</v>
      </c>
      <c r="AJ236" s="63">
        <v>413</v>
      </c>
      <c r="AK236" s="143">
        <f t="shared" si="19"/>
        <v>0</v>
      </c>
      <c r="AL236" s="143">
        <v>3275400</v>
      </c>
      <c r="AM236" s="143">
        <f t="shared" si="14"/>
        <v>2054850</v>
      </c>
      <c r="AN236" s="133"/>
      <c r="AO236" s="144">
        <f t="shared" si="15"/>
        <v>0</v>
      </c>
      <c r="AP236" s="133"/>
      <c r="AQ236" s="150">
        <v>43102</v>
      </c>
      <c r="AR236" s="133" t="s">
        <v>739</v>
      </c>
      <c r="AS236" s="150">
        <v>43102</v>
      </c>
      <c r="AT236" s="133" t="s">
        <v>740</v>
      </c>
      <c r="AU236" s="220"/>
      <c r="AV236" s="220"/>
      <c r="AW236" s="220"/>
    </row>
    <row r="237" spans="1:49" s="221" customFormat="1" ht="370.5" x14ac:dyDescent="0.25">
      <c r="A237" s="63">
        <f t="shared" si="18"/>
        <v>50</v>
      </c>
      <c r="B237" s="128" t="str">
        <f t="shared" si="16"/>
        <v>208-50</v>
      </c>
      <c r="C237" s="129" t="s">
        <v>713</v>
      </c>
      <c r="D237" s="130" t="s">
        <v>714</v>
      </c>
      <c r="E237" s="145" t="s">
        <v>725</v>
      </c>
      <c r="F237" s="111" t="s">
        <v>52</v>
      </c>
      <c r="G237" s="145" t="s">
        <v>53</v>
      </c>
      <c r="H237" s="111" t="s">
        <v>733</v>
      </c>
      <c r="I237" s="111" t="s">
        <v>55</v>
      </c>
      <c r="J237" s="111" t="s">
        <v>56</v>
      </c>
      <c r="K237" s="63">
        <v>801116</v>
      </c>
      <c r="L237" s="111" t="s">
        <v>720</v>
      </c>
      <c r="M237" s="111" t="s">
        <v>58</v>
      </c>
      <c r="N237" s="111" t="s">
        <v>59</v>
      </c>
      <c r="O237" s="111" t="s">
        <v>728</v>
      </c>
      <c r="P237" s="227" t="s">
        <v>774</v>
      </c>
      <c r="Q237" s="134">
        <f t="shared" si="17"/>
        <v>1081500</v>
      </c>
      <c r="R237" s="146">
        <v>1</v>
      </c>
      <c r="S237" s="136">
        <v>12437250</v>
      </c>
      <c r="T237" s="137" t="s">
        <v>747</v>
      </c>
      <c r="U237" s="148" t="s">
        <v>445</v>
      </c>
      <c r="V237" s="148" t="s">
        <v>64</v>
      </c>
      <c r="W237" s="153">
        <v>11.5</v>
      </c>
      <c r="X237" s="133">
        <v>65</v>
      </c>
      <c r="Y237" s="81">
        <v>43102</v>
      </c>
      <c r="Z237" s="154">
        <v>12437250</v>
      </c>
      <c r="AA237" s="140"/>
      <c r="AB237" s="141">
        <v>15</v>
      </c>
      <c r="AC237" s="150">
        <v>43102</v>
      </c>
      <c r="AD237" s="143">
        <v>12437250</v>
      </c>
      <c r="AE237" s="143">
        <f t="shared" si="12"/>
        <v>0</v>
      </c>
      <c r="AF237" s="133">
        <v>502</v>
      </c>
      <c r="AG237" s="63" t="s">
        <v>779</v>
      </c>
      <c r="AH237" s="143">
        <v>12437250</v>
      </c>
      <c r="AI237" s="63" t="s">
        <v>780</v>
      </c>
      <c r="AJ237" s="63">
        <v>413</v>
      </c>
      <c r="AK237" s="143">
        <f t="shared" si="19"/>
        <v>0</v>
      </c>
      <c r="AL237" s="143">
        <v>7642599.9999999991</v>
      </c>
      <c r="AM237" s="143">
        <f t="shared" si="14"/>
        <v>4794650.0000000009</v>
      </c>
      <c r="AN237" s="133"/>
      <c r="AO237" s="144">
        <f t="shared" si="15"/>
        <v>0</v>
      </c>
      <c r="AP237" s="133"/>
      <c r="AQ237" s="150">
        <v>43102</v>
      </c>
      <c r="AR237" s="133" t="s">
        <v>739</v>
      </c>
      <c r="AS237" s="150">
        <v>43102</v>
      </c>
      <c r="AT237" s="133" t="s">
        <v>740</v>
      </c>
      <c r="AU237" s="220"/>
      <c r="AV237" s="220"/>
      <c r="AW237" s="220"/>
    </row>
    <row r="238" spans="1:49" s="221" customFormat="1" ht="399" x14ac:dyDescent="0.25">
      <c r="A238" s="63">
        <f t="shared" si="18"/>
        <v>51</v>
      </c>
      <c r="B238" s="128" t="str">
        <f t="shared" si="16"/>
        <v>208-51</v>
      </c>
      <c r="C238" s="129" t="s">
        <v>713</v>
      </c>
      <c r="D238" s="130" t="s">
        <v>714</v>
      </c>
      <c r="E238" s="131" t="s">
        <v>715</v>
      </c>
      <c r="F238" s="111" t="s">
        <v>52</v>
      </c>
      <c r="G238" s="145" t="s">
        <v>53</v>
      </c>
      <c r="H238" s="111" t="s">
        <v>733</v>
      </c>
      <c r="I238" s="111" t="s">
        <v>55</v>
      </c>
      <c r="J238" s="111" t="s">
        <v>56</v>
      </c>
      <c r="K238" s="63">
        <v>801116</v>
      </c>
      <c r="L238" s="111" t="s">
        <v>720</v>
      </c>
      <c r="M238" s="111" t="s">
        <v>58</v>
      </c>
      <c r="N238" s="111" t="s">
        <v>59</v>
      </c>
      <c r="O238" s="111" t="s">
        <v>728</v>
      </c>
      <c r="P238" s="227" t="s">
        <v>774</v>
      </c>
      <c r="Q238" s="134">
        <f t="shared" si="17"/>
        <v>463500</v>
      </c>
      <c r="R238" s="146">
        <v>1</v>
      </c>
      <c r="S238" s="136">
        <v>5330250</v>
      </c>
      <c r="T238" s="137" t="s">
        <v>747</v>
      </c>
      <c r="U238" s="148" t="s">
        <v>445</v>
      </c>
      <c r="V238" s="148" t="s">
        <v>64</v>
      </c>
      <c r="W238" s="153">
        <v>11.5</v>
      </c>
      <c r="X238" s="133">
        <v>64</v>
      </c>
      <c r="Y238" s="81">
        <v>43102</v>
      </c>
      <c r="Z238" s="154">
        <v>5330250</v>
      </c>
      <c r="AA238" s="140"/>
      <c r="AB238" s="141">
        <v>14</v>
      </c>
      <c r="AC238" s="150">
        <v>43102</v>
      </c>
      <c r="AD238" s="143">
        <v>5330250</v>
      </c>
      <c r="AE238" s="143">
        <f t="shared" si="12"/>
        <v>0</v>
      </c>
      <c r="AF238" s="133">
        <v>160</v>
      </c>
      <c r="AG238" s="81">
        <v>43118</v>
      </c>
      <c r="AH238" s="143">
        <v>5330250</v>
      </c>
      <c r="AI238" s="63" t="s">
        <v>781</v>
      </c>
      <c r="AJ238" s="63">
        <v>133</v>
      </c>
      <c r="AK238" s="143">
        <f t="shared" si="19"/>
        <v>0</v>
      </c>
      <c r="AL238" s="143">
        <v>3445350</v>
      </c>
      <c r="AM238" s="143">
        <f t="shared" si="14"/>
        <v>1884900</v>
      </c>
      <c r="AN238" s="133"/>
      <c r="AO238" s="144">
        <f t="shared" si="15"/>
        <v>0</v>
      </c>
      <c r="AP238" s="133"/>
      <c r="AQ238" s="150">
        <v>43102</v>
      </c>
      <c r="AR238" s="133" t="s">
        <v>739</v>
      </c>
      <c r="AS238" s="150">
        <v>43102</v>
      </c>
      <c r="AT238" s="133" t="s">
        <v>740</v>
      </c>
      <c r="AU238" s="220"/>
      <c r="AV238" s="220"/>
      <c r="AW238" s="220"/>
    </row>
    <row r="239" spans="1:49" s="221" customFormat="1" ht="370.5" x14ac:dyDescent="0.25">
      <c r="A239" s="63">
        <f t="shared" si="18"/>
        <v>52</v>
      </c>
      <c r="B239" s="128" t="str">
        <f t="shared" si="16"/>
        <v>208-52</v>
      </c>
      <c r="C239" s="129" t="s">
        <v>713</v>
      </c>
      <c r="D239" s="130" t="s">
        <v>714</v>
      </c>
      <c r="E239" s="145" t="s">
        <v>725</v>
      </c>
      <c r="F239" s="111" t="s">
        <v>52</v>
      </c>
      <c r="G239" s="145" t="s">
        <v>53</v>
      </c>
      <c r="H239" s="111" t="s">
        <v>733</v>
      </c>
      <c r="I239" s="111" t="s">
        <v>55</v>
      </c>
      <c r="J239" s="111" t="s">
        <v>56</v>
      </c>
      <c r="K239" s="63">
        <v>801116</v>
      </c>
      <c r="L239" s="111" t="s">
        <v>720</v>
      </c>
      <c r="M239" s="111" t="s">
        <v>58</v>
      </c>
      <c r="N239" s="111" t="s">
        <v>59</v>
      </c>
      <c r="O239" s="111" t="s">
        <v>728</v>
      </c>
      <c r="P239" s="227" t="s">
        <v>774</v>
      </c>
      <c r="Q239" s="134">
        <f t="shared" si="17"/>
        <v>1081500</v>
      </c>
      <c r="R239" s="146">
        <v>1</v>
      </c>
      <c r="S239" s="136">
        <v>12437250</v>
      </c>
      <c r="T239" s="137" t="s">
        <v>747</v>
      </c>
      <c r="U239" s="148" t="s">
        <v>445</v>
      </c>
      <c r="V239" s="148" t="s">
        <v>64</v>
      </c>
      <c r="W239" s="153">
        <v>11.5</v>
      </c>
      <c r="X239" s="133">
        <v>63</v>
      </c>
      <c r="Y239" s="81">
        <v>43102</v>
      </c>
      <c r="Z239" s="154">
        <v>12437250</v>
      </c>
      <c r="AA239" s="140"/>
      <c r="AB239" s="141">
        <v>14</v>
      </c>
      <c r="AC239" s="150">
        <v>43102</v>
      </c>
      <c r="AD239" s="143">
        <v>12437250</v>
      </c>
      <c r="AE239" s="143">
        <f t="shared" si="12"/>
        <v>0</v>
      </c>
      <c r="AF239" s="133">
        <v>160</v>
      </c>
      <c r="AG239" s="81">
        <v>43118</v>
      </c>
      <c r="AH239" s="143">
        <v>12437250</v>
      </c>
      <c r="AI239" s="63" t="s">
        <v>781</v>
      </c>
      <c r="AJ239" s="63">
        <v>133</v>
      </c>
      <c r="AK239" s="143">
        <f t="shared" si="19"/>
        <v>0</v>
      </c>
      <c r="AL239" s="143">
        <v>8039149.9999999991</v>
      </c>
      <c r="AM239" s="143">
        <f t="shared" si="14"/>
        <v>4398100.0000000009</v>
      </c>
      <c r="AN239" s="133"/>
      <c r="AO239" s="144">
        <f t="shared" si="15"/>
        <v>0</v>
      </c>
      <c r="AP239" s="133"/>
      <c r="AQ239" s="150">
        <v>43102</v>
      </c>
      <c r="AR239" s="133" t="s">
        <v>739</v>
      </c>
      <c r="AS239" s="150">
        <v>43102</v>
      </c>
      <c r="AT239" s="133" t="s">
        <v>740</v>
      </c>
      <c r="AU239" s="220"/>
      <c r="AV239" s="220"/>
      <c r="AW239" s="220"/>
    </row>
    <row r="240" spans="1:49" s="221" customFormat="1" ht="399" x14ac:dyDescent="0.25">
      <c r="A240" s="63">
        <f t="shared" si="18"/>
        <v>53</v>
      </c>
      <c r="B240" s="128" t="str">
        <f t="shared" si="16"/>
        <v>208-53</v>
      </c>
      <c r="C240" s="129" t="s">
        <v>713</v>
      </c>
      <c r="D240" s="130" t="s">
        <v>714</v>
      </c>
      <c r="E240" s="131" t="s">
        <v>715</v>
      </c>
      <c r="F240" s="111" t="s">
        <v>52</v>
      </c>
      <c r="G240" s="145" t="s">
        <v>53</v>
      </c>
      <c r="H240" s="111" t="s">
        <v>733</v>
      </c>
      <c r="I240" s="111" t="s">
        <v>55</v>
      </c>
      <c r="J240" s="111" t="s">
        <v>56</v>
      </c>
      <c r="K240" s="63">
        <v>801116</v>
      </c>
      <c r="L240" s="111" t="s">
        <v>720</v>
      </c>
      <c r="M240" s="111" t="s">
        <v>58</v>
      </c>
      <c r="N240" s="111" t="s">
        <v>59</v>
      </c>
      <c r="O240" s="111" t="s">
        <v>728</v>
      </c>
      <c r="P240" s="227" t="s">
        <v>782</v>
      </c>
      <c r="Q240" s="134">
        <f t="shared" si="17"/>
        <v>1066050</v>
      </c>
      <c r="R240" s="146">
        <v>1</v>
      </c>
      <c r="S240" s="136">
        <v>12259575</v>
      </c>
      <c r="T240" s="137" t="s">
        <v>747</v>
      </c>
      <c r="U240" s="148" t="s">
        <v>445</v>
      </c>
      <c r="V240" s="148" t="s">
        <v>64</v>
      </c>
      <c r="W240" s="153">
        <v>11.5</v>
      </c>
      <c r="X240" s="133">
        <v>62</v>
      </c>
      <c r="Y240" s="81">
        <v>43102</v>
      </c>
      <c r="Z240" s="154">
        <v>12259575</v>
      </c>
      <c r="AA240" s="140"/>
      <c r="AB240" s="141">
        <v>12</v>
      </c>
      <c r="AC240" s="150">
        <v>43102</v>
      </c>
      <c r="AD240" s="143">
        <v>12259575</v>
      </c>
      <c r="AE240" s="143">
        <f t="shared" si="12"/>
        <v>0</v>
      </c>
      <c r="AF240" s="156">
        <v>180</v>
      </c>
      <c r="AG240" s="150">
        <v>43118</v>
      </c>
      <c r="AH240" s="143">
        <v>12259575</v>
      </c>
      <c r="AI240" s="63" t="s">
        <v>783</v>
      </c>
      <c r="AJ240" s="63">
        <v>180</v>
      </c>
      <c r="AK240" s="143">
        <f t="shared" si="19"/>
        <v>0</v>
      </c>
      <c r="AL240" s="143">
        <v>7924305</v>
      </c>
      <c r="AM240" s="143">
        <f t="shared" si="14"/>
        <v>4335270</v>
      </c>
      <c r="AN240" s="133"/>
      <c r="AO240" s="144">
        <f t="shared" si="15"/>
        <v>0</v>
      </c>
      <c r="AP240" s="133"/>
      <c r="AQ240" s="150">
        <v>43102</v>
      </c>
      <c r="AR240" s="133" t="s">
        <v>739</v>
      </c>
      <c r="AS240" s="150">
        <v>43102</v>
      </c>
      <c r="AT240" s="133" t="s">
        <v>740</v>
      </c>
      <c r="AU240" s="220"/>
      <c r="AV240" s="220"/>
      <c r="AW240" s="220"/>
    </row>
    <row r="241" spans="1:49" s="221" customFormat="1" ht="370.5" x14ac:dyDescent="0.25">
      <c r="A241" s="63">
        <f t="shared" si="18"/>
        <v>54</v>
      </c>
      <c r="B241" s="128" t="str">
        <f t="shared" si="16"/>
        <v>208-54</v>
      </c>
      <c r="C241" s="129" t="s">
        <v>713</v>
      </c>
      <c r="D241" s="130" t="s">
        <v>714</v>
      </c>
      <c r="E241" s="145" t="s">
        <v>725</v>
      </c>
      <c r="F241" s="111" t="s">
        <v>52</v>
      </c>
      <c r="G241" s="145" t="s">
        <v>53</v>
      </c>
      <c r="H241" s="111" t="s">
        <v>733</v>
      </c>
      <c r="I241" s="111" t="s">
        <v>55</v>
      </c>
      <c r="J241" s="111" t="s">
        <v>56</v>
      </c>
      <c r="K241" s="63">
        <v>801116</v>
      </c>
      <c r="L241" s="111" t="s">
        <v>720</v>
      </c>
      <c r="M241" s="111" t="s">
        <v>58</v>
      </c>
      <c r="N241" s="111" t="s">
        <v>59</v>
      </c>
      <c r="O241" s="111" t="s">
        <v>728</v>
      </c>
      <c r="P241" s="227" t="s">
        <v>782</v>
      </c>
      <c r="Q241" s="134">
        <f t="shared" si="17"/>
        <v>2487450</v>
      </c>
      <c r="R241" s="146">
        <v>1</v>
      </c>
      <c r="S241" s="136">
        <v>28605675</v>
      </c>
      <c r="T241" s="137" t="s">
        <v>747</v>
      </c>
      <c r="U241" s="148" t="s">
        <v>445</v>
      </c>
      <c r="V241" s="148" t="s">
        <v>64</v>
      </c>
      <c r="W241" s="153">
        <v>11.5</v>
      </c>
      <c r="X241" s="133">
        <v>61</v>
      </c>
      <c r="Y241" s="81">
        <v>43102</v>
      </c>
      <c r="Z241" s="154">
        <v>28605675</v>
      </c>
      <c r="AA241" s="140"/>
      <c r="AB241" s="141">
        <v>12</v>
      </c>
      <c r="AC241" s="150">
        <v>43102</v>
      </c>
      <c r="AD241" s="143">
        <v>28605675</v>
      </c>
      <c r="AE241" s="143">
        <f t="shared" si="12"/>
        <v>0</v>
      </c>
      <c r="AF241" s="156">
        <v>180</v>
      </c>
      <c r="AG241" s="150">
        <v>43118</v>
      </c>
      <c r="AH241" s="143">
        <v>28605675</v>
      </c>
      <c r="AI241" s="63" t="s">
        <v>783</v>
      </c>
      <c r="AJ241" s="63">
        <v>180</v>
      </c>
      <c r="AK241" s="143">
        <f t="shared" si="19"/>
        <v>0</v>
      </c>
      <c r="AL241" s="143">
        <v>18490045</v>
      </c>
      <c r="AM241" s="143">
        <f t="shared" si="14"/>
        <v>10115630</v>
      </c>
      <c r="AN241" s="133"/>
      <c r="AO241" s="144">
        <f t="shared" si="15"/>
        <v>0</v>
      </c>
      <c r="AP241" s="133"/>
      <c r="AQ241" s="150">
        <v>43102</v>
      </c>
      <c r="AR241" s="133" t="s">
        <v>739</v>
      </c>
      <c r="AS241" s="150">
        <v>43102</v>
      </c>
      <c r="AT241" s="133" t="s">
        <v>740</v>
      </c>
      <c r="AU241" s="220"/>
      <c r="AV241" s="220"/>
      <c r="AW241" s="220"/>
    </row>
    <row r="242" spans="1:49" s="221" customFormat="1" ht="399" x14ac:dyDescent="0.25">
      <c r="A242" s="63">
        <f t="shared" si="18"/>
        <v>55</v>
      </c>
      <c r="B242" s="128" t="str">
        <f t="shared" si="16"/>
        <v>208-55</v>
      </c>
      <c r="C242" s="129" t="s">
        <v>713</v>
      </c>
      <c r="D242" s="130" t="s">
        <v>714</v>
      </c>
      <c r="E242" s="131" t="s">
        <v>715</v>
      </c>
      <c r="F242" s="111" t="s">
        <v>52</v>
      </c>
      <c r="G242" s="145" t="s">
        <v>53</v>
      </c>
      <c r="H242" s="111" t="s">
        <v>733</v>
      </c>
      <c r="I242" s="111" t="s">
        <v>55</v>
      </c>
      <c r="J242" s="111" t="s">
        <v>56</v>
      </c>
      <c r="K242" s="63">
        <v>801116</v>
      </c>
      <c r="L242" s="111" t="s">
        <v>720</v>
      </c>
      <c r="M242" s="111" t="s">
        <v>58</v>
      </c>
      <c r="N242" s="111" t="s">
        <v>59</v>
      </c>
      <c r="O242" s="111" t="s">
        <v>728</v>
      </c>
      <c r="P242" s="227" t="s">
        <v>782</v>
      </c>
      <c r="Q242" s="134">
        <f t="shared" si="17"/>
        <v>1066050</v>
      </c>
      <c r="R242" s="146">
        <v>1</v>
      </c>
      <c r="S242" s="136">
        <v>12259575</v>
      </c>
      <c r="T242" s="137" t="s">
        <v>747</v>
      </c>
      <c r="U242" s="148" t="s">
        <v>445</v>
      </c>
      <c r="V242" s="148" t="s">
        <v>64</v>
      </c>
      <c r="W242" s="153">
        <v>11.5</v>
      </c>
      <c r="X242" s="133">
        <v>60</v>
      </c>
      <c r="Y242" s="81">
        <v>43102</v>
      </c>
      <c r="Z242" s="154">
        <v>12259575</v>
      </c>
      <c r="AA242" s="140"/>
      <c r="AB242" s="141">
        <v>10</v>
      </c>
      <c r="AC242" s="150">
        <v>43102</v>
      </c>
      <c r="AD242" s="143">
        <v>12259575</v>
      </c>
      <c r="AE242" s="143">
        <f t="shared" si="12"/>
        <v>0</v>
      </c>
      <c r="AF242" s="133">
        <v>12</v>
      </c>
      <c r="AG242" s="81">
        <v>43112</v>
      </c>
      <c r="AH242" s="143">
        <v>12259575</v>
      </c>
      <c r="AI242" s="63" t="s">
        <v>784</v>
      </c>
      <c r="AJ242" s="63">
        <v>9</v>
      </c>
      <c r="AK242" s="143">
        <f t="shared" si="19"/>
        <v>0</v>
      </c>
      <c r="AL242" s="155">
        <v>7995375</v>
      </c>
      <c r="AM242" s="143">
        <f t="shared" si="14"/>
        <v>4264200</v>
      </c>
      <c r="AN242" s="133"/>
      <c r="AO242" s="144">
        <f t="shared" si="15"/>
        <v>0</v>
      </c>
      <c r="AP242" s="133"/>
      <c r="AQ242" s="150">
        <v>43102</v>
      </c>
      <c r="AR242" s="133" t="s">
        <v>739</v>
      </c>
      <c r="AS242" s="150">
        <v>43102</v>
      </c>
      <c r="AT242" s="133" t="s">
        <v>740</v>
      </c>
      <c r="AU242" s="220"/>
      <c r="AV242" s="220"/>
      <c r="AW242" s="220"/>
    </row>
    <row r="243" spans="1:49" s="221" customFormat="1" ht="370.5" x14ac:dyDescent="0.25">
      <c r="A243" s="63">
        <f t="shared" si="18"/>
        <v>56</v>
      </c>
      <c r="B243" s="128" t="str">
        <f t="shared" si="16"/>
        <v>208-56</v>
      </c>
      <c r="C243" s="129" t="s">
        <v>713</v>
      </c>
      <c r="D243" s="130" t="s">
        <v>714</v>
      </c>
      <c r="E243" s="145" t="s">
        <v>725</v>
      </c>
      <c r="F243" s="111" t="s">
        <v>52</v>
      </c>
      <c r="G243" s="145" t="s">
        <v>53</v>
      </c>
      <c r="H243" s="111" t="s">
        <v>733</v>
      </c>
      <c r="I243" s="111" t="s">
        <v>55</v>
      </c>
      <c r="J243" s="111" t="s">
        <v>56</v>
      </c>
      <c r="K243" s="63">
        <v>801116</v>
      </c>
      <c r="L243" s="111" t="s">
        <v>720</v>
      </c>
      <c r="M243" s="111" t="s">
        <v>58</v>
      </c>
      <c r="N243" s="111" t="s">
        <v>59</v>
      </c>
      <c r="O243" s="111" t="s">
        <v>728</v>
      </c>
      <c r="P243" s="227" t="s">
        <v>782</v>
      </c>
      <c r="Q243" s="134">
        <f t="shared" si="17"/>
        <v>2487450</v>
      </c>
      <c r="R243" s="146">
        <v>1</v>
      </c>
      <c r="S243" s="136">
        <v>28605675</v>
      </c>
      <c r="T243" s="137" t="s">
        <v>747</v>
      </c>
      <c r="U243" s="148" t="s">
        <v>445</v>
      </c>
      <c r="V243" s="148" t="s">
        <v>64</v>
      </c>
      <c r="W243" s="153">
        <v>11.5</v>
      </c>
      <c r="X243" s="133">
        <v>59</v>
      </c>
      <c r="Y243" s="81">
        <v>43102</v>
      </c>
      <c r="Z243" s="154">
        <v>28605675</v>
      </c>
      <c r="AA243" s="140"/>
      <c r="AB243" s="141">
        <v>10</v>
      </c>
      <c r="AC243" s="150">
        <v>43102</v>
      </c>
      <c r="AD243" s="143">
        <v>28605675</v>
      </c>
      <c r="AE243" s="143">
        <f t="shared" si="12"/>
        <v>0</v>
      </c>
      <c r="AF243" s="133">
        <v>12</v>
      </c>
      <c r="AG243" s="81">
        <v>43112</v>
      </c>
      <c r="AH243" s="143">
        <v>28605675</v>
      </c>
      <c r="AI243" s="63" t="s">
        <v>784</v>
      </c>
      <c r="AJ243" s="63">
        <v>9</v>
      </c>
      <c r="AK243" s="143">
        <f t="shared" si="19"/>
        <v>0</v>
      </c>
      <c r="AL243" s="143">
        <v>18655875</v>
      </c>
      <c r="AM243" s="143">
        <f t="shared" si="14"/>
        <v>9949800</v>
      </c>
      <c r="AN243" s="133"/>
      <c r="AO243" s="144">
        <f t="shared" si="15"/>
        <v>0</v>
      </c>
      <c r="AP243" s="133"/>
      <c r="AQ243" s="150">
        <v>43102</v>
      </c>
      <c r="AR243" s="133" t="s">
        <v>739</v>
      </c>
      <c r="AS243" s="150">
        <v>43102</v>
      </c>
      <c r="AT243" s="133" t="s">
        <v>740</v>
      </c>
      <c r="AU243" s="220"/>
      <c r="AV243" s="220"/>
      <c r="AW243" s="220"/>
    </row>
    <row r="244" spans="1:49" s="221" customFormat="1" ht="399" x14ac:dyDescent="0.25">
      <c r="A244" s="63">
        <f t="shared" si="18"/>
        <v>57</v>
      </c>
      <c r="B244" s="128" t="str">
        <f t="shared" si="16"/>
        <v>208-57</v>
      </c>
      <c r="C244" s="129" t="s">
        <v>713</v>
      </c>
      <c r="D244" s="130" t="s">
        <v>714</v>
      </c>
      <c r="E244" s="131" t="s">
        <v>715</v>
      </c>
      <c r="F244" s="111" t="s">
        <v>52</v>
      </c>
      <c r="G244" s="145" t="s">
        <v>53</v>
      </c>
      <c r="H244" s="111" t="s">
        <v>733</v>
      </c>
      <c r="I244" s="111" t="s">
        <v>55</v>
      </c>
      <c r="J244" s="111" t="s">
        <v>56</v>
      </c>
      <c r="K244" s="63">
        <v>801116</v>
      </c>
      <c r="L244" s="111" t="s">
        <v>720</v>
      </c>
      <c r="M244" s="111" t="s">
        <v>58</v>
      </c>
      <c r="N244" s="111" t="s">
        <v>59</v>
      </c>
      <c r="O244" s="111" t="s">
        <v>728</v>
      </c>
      <c r="P244" s="227" t="s">
        <v>782</v>
      </c>
      <c r="Q244" s="134">
        <f t="shared" si="17"/>
        <v>1236000</v>
      </c>
      <c r="R244" s="146">
        <v>1</v>
      </c>
      <c r="S244" s="136">
        <v>14214000</v>
      </c>
      <c r="T244" s="137" t="s">
        <v>747</v>
      </c>
      <c r="U244" s="148" t="s">
        <v>445</v>
      </c>
      <c r="V244" s="148" t="s">
        <v>64</v>
      </c>
      <c r="W244" s="153">
        <v>11.5</v>
      </c>
      <c r="X244" s="133">
        <v>58</v>
      </c>
      <c r="Y244" s="81">
        <v>43102</v>
      </c>
      <c r="Z244" s="154">
        <v>14214000</v>
      </c>
      <c r="AA244" s="140"/>
      <c r="AB244" s="141">
        <v>9</v>
      </c>
      <c r="AC244" s="150">
        <v>43102</v>
      </c>
      <c r="AD244" s="143">
        <v>14214000</v>
      </c>
      <c r="AE244" s="143">
        <f t="shared" si="12"/>
        <v>0</v>
      </c>
      <c r="AF244" s="133">
        <v>60</v>
      </c>
      <c r="AG244" s="81">
        <v>43116</v>
      </c>
      <c r="AH244" s="143">
        <v>14214000</v>
      </c>
      <c r="AI244" s="63" t="s">
        <v>785</v>
      </c>
      <c r="AJ244" s="63">
        <v>25</v>
      </c>
      <c r="AK244" s="143">
        <f t="shared" si="19"/>
        <v>0</v>
      </c>
      <c r="AL244" s="143">
        <v>9228800.0999999996</v>
      </c>
      <c r="AM244" s="143">
        <f t="shared" si="14"/>
        <v>4985199.9000000004</v>
      </c>
      <c r="AN244" s="133"/>
      <c r="AO244" s="144">
        <f t="shared" si="15"/>
        <v>0</v>
      </c>
      <c r="AP244" s="133"/>
      <c r="AQ244" s="150">
        <v>43102</v>
      </c>
      <c r="AR244" s="133" t="s">
        <v>739</v>
      </c>
      <c r="AS244" s="150">
        <v>43102</v>
      </c>
      <c r="AT244" s="133" t="s">
        <v>740</v>
      </c>
      <c r="AU244" s="220"/>
      <c r="AV244" s="220"/>
      <c r="AW244" s="220"/>
    </row>
    <row r="245" spans="1:49" s="221" customFormat="1" ht="370.5" x14ac:dyDescent="0.25">
      <c r="A245" s="63">
        <f t="shared" si="18"/>
        <v>58</v>
      </c>
      <c r="B245" s="128" t="str">
        <f t="shared" si="16"/>
        <v>208-58</v>
      </c>
      <c r="C245" s="129" t="s">
        <v>713</v>
      </c>
      <c r="D245" s="130" t="s">
        <v>714</v>
      </c>
      <c r="E245" s="145" t="s">
        <v>725</v>
      </c>
      <c r="F245" s="111" t="s">
        <v>52</v>
      </c>
      <c r="G245" s="145" t="s">
        <v>53</v>
      </c>
      <c r="H245" s="111" t="s">
        <v>733</v>
      </c>
      <c r="I245" s="111" t="s">
        <v>55</v>
      </c>
      <c r="J245" s="111" t="s">
        <v>56</v>
      </c>
      <c r="K245" s="63">
        <v>801116</v>
      </c>
      <c r="L245" s="111" t="s">
        <v>720</v>
      </c>
      <c r="M245" s="111" t="s">
        <v>58</v>
      </c>
      <c r="N245" s="111" t="s">
        <v>59</v>
      </c>
      <c r="O245" s="111" t="s">
        <v>728</v>
      </c>
      <c r="P245" s="227" t="s">
        <v>782</v>
      </c>
      <c r="Q245" s="134">
        <f t="shared" si="17"/>
        <v>2884000</v>
      </c>
      <c r="R245" s="146">
        <v>1</v>
      </c>
      <c r="S245" s="136">
        <v>33166000</v>
      </c>
      <c r="T245" s="137" t="s">
        <v>747</v>
      </c>
      <c r="U245" s="148" t="s">
        <v>445</v>
      </c>
      <c r="V245" s="148" t="s">
        <v>64</v>
      </c>
      <c r="W245" s="153">
        <v>11.5</v>
      </c>
      <c r="X245" s="133">
        <v>57</v>
      </c>
      <c r="Y245" s="81">
        <v>43102</v>
      </c>
      <c r="Z245" s="154">
        <v>33166000</v>
      </c>
      <c r="AA245" s="140"/>
      <c r="AB245" s="141">
        <v>9</v>
      </c>
      <c r="AC245" s="150">
        <v>43102</v>
      </c>
      <c r="AD245" s="143">
        <v>33166000</v>
      </c>
      <c r="AE245" s="143">
        <f t="shared" si="12"/>
        <v>0</v>
      </c>
      <c r="AF245" s="133">
        <v>60</v>
      </c>
      <c r="AG245" s="81">
        <v>43116</v>
      </c>
      <c r="AH245" s="143">
        <v>33166000</v>
      </c>
      <c r="AI245" s="63" t="s">
        <v>785</v>
      </c>
      <c r="AJ245" s="63">
        <v>25</v>
      </c>
      <c r="AK245" s="143">
        <f t="shared" si="19"/>
        <v>0</v>
      </c>
      <c r="AL245" s="143">
        <v>21533866.899999999</v>
      </c>
      <c r="AM245" s="143">
        <f t="shared" si="14"/>
        <v>11632133.100000001</v>
      </c>
      <c r="AN245" s="133"/>
      <c r="AO245" s="144">
        <f t="shared" si="15"/>
        <v>0</v>
      </c>
      <c r="AP245" s="133"/>
      <c r="AQ245" s="150">
        <v>43102</v>
      </c>
      <c r="AR245" s="133" t="s">
        <v>739</v>
      </c>
      <c r="AS245" s="150">
        <v>43102</v>
      </c>
      <c r="AT245" s="133" t="s">
        <v>740</v>
      </c>
      <c r="AU245" s="220"/>
      <c r="AV245" s="220"/>
      <c r="AW245" s="220"/>
    </row>
    <row r="246" spans="1:49" s="221" customFormat="1" ht="399" x14ac:dyDescent="0.25">
      <c r="A246" s="63">
        <f t="shared" si="18"/>
        <v>59</v>
      </c>
      <c r="B246" s="128" t="str">
        <f t="shared" si="16"/>
        <v>208-59</v>
      </c>
      <c r="C246" s="129" t="s">
        <v>713</v>
      </c>
      <c r="D246" s="130" t="s">
        <v>714</v>
      </c>
      <c r="E246" s="131" t="s">
        <v>715</v>
      </c>
      <c r="F246" s="111" t="s">
        <v>52</v>
      </c>
      <c r="G246" s="145" t="s">
        <v>53</v>
      </c>
      <c r="H246" s="111" t="s">
        <v>733</v>
      </c>
      <c r="I246" s="111" t="s">
        <v>55</v>
      </c>
      <c r="J246" s="111" t="s">
        <v>56</v>
      </c>
      <c r="K246" s="63">
        <v>801116</v>
      </c>
      <c r="L246" s="111" t="s">
        <v>720</v>
      </c>
      <c r="M246" s="111" t="s">
        <v>58</v>
      </c>
      <c r="N246" s="111" t="s">
        <v>59</v>
      </c>
      <c r="O246" s="111" t="s">
        <v>728</v>
      </c>
      <c r="P246" s="227" t="s">
        <v>782</v>
      </c>
      <c r="Q246" s="134">
        <f t="shared" si="17"/>
        <v>1066050</v>
      </c>
      <c r="R246" s="146">
        <v>1</v>
      </c>
      <c r="S246" s="136">
        <v>12259575</v>
      </c>
      <c r="T246" s="137" t="s">
        <v>747</v>
      </c>
      <c r="U246" s="148" t="s">
        <v>445</v>
      </c>
      <c r="V246" s="148" t="s">
        <v>64</v>
      </c>
      <c r="W246" s="153">
        <v>11.5</v>
      </c>
      <c r="X246" s="133">
        <v>56</v>
      </c>
      <c r="Y246" s="81">
        <v>43102</v>
      </c>
      <c r="Z246" s="154">
        <v>12259575</v>
      </c>
      <c r="AA246" s="140"/>
      <c r="AB246" s="141">
        <v>7</v>
      </c>
      <c r="AC246" s="150">
        <v>43102</v>
      </c>
      <c r="AD246" s="143">
        <v>12259575</v>
      </c>
      <c r="AE246" s="143">
        <f t="shared" si="12"/>
        <v>0</v>
      </c>
      <c r="AF246" s="133">
        <v>9</v>
      </c>
      <c r="AG246" s="81">
        <v>43112</v>
      </c>
      <c r="AH246" s="143">
        <v>12259575</v>
      </c>
      <c r="AI246" s="63" t="s">
        <v>786</v>
      </c>
      <c r="AJ246" s="63">
        <v>13</v>
      </c>
      <c r="AK246" s="143">
        <f t="shared" si="19"/>
        <v>0</v>
      </c>
      <c r="AL246" s="143">
        <v>7888770</v>
      </c>
      <c r="AM246" s="143">
        <f t="shared" si="14"/>
        <v>4370805</v>
      </c>
      <c r="AN246" s="133"/>
      <c r="AO246" s="144">
        <f t="shared" si="15"/>
        <v>0</v>
      </c>
      <c r="AP246" s="133"/>
      <c r="AQ246" s="150">
        <v>43102</v>
      </c>
      <c r="AR246" s="133" t="s">
        <v>739</v>
      </c>
      <c r="AS246" s="150">
        <v>43102</v>
      </c>
      <c r="AT246" s="133" t="s">
        <v>740</v>
      </c>
      <c r="AU246" s="220"/>
      <c r="AV246" s="220"/>
      <c r="AW246" s="220"/>
    </row>
    <row r="247" spans="1:49" s="221" customFormat="1" ht="370.5" x14ac:dyDescent="0.25">
      <c r="A247" s="63">
        <f t="shared" si="18"/>
        <v>60</v>
      </c>
      <c r="B247" s="128" t="str">
        <f t="shared" si="16"/>
        <v>208-60</v>
      </c>
      <c r="C247" s="129" t="s">
        <v>713</v>
      </c>
      <c r="D247" s="130" t="s">
        <v>714</v>
      </c>
      <c r="E247" s="145" t="s">
        <v>725</v>
      </c>
      <c r="F247" s="111" t="s">
        <v>52</v>
      </c>
      <c r="G247" s="145" t="s">
        <v>53</v>
      </c>
      <c r="H247" s="111" t="s">
        <v>733</v>
      </c>
      <c r="I247" s="111" t="s">
        <v>55</v>
      </c>
      <c r="J247" s="111" t="s">
        <v>56</v>
      </c>
      <c r="K247" s="63">
        <v>801116</v>
      </c>
      <c r="L247" s="111" t="s">
        <v>720</v>
      </c>
      <c r="M247" s="111" t="s">
        <v>58</v>
      </c>
      <c r="N247" s="111" t="s">
        <v>59</v>
      </c>
      <c r="O247" s="111" t="s">
        <v>728</v>
      </c>
      <c r="P247" s="227" t="s">
        <v>782</v>
      </c>
      <c r="Q247" s="134">
        <f t="shared" si="17"/>
        <v>2487450</v>
      </c>
      <c r="R247" s="146">
        <v>1</v>
      </c>
      <c r="S247" s="136">
        <v>28605675</v>
      </c>
      <c r="T247" s="137" t="s">
        <v>747</v>
      </c>
      <c r="U247" s="148" t="s">
        <v>445</v>
      </c>
      <c r="V247" s="148" t="s">
        <v>64</v>
      </c>
      <c r="W247" s="153">
        <v>11.5</v>
      </c>
      <c r="X247" s="133">
        <v>55</v>
      </c>
      <c r="Y247" s="81">
        <v>43102</v>
      </c>
      <c r="Z247" s="154">
        <v>28605675</v>
      </c>
      <c r="AA247" s="140"/>
      <c r="AB247" s="141">
        <v>7</v>
      </c>
      <c r="AC247" s="150">
        <v>43102</v>
      </c>
      <c r="AD247" s="143">
        <v>28605675</v>
      </c>
      <c r="AE247" s="143">
        <f t="shared" si="12"/>
        <v>0</v>
      </c>
      <c r="AF247" s="133">
        <v>9</v>
      </c>
      <c r="AG247" s="81">
        <v>43112</v>
      </c>
      <c r="AH247" s="143">
        <v>28605675</v>
      </c>
      <c r="AI247" s="63" t="s">
        <v>786</v>
      </c>
      <c r="AJ247" s="63">
        <v>13</v>
      </c>
      <c r="AK247" s="143">
        <f t="shared" si="19"/>
        <v>0</v>
      </c>
      <c r="AL247" s="143">
        <v>18407130</v>
      </c>
      <c r="AM247" s="143">
        <f t="shared" si="14"/>
        <v>10198545</v>
      </c>
      <c r="AN247" s="133"/>
      <c r="AO247" s="144">
        <f t="shared" si="15"/>
        <v>0</v>
      </c>
      <c r="AP247" s="133"/>
      <c r="AQ247" s="150">
        <v>43102</v>
      </c>
      <c r="AR247" s="133" t="s">
        <v>739</v>
      </c>
      <c r="AS247" s="150">
        <v>43102</v>
      </c>
      <c r="AT247" s="133" t="s">
        <v>740</v>
      </c>
      <c r="AU247" s="220"/>
      <c r="AV247" s="220"/>
      <c r="AW247" s="220"/>
    </row>
    <row r="248" spans="1:49" s="221" customFormat="1" ht="399" x14ac:dyDescent="0.25">
      <c r="A248" s="63">
        <f t="shared" si="18"/>
        <v>61</v>
      </c>
      <c r="B248" s="128" t="str">
        <f t="shared" si="16"/>
        <v>208-61</v>
      </c>
      <c r="C248" s="129" t="s">
        <v>713</v>
      </c>
      <c r="D248" s="130" t="s">
        <v>714</v>
      </c>
      <c r="E248" s="131" t="s">
        <v>715</v>
      </c>
      <c r="F248" s="111" t="s">
        <v>52</v>
      </c>
      <c r="G248" s="145" t="s">
        <v>53</v>
      </c>
      <c r="H248" s="111" t="s">
        <v>733</v>
      </c>
      <c r="I248" s="111" t="s">
        <v>55</v>
      </c>
      <c r="J248" s="111" t="s">
        <v>56</v>
      </c>
      <c r="K248" s="63">
        <v>801116</v>
      </c>
      <c r="L248" s="111" t="s">
        <v>720</v>
      </c>
      <c r="M248" s="111" t="s">
        <v>58</v>
      </c>
      <c r="N248" s="111" t="s">
        <v>59</v>
      </c>
      <c r="O248" s="111" t="s">
        <v>728</v>
      </c>
      <c r="P248" s="227" t="s">
        <v>782</v>
      </c>
      <c r="Q248" s="134">
        <f t="shared" si="17"/>
        <v>0</v>
      </c>
      <c r="R248" s="146">
        <v>1</v>
      </c>
      <c r="S248" s="136">
        <f>11726550-11726550</f>
        <v>0</v>
      </c>
      <c r="T248" s="137" t="s">
        <v>747</v>
      </c>
      <c r="U248" s="148" t="s">
        <v>445</v>
      </c>
      <c r="V248" s="148" t="s">
        <v>64</v>
      </c>
      <c r="W248" s="153">
        <v>11.5</v>
      </c>
      <c r="X248" s="133" t="s">
        <v>787</v>
      </c>
      <c r="Y248" s="81"/>
      <c r="Z248" s="154"/>
      <c r="AA248" s="140"/>
      <c r="AB248" s="141"/>
      <c r="AC248" s="142"/>
      <c r="AD248" s="143"/>
      <c r="AE248" s="143">
        <f t="shared" si="12"/>
        <v>0</v>
      </c>
      <c r="AF248" s="133"/>
      <c r="AG248" s="85"/>
      <c r="AH248" s="143"/>
      <c r="AI248" s="63"/>
      <c r="AJ248" s="63"/>
      <c r="AK248" s="143">
        <f t="shared" si="19"/>
        <v>0</v>
      </c>
      <c r="AL248" s="143"/>
      <c r="AM248" s="143">
        <f t="shared" si="14"/>
        <v>0</v>
      </c>
      <c r="AN248" s="133"/>
      <c r="AO248" s="144">
        <f t="shared" si="15"/>
        <v>0</v>
      </c>
      <c r="AP248" s="133"/>
      <c r="AQ248" s="150">
        <v>43102</v>
      </c>
      <c r="AR248" s="133" t="s">
        <v>739</v>
      </c>
      <c r="AS248" s="150">
        <v>43102</v>
      </c>
      <c r="AT248" s="133" t="s">
        <v>740</v>
      </c>
      <c r="AU248" s="220"/>
      <c r="AV248" s="220"/>
      <c r="AW248" s="220"/>
    </row>
    <row r="249" spans="1:49" s="221" customFormat="1" ht="370.5" x14ac:dyDescent="0.25">
      <c r="A249" s="63">
        <f t="shared" si="18"/>
        <v>62</v>
      </c>
      <c r="B249" s="128" t="str">
        <f t="shared" si="16"/>
        <v>208-62</v>
      </c>
      <c r="C249" s="129" t="s">
        <v>713</v>
      </c>
      <c r="D249" s="130" t="s">
        <v>714</v>
      </c>
      <c r="E249" s="145" t="s">
        <v>725</v>
      </c>
      <c r="F249" s="111" t="s">
        <v>52</v>
      </c>
      <c r="G249" s="145" t="s">
        <v>53</v>
      </c>
      <c r="H249" s="111" t="s">
        <v>733</v>
      </c>
      <c r="I249" s="111" t="s">
        <v>55</v>
      </c>
      <c r="J249" s="111" t="s">
        <v>56</v>
      </c>
      <c r="K249" s="63">
        <v>801116</v>
      </c>
      <c r="L249" s="111" t="s">
        <v>720</v>
      </c>
      <c r="M249" s="111" t="s">
        <v>58</v>
      </c>
      <c r="N249" s="111" t="s">
        <v>59</v>
      </c>
      <c r="O249" s="111" t="s">
        <v>728</v>
      </c>
      <c r="P249" s="227" t="s">
        <v>782</v>
      </c>
      <c r="Q249" s="134">
        <f t="shared" si="17"/>
        <v>0</v>
      </c>
      <c r="R249" s="146">
        <v>1</v>
      </c>
      <c r="S249" s="136">
        <f>27361950-27361950</f>
        <v>0</v>
      </c>
      <c r="T249" s="137" t="s">
        <v>747</v>
      </c>
      <c r="U249" s="148" t="s">
        <v>445</v>
      </c>
      <c r="V249" s="148" t="s">
        <v>64</v>
      </c>
      <c r="W249" s="153">
        <v>11.5</v>
      </c>
      <c r="X249" s="133" t="s">
        <v>788</v>
      </c>
      <c r="Y249" s="81"/>
      <c r="Z249" s="154"/>
      <c r="AA249" s="140"/>
      <c r="AB249" s="141"/>
      <c r="AC249" s="142"/>
      <c r="AD249" s="143"/>
      <c r="AE249" s="143">
        <f t="shared" si="12"/>
        <v>0</v>
      </c>
      <c r="AF249" s="133"/>
      <c r="AG249" s="85"/>
      <c r="AH249" s="143"/>
      <c r="AI249" s="63"/>
      <c r="AJ249" s="63"/>
      <c r="AK249" s="143">
        <f t="shared" si="19"/>
        <v>0</v>
      </c>
      <c r="AL249" s="143"/>
      <c r="AM249" s="143">
        <f t="shared" si="14"/>
        <v>0</v>
      </c>
      <c r="AN249" s="133"/>
      <c r="AO249" s="144">
        <f t="shared" si="15"/>
        <v>0</v>
      </c>
      <c r="AP249" s="133"/>
      <c r="AQ249" s="150">
        <v>43102</v>
      </c>
      <c r="AR249" s="133" t="s">
        <v>739</v>
      </c>
      <c r="AS249" s="150">
        <v>43102</v>
      </c>
      <c r="AT249" s="133" t="s">
        <v>740</v>
      </c>
      <c r="AU249" s="220"/>
      <c r="AV249" s="220"/>
      <c r="AW249" s="220"/>
    </row>
    <row r="250" spans="1:49" s="221" customFormat="1" ht="399" x14ac:dyDescent="0.25">
      <c r="A250" s="63">
        <f t="shared" si="18"/>
        <v>63</v>
      </c>
      <c r="B250" s="128" t="str">
        <f t="shared" si="16"/>
        <v>208-63</v>
      </c>
      <c r="C250" s="129" t="s">
        <v>713</v>
      </c>
      <c r="D250" s="130" t="s">
        <v>714</v>
      </c>
      <c r="E250" s="131" t="s">
        <v>715</v>
      </c>
      <c r="F250" s="111" t="s">
        <v>52</v>
      </c>
      <c r="G250" s="145" t="s">
        <v>53</v>
      </c>
      <c r="H250" s="111" t="s">
        <v>733</v>
      </c>
      <c r="I250" s="111" t="s">
        <v>55</v>
      </c>
      <c r="J250" s="111" t="s">
        <v>56</v>
      </c>
      <c r="K250" s="63">
        <v>801116</v>
      </c>
      <c r="L250" s="111" t="s">
        <v>720</v>
      </c>
      <c r="M250" s="111" t="s">
        <v>58</v>
      </c>
      <c r="N250" s="111" t="s">
        <v>59</v>
      </c>
      <c r="O250" s="111" t="s">
        <v>728</v>
      </c>
      <c r="P250" s="227" t="s">
        <v>81</v>
      </c>
      <c r="Q250" s="134">
        <f t="shared" si="17"/>
        <v>616208.69565217395</v>
      </c>
      <c r="R250" s="146">
        <v>1</v>
      </c>
      <c r="S250" s="136">
        <f>7107000-20600</f>
        <v>7086400</v>
      </c>
      <c r="T250" s="137" t="s">
        <v>747</v>
      </c>
      <c r="U250" s="148" t="s">
        <v>445</v>
      </c>
      <c r="V250" s="148" t="s">
        <v>64</v>
      </c>
      <c r="W250" s="153">
        <v>11.5</v>
      </c>
      <c r="X250" s="133">
        <v>52</v>
      </c>
      <c r="Y250" s="81">
        <v>43102</v>
      </c>
      <c r="Z250" s="154">
        <v>7107000</v>
      </c>
      <c r="AA250" s="140"/>
      <c r="AB250" s="141">
        <v>4</v>
      </c>
      <c r="AC250" s="150">
        <v>43102</v>
      </c>
      <c r="AD250" s="143">
        <v>7086399.8999999994</v>
      </c>
      <c r="AE250" s="143">
        <f t="shared" si="12"/>
        <v>0.10000000055879354</v>
      </c>
      <c r="AF250" s="133">
        <v>40</v>
      </c>
      <c r="AG250" s="81">
        <v>43116</v>
      </c>
      <c r="AH250" s="143">
        <v>7086399.8999999994</v>
      </c>
      <c r="AI250" s="63" t="s">
        <v>83</v>
      </c>
      <c r="AJ250" s="63">
        <v>36</v>
      </c>
      <c r="AK250" s="143">
        <f t="shared" si="19"/>
        <v>0</v>
      </c>
      <c r="AL250" s="143">
        <v>5479599.8999999994</v>
      </c>
      <c r="AM250" s="143">
        <f t="shared" si="14"/>
        <v>1606800</v>
      </c>
      <c r="AN250" s="133"/>
      <c r="AO250" s="144">
        <f t="shared" si="15"/>
        <v>0.10000000055879354</v>
      </c>
      <c r="AP250" s="133"/>
      <c r="AQ250" s="150">
        <v>43102</v>
      </c>
      <c r="AR250" s="133" t="s">
        <v>739</v>
      </c>
      <c r="AS250" s="150">
        <v>43102</v>
      </c>
      <c r="AT250" s="133" t="s">
        <v>740</v>
      </c>
      <c r="AU250" s="220"/>
      <c r="AV250" s="220"/>
      <c r="AW250" s="220"/>
    </row>
    <row r="251" spans="1:49" s="221" customFormat="1" ht="370.5" x14ac:dyDescent="0.25">
      <c r="A251" s="63">
        <f t="shared" si="18"/>
        <v>64</v>
      </c>
      <c r="B251" s="128" t="str">
        <f t="shared" si="16"/>
        <v>208-64</v>
      </c>
      <c r="C251" s="129" t="s">
        <v>713</v>
      </c>
      <c r="D251" s="130" t="s">
        <v>714</v>
      </c>
      <c r="E251" s="145" t="s">
        <v>725</v>
      </c>
      <c r="F251" s="111" t="s">
        <v>52</v>
      </c>
      <c r="G251" s="145" t="s">
        <v>53</v>
      </c>
      <c r="H251" s="111" t="s">
        <v>733</v>
      </c>
      <c r="I251" s="111" t="s">
        <v>55</v>
      </c>
      <c r="J251" s="111" t="s">
        <v>56</v>
      </c>
      <c r="K251" s="63">
        <v>801116</v>
      </c>
      <c r="L251" s="111" t="s">
        <v>720</v>
      </c>
      <c r="M251" s="111" t="s">
        <v>58</v>
      </c>
      <c r="N251" s="111" t="s">
        <v>59</v>
      </c>
      <c r="O251" s="111" t="s">
        <v>728</v>
      </c>
      <c r="P251" s="227" t="s">
        <v>81</v>
      </c>
      <c r="Q251" s="134">
        <f t="shared" si="17"/>
        <v>1437820.2608695652</v>
      </c>
      <c r="R251" s="146">
        <v>1</v>
      </c>
      <c r="S251" s="136">
        <f>16583000-48067</f>
        <v>16534933</v>
      </c>
      <c r="T251" s="137" t="s">
        <v>747</v>
      </c>
      <c r="U251" s="148" t="s">
        <v>445</v>
      </c>
      <c r="V251" s="148" t="s">
        <v>64</v>
      </c>
      <c r="W251" s="153">
        <v>11.5</v>
      </c>
      <c r="X251" s="133">
        <v>51</v>
      </c>
      <c r="Y251" s="81">
        <v>43102</v>
      </c>
      <c r="Z251" s="154">
        <v>16583000</v>
      </c>
      <c r="AA251" s="140"/>
      <c r="AB251" s="141">
        <v>4</v>
      </c>
      <c r="AC251" s="150">
        <v>43102</v>
      </c>
      <c r="AD251" s="143">
        <v>16534933.1</v>
      </c>
      <c r="AE251" s="143">
        <f t="shared" si="12"/>
        <v>-9.999999962747097E-2</v>
      </c>
      <c r="AF251" s="133">
        <v>40</v>
      </c>
      <c r="AG251" s="81">
        <v>43116</v>
      </c>
      <c r="AH251" s="143">
        <v>16534933.1</v>
      </c>
      <c r="AI251" s="63" t="s">
        <v>83</v>
      </c>
      <c r="AJ251" s="63">
        <v>36</v>
      </c>
      <c r="AK251" s="143">
        <f t="shared" si="19"/>
        <v>0</v>
      </c>
      <c r="AL251" s="143">
        <v>12785733.1</v>
      </c>
      <c r="AM251" s="143">
        <f t="shared" si="14"/>
        <v>3749200</v>
      </c>
      <c r="AN251" s="133"/>
      <c r="AO251" s="144">
        <f t="shared" si="15"/>
        <v>-9.999999962747097E-2</v>
      </c>
      <c r="AP251" s="133"/>
      <c r="AQ251" s="150">
        <v>43102</v>
      </c>
      <c r="AR251" s="133" t="s">
        <v>739</v>
      </c>
      <c r="AS251" s="150">
        <v>43102</v>
      </c>
      <c r="AT251" s="133" t="s">
        <v>740</v>
      </c>
      <c r="AU251" s="220"/>
      <c r="AV251" s="220"/>
      <c r="AW251" s="220"/>
    </row>
    <row r="252" spans="1:49" s="221" customFormat="1" ht="399" x14ac:dyDescent="0.25">
      <c r="A252" s="63">
        <f t="shared" si="18"/>
        <v>65</v>
      </c>
      <c r="B252" s="128" t="str">
        <f t="shared" si="16"/>
        <v>208-65</v>
      </c>
      <c r="C252" s="129" t="s">
        <v>713</v>
      </c>
      <c r="D252" s="130" t="s">
        <v>714</v>
      </c>
      <c r="E252" s="131" t="s">
        <v>715</v>
      </c>
      <c r="F252" s="111" t="s">
        <v>52</v>
      </c>
      <c r="G252" s="145" t="s">
        <v>53</v>
      </c>
      <c r="H252" s="111" t="s">
        <v>733</v>
      </c>
      <c r="I252" s="111" t="s">
        <v>55</v>
      </c>
      <c r="J252" s="111" t="s">
        <v>56</v>
      </c>
      <c r="K252" s="63">
        <v>801116</v>
      </c>
      <c r="L252" s="111" t="s">
        <v>720</v>
      </c>
      <c r="M252" s="111" t="s">
        <v>58</v>
      </c>
      <c r="N252" s="111" t="s">
        <v>59</v>
      </c>
      <c r="O252" s="111" t="s">
        <v>728</v>
      </c>
      <c r="P252" s="227" t="s">
        <v>789</v>
      </c>
      <c r="Q252" s="134">
        <f t="shared" si="17"/>
        <v>1236000</v>
      </c>
      <c r="R252" s="146">
        <v>1</v>
      </c>
      <c r="S252" s="136">
        <v>14214000</v>
      </c>
      <c r="T252" s="137" t="s">
        <v>747</v>
      </c>
      <c r="U252" s="148" t="s">
        <v>445</v>
      </c>
      <c r="V252" s="148" t="s">
        <v>64</v>
      </c>
      <c r="W252" s="153">
        <v>11.5</v>
      </c>
      <c r="X252" s="133">
        <v>50</v>
      </c>
      <c r="Y252" s="81">
        <v>43102</v>
      </c>
      <c r="Z252" s="154">
        <v>14214000</v>
      </c>
      <c r="AA252" s="140"/>
      <c r="AB252" s="141">
        <v>55</v>
      </c>
      <c r="AC252" s="150">
        <v>43103</v>
      </c>
      <c r="AD252" s="143">
        <v>14214000</v>
      </c>
      <c r="AE252" s="143">
        <f t="shared" ref="AE252:AE306" si="20">S252-AD252</f>
        <v>0</v>
      </c>
      <c r="AF252" s="133">
        <v>184</v>
      </c>
      <c r="AG252" s="81">
        <v>43118</v>
      </c>
      <c r="AH252" s="143">
        <v>14214000</v>
      </c>
      <c r="AI252" s="63" t="s">
        <v>790</v>
      </c>
      <c r="AJ252" s="63">
        <v>135</v>
      </c>
      <c r="AK252" s="143">
        <f t="shared" si="19"/>
        <v>0</v>
      </c>
      <c r="AL252" s="143">
        <v>9187599.9000000004</v>
      </c>
      <c r="AM252" s="143">
        <f t="shared" ref="AM252:AM315" si="21">AH252-AL252</f>
        <v>5026400.0999999996</v>
      </c>
      <c r="AN252" s="133"/>
      <c r="AO252" s="144">
        <f t="shared" ref="AO252:AO311" si="22">S252-AH252</f>
        <v>0</v>
      </c>
      <c r="AP252" s="133"/>
      <c r="AQ252" s="150">
        <v>43102</v>
      </c>
      <c r="AR252" s="133" t="s">
        <v>739</v>
      </c>
      <c r="AS252" s="150">
        <v>43102</v>
      </c>
      <c r="AT252" s="133" t="s">
        <v>740</v>
      </c>
      <c r="AU252" s="220"/>
      <c r="AV252" s="220"/>
      <c r="AW252" s="220"/>
    </row>
    <row r="253" spans="1:49" s="221" customFormat="1" ht="370.5" x14ac:dyDescent="0.25">
      <c r="A253" s="63">
        <f t="shared" si="18"/>
        <v>66</v>
      </c>
      <c r="B253" s="128" t="str">
        <f t="shared" ref="B253:B307" si="23">+CONCATENATE("208-",A253)</f>
        <v>208-66</v>
      </c>
      <c r="C253" s="129" t="s">
        <v>713</v>
      </c>
      <c r="D253" s="130" t="s">
        <v>714</v>
      </c>
      <c r="E253" s="145" t="s">
        <v>725</v>
      </c>
      <c r="F253" s="111" t="s">
        <v>52</v>
      </c>
      <c r="G253" s="145" t="s">
        <v>53</v>
      </c>
      <c r="H253" s="111" t="s">
        <v>733</v>
      </c>
      <c r="I253" s="111" t="s">
        <v>55</v>
      </c>
      <c r="J253" s="111" t="s">
        <v>56</v>
      </c>
      <c r="K253" s="63">
        <v>801116</v>
      </c>
      <c r="L253" s="111" t="s">
        <v>720</v>
      </c>
      <c r="M253" s="111" t="s">
        <v>58</v>
      </c>
      <c r="N253" s="111" t="s">
        <v>59</v>
      </c>
      <c r="O253" s="111" t="s">
        <v>728</v>
      </c>
      <c r="P253" s="227" t="s">
        <v>789</v>
      </c>
      <c r="Q253" s="134">
        <f t="shared" ref="Q253:Q305" si="24">(S253/W253)/R253</f>
        <v>2884000</v>
      </c>
      <c r="R253" s="146">
        <v>1</v>
      </c>
      <c r="S253" s="136">
        <v>33166000</v>
      </c>
      <c r="T253" s="137" t="s">
        <v>747</v>
      </c>
      <c r="U253" s="148" t="s">
        <v>445</v>
      </c>
      <c r="V253" s="148" t="s">
        <v>64</v>
      </c>
      <c r="W253" s="153">
        <v>11.5</v>
      </c>
      <c r="X253" s="133">
        <v>49</v>
      </c>
      <c r="Y253" s="81">
        <v>43102</v>
      </c>
      <c r="Z253" s="154">
        <v>33166000</v>
      </c>
      <c r="AA253" s="140"/>
      <c r="AB253" s="141">
        <v>55</v>
      </c>
      <c r="AC253" s="150">
        <v>43103</v>
      </c>
      <c r="AD253" s="143">
        <v>33166000</v>
      </c>
      <c r="AE253" s="143">
        <f t="shared" si="20"/>
        <v>0</v>
      </c>
      <c r="AF253" s="133">
        <v>184</v>
      </c>
      <c r="AG253" s="81">
        <v>43118</v>
      </c>
      <c r="AH253" s="143">
        <v>33166000</v>
      </c>
      <c r="AI253" s="63" t="s">
        <v>790</v>
      </c>
      <c r="AJ253" s="63">
        <v>135</v>
      </c>
      <c r="AK253" s="143">
        <f t="shared" si="19"/>
        <v>0</v>
      </c>
      <c r="AL253" s="143">
        <v>21437733.099999998</v>
      </c>
      <c r="AM253" s="143">
        <f t="shared" si="21"/>
        <v>11728266.900000002</v>
      </c>
      <c r="AN253" s="133"/>
      <c r="AO253" s="144">
        <f t="shared" si="22"/>
        <v>0</v>
      </c>
      <c r="AP253" s="133"/>
      <c r="AQ253" s="150">
        <v>43102</v>
      </c>
      <c r="AR253" s="133" t="s">
        <v>739</v>
      </c>
      <c r="AS253" s="150">
        <v>43102</v>
      </c>
      <c r="AT253" s="133" t="s">
        <v>740</v>
      </c>
      <c r="AU253" s="220"/>
      <c r="AV253" s="220"/>
      <c r="AW253" s="220"/>
    </row>
    <row r="254" spans="1:49" s="221" customFormat="1" ht="399" x14ac:dyDescent="0.25">
      <c r="A254" s="63">
        <f t="shared" ref="A254:A306" si="25">A253+1</f>
        <v>67</v>
      </c>
      <c r="B254" s="128" t="str">
        <f t="shared" si="23"/>
        <v>208-67</v>
      </c>
      <c r="C254" s="129" t="s">
        <v>713</v>
      </c>
      <c r="D254" s="130" t="s">
        <v>714</v>
      </c>
      <c r="E254" s="131" t="s">
        <v>715</v>
      </c>
      <c r="F254" s="111" t="s">
        <v>52</v>
      </c>
      <c r="G254" s="145" t="s">
        <v>53</v>
      </c>
      <c r="H254" s="111" t="s">
        <v>733</v>
      </c>
      <c r="I254" s="111" t="s">
        <v>55</v>
      </c>
      <c r="J254" s="111" t="s">
        <v>56</v>
      </c>
      <c r="K254" s="63">
        <v>801116</v>
      </c>
      <c r="L254" s="111" t="s">
        <v>720</v>
      </c>
      <c r="M254" s="111" t="s">
        <v>58</v>
      </c>
      <c r="N254" s="111" t="s">
        <v>59</v>
      </c>
      <c r="O254" s="111" t="s">
        <v>728</v>
      </c>
      <c r="P254" s="227" t="s">
        <v>789</v>
      </c>
      <c r="Q254" s="134">
        <f t="shared" si="24"/>
        <v>1066050</v>
      </c>
      <c r="R254" s="146">
        <v>1</v>
      </c>
      <c r="S254" s="136">
        <v>12259575</v>
      </c>
      <c r="T254" s="137" t="s">
        <v>747</v>
      </c>
      <c r="U254" s="148" t="s">
        <v>445</v>
      </c>
      <c r="V254" s="148" t="s">
        <v>64</v>
      </c>
      <c r="W254" s="153">
        <v>11.5</v>
      </c>
      <c r="X254" s="133">
        <v>48</v>
      </c>
      <c r="Y254" s="81">
        <v>43102</v>
      </c>
      <c r="Z254" s="154">
        <v>12259575</v>
      </c>
      <c r="AA254" s="140"/>
      <c r="AB254" s="141">
        <v>54</v>
      </c>
      <c r="AC254" s="150">
        <v>43103</v>
      </c>
      <c r="AD254" s="143">
        <v>12259575</v>
      </c>
      <c r="AE254" s="143">
        <f t="shared" si="20"/>
        <v>0</v>
      </c>
      <c r="AF254" s="133">
        <v>15</v>
      </c>
      <c r="AG254" s="81">
        <v>43112</v>
      </c>
      <c r="AH254" s="143">
        <v>12259575</v>
      </c>
      <c r="AI254" s="63" t="s">
        <v>791</v>
      </c>
      <c r="AJ254" s="63">
        <v>11</v>
      </c>
      <c r="AK254" s="143">
        <f t="shared" si="19"/>
        <v>0</v>
      </c>
      <c r="AL254" s="143">
        <v>7995375</v>
      </c>
      <c r="AM254" s="143">
        <f t="shared" si="21"/>
        <v>4264200</v>
      </c>
      <c r="AN254" s="133"/>
      <c r="AO254" s="144">
        <f t="shared" si="22"/>
        <v>0</v>
      </c>
      <c r="AP254" s="133"/>
      <c r="AQ254" s="150">
        <v>43102</v>
      </c>
      <c r="AR254" s="133" t="s">
        <v>739</v>
      </c>
      <c r="AS254" s="150">
        <v>43102</v>
      </c>
      <c r="AT254" s="133" t="s">
        <v>740</v>
      </c>
      <c r="AU254" s="220"/>
      <c r="AV254" s="220"/>
      <c r="AW254" s="220"/>
    </row>
    <row r="255" spans="1:49" s="221" customFormat="1" ht="370.5" x14ac:dyDescent="0.25">
      <c r="A255" s="63">
        <f t="shared" si="25"/>
        <v>68</v>
      </c>
      <c r="B255" s="128" t="str">
        <f t="shared" si="23"/>
        <v>208-68</v>
      </c>
      <c r="C255" s="129" t="s">
        <v>713</v>
      </c>
      <c r="D255" s="130" t="s">
        <v>714</v>
      </c>
      <c r="E255" s="145" t="s">
        <v>725</v>
      </c>
      <c r="F255" s="111" t="s">
        <v>52</v>
      </c>
      <c r="G255" s="145" t="s">
        <v>53</v>
      </c>
      <c r="H255" s="111" t="s">
        <v>733</v>
      </c>
      <c r="I255" s="111" t="s">
        <v>55</v>
      </c>
      <c r="J255" s="111" t="s">
        <v>56</v>
      </c>
      <c r="K255" s="63">
        <v>801116</v>
      </c>
      <c r="L255" s="111" t="s">
        <v>720</v>
      </c>
      <c r="M255" s="111" t="s">
        <v>58</v>
      </c>
      <c r="N255" s="111" t="s">
        <v>59</v>
      </c>
      <c r="O255" s="111" t="s">
        <v>728</v>
      </c>
      <c r="P255" s="227" t="s">
        <v>789</v>
      </c>
      <c r="Q255" s="134">
        <f t="shared" si="24"/>
        <v>2487450</v>
      </c>
      <c r="R255" s="146">
        <v>1</v>
      </c>
      <c r="S255" s="136">
        <v>28605675</v>
      </c>
      <c r="T255" s="137" t="s">
        <v>747</v>
      </c>
      <c r="U255" s="148" t="s">
        <v>445</v>
      </c>
      <c r="V255" s="148" t="s">
        <v>64</v>
      </c>
      <c r="W255" s="153">
        <v>11.5</v>
      </c>
      <c r="X255" s="133">
        <v>47</v>
      </c>
      <c r="Y255" s="81">
        <v>43102</v>
      </c>
      <c r="Z255" s="154">
        <v>28605675</v>
      </c>
      <c r="AA255" s="140"/>
      <c r="AB255" s="141">
        <v>54</v>
      </c>
      <c r="AC255" s="150">
        <v>43103</v>
      </c>
      <c r="AD255" s="143">
        <v>28605675</v>
      </c>
      <c r="AE255" s="143">
        <f t="shared" si="20"/>
        <v>0</v>
      </c>
      <c r="AF255" s="133">
        <v>15</v>
      </c>
      <c r="AG255" s="81">
        <v>43112</v>
      </c>
      <c r="AH255" s="143">
        <v>28605675</v>
      </c>
      <c r="AI255" s="63" t="s">
        <v>791</v>
      </c>
      <c r="AJ255" s="63">
        <v>11</v>
      </c>
      <c r="AK255" s="143">
        <f t="shared" si="19"/>
        <v>0</v>
      </c>
      <c r="AL255" s="143">
        <v>18655875</v>
      </c>
      <c r="AM255" s="143">
        <f t="shared" si="21"/>
        <v>9949800</v>
      </c>
      <c r="AN255" s="133"/>
      <c r="AO255" s="144">
        <f t="shared" si="22"/>
        <v>0</v>
      </c>
      <c r="AP255" s="133"/>
      <c r="AQ255" s="150">
        <v>43102</v>
      </c>
      <c r="AR255" s="133" t="s">
        <v>739</v>
      </c>
      <c r="AS255" s="150">
        <v>43102</v>
      </c>
      <c r="AT255" s="133" t="s">
        <v>740</v>
      </c>
      <c r="AU255" s="220"/>
      <c r="AV255" s="220"/>
      <c r="AW255" s="220"/>
    </row>
    <row r="256" spans="1:49" s="221" customFormat="1" ht="399" x14ac:dyDescent="0.25">
      <c r="A256" s="63">
        <f t="shared" si="25"/>
        <v>69</v>
      </c>
      <c r="B256" s="128" t="str">
        <f t="shared" si="23"/>
        <v>208-69</v>
      </c>
      <c r="C256" s="129" t="s">
        <v>713</v>
      </c>
      <c r="D256" s="130" t="s">
        <v>714</v>
      </c>
      <c r="E256" s="131" t="s">
        <v>715</v>
      </c>
      <c r="F256" s="111" t="s">
        <v>52</v>
      </c>
      <c r="G256" s="145" t="s">
        <v>53</v>
      </c>
      <c r="H256" s="111" t="s">
        <v>733</v>
      </c>
      <c r="I256" s="111" t="s">
        <v>55</v>
      </c>
      <c r="J256" s="111" t="s">
        <v>56</v>
      </c>
      <c r="K256" s="63">
        <v>801116</v>
      </c>
      <c r="L256" s="111" t="s">
        <v>720</v>
      </c>
      <c r="M256" s="111" t="s">
        <v>58</v>
      </c>
      <c r="N256" s="111" t="s">
        <v>59</v>
      </c>
      <c r="O256" s="111" t="s">
        <v>728</v>
      </c>
      <c r="P256" s="227" t="s">
        <v>789</v>
      </c>
      <c r="Q256" s="134">
        <f t="shared" si="24"/>
        <v>1066050</v>
      </c>
      <c r="R256" s="146">
        <v>1</v>
      </c>
      <c r="S256" s="136">
        <v>12259575</v>
      </c>
      <c r="T256" s="137" t="s">
        <v>747</v>
      </c>
      <c r="U256" s="148" t="s">
        <v>445</v>
      </c>
      <c r="V256" s="148" t="s">
        <v>64</v>
      </c>
      <c r="W256" s="153">
        <v>11.5</v>
      </c>
      <c r="X256" s="133">
        <v>46</v>
      </c>
      <c r="Y256" s="81">
        <v>43102</v>
      </c>
      <c r="Z256" s="154">
        <v>12259575</v>
      </c>
      <c r="AA256" s="140"/>
      <c r="AB256" s="141">
        <v>53</v>
      </c>
      <c r="AC256" s="150">
        <v>43103</v>
      </c>
      <c r="AD256" s="143">
        <v>12259575</v>
      </c>
      <c r="AE256" s="143">
        <f t="shared" si="20"/>
        <v>0</v>
      </c>
      <c r="AF256" s="133">
        <v>183</v>
      </c>
      <c r="AG256" s="81">
        <v>43118</v>
      </c>
      <c r="AH256" s="143">
        <v>12259575</v>
      </c>
      <c r="AI256" s="63" t="s">
        <v>792</v>
      </c>
      <c r="AJ256" s="63">
        <v>137</v>
      </c>
      <c r="AK256" s="143">
        <f t="shared" si="19"/>
        <v>0</v>
      </c>
      <c r="AL256" s="143">
        <v>7782165</v>
      </c>
      <c r="AM256" s="143">
        <f t="shared" si="21"/>
        <v>4477410</v>
      </c>
      <c r="AN256" s="133"/>
      <c r="AO256" s="144">
        <f t="shared" si="22"/>
        <v>0</v>
      </c>
      <c r="AP256" s="133"/>
      <c r="AQ256" s="150">
        <v>43102</v>
      </c>
      <c r="AR256" s="133" t="s">
        <v>739</v>
      </c>
      <c r="AS256" s="150">
        <v>43102</v>
      </c>
      <c r="AT256" s="133" t="s">
        <v>740</v>
      </c>
      <c r="AU256" s="220"/>
      <c r="AV256" s="220"/>
      <c r="AW256" s="220"/>
    </row>
    <row r="257" spans="1:49" s="221" customFormat="1" ht="370.5" x14ac:dyDescent="0.25">
      <c r="A257" s="63">
        <f t="shared" si="25"/>
        <v>70</v>
      </c>
      <c r="B257" s="128" t="str">
        <f t="shared" si="23"/>
        <v>208-70</v>
      </c>
      <c r="C257" s="129" t="s">
        <v>713</v>
      </c>
      <c r="D257" s="130" t="s">
        <v>714</v>
      </c>
      <c r="E257" s="145" t="s">
        <v>725</v>
      </c>
      <c r="F257" s="111" t="s">
        <v>52</v>
      </c>
      <c r="G257" s="145" t="s">
        <v>53</v>
      </c>
      <c r="H257" s="111" t="s">
        <v>733</v>
      </c>
      <c r="I257" s="111" t="s">
        <v>55</v>
      </c>
      <c r="J257" s="111" t="s">
        <v>56</v>
      </c>
      <c r="K257" s="63">
        <v>801116</v>
      </c>
      <c r="L257" s="111" t="s">
        <v>720</v>
      </c>
      <c r="M257" s="111" t="s">
        <v>58</v>
      </c>
      <c r="N257" s="111" t="s">
        <v>59</v>
      </c>
      <c r="O257" s="111" t="s">
        <v>728</v>
      </c>
      <c r="P257" s="227" t="s">
        <v>789</v>
      </c>
      <c r="Q257" s="134">
        <f t="shared" si="24"/>
        <v>2487450</v>
      </c>
      <c r="R257" s="146">
        <v>1</v>
      </c>
      <c r="S257" s="136">
        <v>28605675</v>
      </c>
      <c r="T257" s="137" t="s">
        <v>747</v>
      </c>
      <c r="U257" s="148" t="s">
        <v>445</v>
      </c>
      <c r="V257" s="148" t="s">
        <v>64</v>
      </c>
      <c r="W257" s="153">
        <v>11.5</v>
      </c>
      <c r="X257" s="133">
        <v>45</v>
      </c>
      <c r="Y257" s="81">
        <v>43102</v>
      </c>
      <c r="Z257" s="154">
        <v>28605675</v>
      </c>
      <c r="AA257" s="140"/>
      <c r="AB257" s="141">
        <v>53</v>
      </c>
      <c r="AC257" s="150">
        <v>43103</v>
      </c>
      <c r="AD257" s="143">
        <v>28605675</v>
      </c>
      <c r="AE257" s="143">
        <f t="shared" si="20"/>
        <v>0</v>
      </c>
      <c r="AF257" s="133">
        <v>183</v>
      </c>
      <c r="AG257" s="81">
        <v>43118</v>
      </c>
      <c r="AH257" s="143">
        <v>28605675</v>
      </c>
      <c r="AI257" s="63" t="s">
        <v>792</v>
      </c>
      <c r="AJ257" s="63">
        <v>137</v>
      </c>
      <c r="AK257" s="143">
        <f t="shared" si="19"/>
        <v>0</v>
      </c>
      <c r="AL257" s="143">
        <v>18158385</v>
      </c>
      <c r="AM257" s="143">
        <f t="shared" si="21"/>
        <v>10447290</v>
      </c>
      <c r="AN257" s="133"/>
      <c r="AO257" s="144">
        <f t="shared" si="22"/>
        <v>0</v>
      </c>
      <c r="AP257" s="133"/>
      <c r="AQ257" s="150">
        <v>43102</v>
      </c>
      <c r="AR257" s="133" t="s">
        <v>739</v>
      </c>
      <c r="AS257" s="150">
        <v>43102</v>
      </c>
      <c r="AT257" s="133" t="s">
        <v>740</v>
      </c>
      <c r="AU257" s="220"/>
      <c r="AV257" s="220"/>
      <c r="AW257" s="220"/>
    </row>
    <row r="258" spans="1:49" s="221" customFormat="1" ht="399" x14ac:dyDescent="0.25">
      <c r="A258" s="63">
        <f t="shared" si="25"/>
        <v>71</v>
      </c>
      <c r="B258" s="128" t="str">
        <f t="shared" si="23"/>
        <v>208-71</v>
      </c>
      <c r="C258" s="129" t="s">
        <v>713</v>
      </c>
      <c r="D258" s="130" t="s">
        <v>714</v>
      </c>
      <c r="E258" s="131" t="s">
        <v>715</v>
      </c>
      <c r="F258" s="111" t="s">
        <v>52</v>
      </c>
      <c r="G258" s="145" t="s">
        <v>53</v>
      </c>
      <c r="H258" s="111" t="s">
        <v>733</v>
      </c>
      <c r="I258" s="111" t="s">
        <v>55</v>
      </c>
      <c r="J258" s="111" t="s">
        <v>56</v>
      </c>
      <c r="K258" s="63">
        <v>801116</v>
      </c>
      <c r="L258" s="111" t="s">
        <v>720</v>
      </c>
      <c r="M258" s="111" t="s">
        <v>58</v>
      </c>
      <c r="N258" s="111" t="s">
        <v>59</v>
      </c>
      <c r="O258" s="111" t="s">
        <v>728</v>
      </c>
      <c r="P258" s="227" t="s">
        <v>789</v>
      </c>
      <c r="Q258" s="134">
        <f t="shared" si="24"/>
        <v>1066050</v>
      </c>
      <c r="R258" s="146">
        <v>1</v>
      </c>
      <c r="S258" s="136">
        <v>12259575</v>
      </c>
      <c r="T258" s="137" t="s">
        <v>747</v>
      </c>
      <c r="U258" s="148" t="s">
        <v>445</v>
      </c>
      <c r="V258" s="148" t="s">
        <v>64</v>
      </c>
      <c r="W258" s="153">
        <v>11.5</v>
      </c>
      <c r="X258" s="133">
        <v>44</v>
      </c>
      <c r="Y258" s="81">
        <v>43102</v>
      </c>
      <c r="Z258" s="154">
        <v>12259575</v>
      </c>
      <c r="AA258" s="140"/>
      <c r="AB258" s="141">
        <v>51</v>
      </c>
      <c r="AC258" s="150">
        <v>43103</v>
      </c>
      <c r="AD258" s="143">
        <v>12259575</v>
      </c>
      <c r="AE258" s="143">
        <f t="shared" si="20"/>
        <v>0</v>
      </c>
      <c r="AF258" s="133">
        <v>257</v>
      </c>
      <c r="AG258" s="81">
        <v>43119</v>
      </c>
      <c r="AH258" s="143">
        <v>12259575</v>
      </c>
      <c r="AI258" s="63" t="s">
        <v>793</v>
      </c>
      <c r="AJ258" s="63">
        <v>225</v>
      </c>
      <c r="AK258" s="143">
        <f t="shared" si="19"/>
        <v>0</v>
      </c>
      <c r="AL258" s="143">
        <v>7782165</v>
      </c>
      <c r="AM258" s="143">
        <f t="shared" si="21"/>
        <v>4477410</v>
      </c>
      <c r="AN258" s="133"/>
      <c r="AO258" s="144">
        <f t="shared" si="22"/>
        <v>0</v>
      </c>
      <c r="AP258" s="133"/>
      <c r="AQ258" s="150">
        <v>43102</v>
      </c>
      <c r="AR258" s="133" t="s">
        <v>739</v>
      </c>
      <c r="AS258" s="150">
        <v>43102</v>
      </c>
      <c r="AT258" s="133" t="s">
        <v>740</v>
      </c>
      <c r="AU258" s="220"/>
      <c r="AV258" s="220"/>
      <c r="AW258" s="220"/>
    </row>
    <row r="259" spans="1:49" s="221" customFormat="1" ht="370.5" x14ac:dyDescent="0.25">
      <c r="A259" s="63">
        <f t="shared" si="25"/>
        <v>72</v>
      </c>
      <c r="B259" s="128" t="str">
        <f t="shared" si="23"/>
        <v>208-72</v>
      </c>
      <c r="C259" s="129" t="s">
        <v>713</v>
      </c>
      <c r="D259" s="130" t="s">
        <v>714</v>
      </c>
      <c r="E259" s="145" t="s">
        <v>725</v>
      </c>
      <c r="F259" s="111" t="s">
        <v>52</v>
      </c>
      <c r="G259" s="145" t="s">
        <v>53</v>
      </c>
      <c r="H259" s="111" t="s">
        <v>733</v>
      </c>
      <c r="I259" s="111" t="s">
        <v>55</v>
      </c>
      <c r="J259" s="111" t="s">
        <v>56</v>
      </c>
      <c r="K259" s="63">
        <v>801116</v>
      </c>
      <c r="L259" s="111" t="s">
        <v>720</v>
      </c>
      <c r="M259" s="111" t="s">
        <v>58</v>
      </c>
      <c r="N259" s="111" t="s">
        <v>59</v>
      </c>
      <c r="O259" s="111" t="s">
        <v>728</v>
      </c>
      <c r="P259" s="227" t="s">
        <v>789</v>
      </c>
      <c r="Q259" s="134">
        <f t="shared" si="24"/>
        <v>2487450</v>
      </c>
      <c r="R259" s="146">
        <v>1</v>
      </c>
      <c r="S259" s="136">
        <v>28605675</v>
      </c>
      <c r="T259" s="137" t="s">
        <v>747</v>
      </c>
      <c r="U259" s="148" t="s">
        <v>445</v>
      </c>
      <c r="V259" s="148" t="s">
        <v>64</v>
      </c>
      <c r="W259" s="153">
        <v>11.5</v>
      </c>
      <c r="X259" s="133">
        <v>43</v>
      </c>
      <c r="Y259" s="81">
        <v>43102</v>
      </c>
      <c r="Z259" s="154">
        <v>28605675</v>
      </c>
      <c r="AA259" s="140"/>
      <c r="AB259" s="141">
        <v>51</v>
      </c>
      <c r="AC259" s="150">
        <v>43103</v>
      </c>
      <c r="AD259" s="143">
        <v>28605675</v>
      </c>
      <c r="AE259" s="143">
        <f t="shared" si="20"/>
        <v>0</v>
      </c>
      <c r="AF259" s="133">
        <v>257</v>
      </c>
      <c r="AG259" s="81">
        <v>43119</v>
      </c>
      <c r="AH259" s="143">
        <v>28605675</v>
      </c>
      <c r="AI259" s="63" t="s">
        <v>793</v>
      </c>
      <c r="AJ259" s="63">
        <v>225</v>
      </c>
      <c r="AK259" s="143">
        <f t="shared" si="19"/>
        <v>0</v>
      </c>
      <c r="AL259" s="143">
        <v>18158385</v>
      </c>
      <c r="AM259" s="143">
        <f t="shared" si="21"/>
        <v>10447290</v>
      </c>
      <c r="AN259" s="133"/>
      <c r="AO259" s="144">
        <f t="shared" si="22"/>
        <v>0</v>
      </c>
      <c r="AP259" s="133"/>
      <c r="AQ259" s="150">
        <v>43102</v>
      </c>
      <c r="AR259" s="133" t="s">
        <v>739</v>
      </c>
      <c r="AS259" s="150">
        <v>43102</v>
      </c>
      <c r="AT259" s="133" t="s">
        <v>740</v>
      </c>
      <c r="AU259" s="220"/>
      <c r="AV259" s="220"/>
      <c r="AW259" s="220"/>
    </row>
    <row r="260" spans="1:49" s="221" customFormat="1" ht="399" x14ac:dyDescent="0.25">
      <c r="A260" s="63">
        <f t="shared" si="25"/>
        <v>73</v>
      </c>
      <c r="B260" s="128" t="str">
        <f t="shared" si="23"/>
        <v>208-73</v>
      </c>
      <c r="C260" s="129" t="s">
        <v>713</v>
      </c>
      <c r="D260" s="130" t="s">
        <v>714</v>
      </c>
      <c r="E260" s="131" t="s">
        <v>715</v>
      </c>
      <c r="F260" s="111" t="s">
        <v>52</v>
      </c>
      <c r="G260" s="145" t="s">
        <v>53</v>
      </c>
      <c r="H260" s="111" t="s">
        <v>733</v>
      </c>
      <c r="I260" s="111" t="s">
        <v>55</v>
      </c>
      <c r="J260" s="111" t="s">
        <v>56</v>
      </c>
      <c r="K260" s="63">
        <v>801116</v>
      </c>
      <c r="L260" s="111" t="s">
        <v>720</v>
      </c>
      <c r="M260" s="111" t="s">
        <v>58</v>
      </c>
      <c r="N260" s="111" t="s">
        <v>59</v>
      </c>
      <c r="O260" s="111" t="s">
        <v>728</v>
      </c>
      <c r="P260" s="227" t="s">
        <v>789</v>
      </c>
      <c r="Q260" s="134">
        <f t="shared" si="24"/>
        <v>1019700</v>
      </c>
      <c r="R260" s="146">
        <v>1</v>
      </c>
      <c r="S260" s="136">
        <f>12259575-533025</f>
        <v>11726550</v>
      </c>
      <c r="T260" s="137" t="s">
        <v>747</v>
      </c>
      <c r="U260" s="148" t="s">
        <v>445</v>
      </c>
      <c r="V260" s="148" t="s">
        <v>64</v>
      </c>
      <c r="W260" s="153">
        <v>11.5</v>
      </c>
      <c r="X260" s="133">
        <v>42</v>
      </c>
      <c r="Y260" s="81">
        <v>43102</v>
      </c>
      <c r="Z260" s="154">
        <v>12259575</v>
      </c>
      <c r="AA260" s="140"/>
      <c r="AB260" s="141">
        <v>49</v>
      </c>
      <c r="AC260" s="150">
        <v>43103</v>
      </c>
      <c r="AD260" s="143">
        <v>11726550</v>
      </c>
      <c r="AE260" s="143">
        <f t="shared" si="20"/>
        <v>0</v>
      </c>
      <c r="AF260" s="133">
        <v>499</v>
      </c>
      <c r="AG260" s="81">
        <v>43126</v>
      </c>
      <c r="AH260" s="143">
        <v>11726550</v>
      </c>
      <c r="AI260" s="63" t="s">
        <v>794</v>
      </c>
      <c r="AJ260" s="63">
        <v>409</v>
      </c>
      <c r="AK260" s="143">
        <f t="shared" si="19"/>
        <v>0</v>
      </c>
      <c r="AL260" s="143">
        <v>7533420</v>
      </c>
      <c r="AM260" s="143">
        <f t="shared" si="21"/>
        <v>4193130</v>
      </c>
      <c r="AN260" s="133"/>
      <c r="AO260" s="144">
        <f t="shared" si="22"/>
        <v>0</v>
      </c>
      <c r="AP260" s="133"/>
      <c r="AQ260" s="150">
        <v>43102</v>
      </c>
      <c r="AR260" s="133" t="s">
        <v>739</v>
      </c>
      <c r="AS260" s="150">
        <v>43102</v>
      </c>
      <c r="AT260" s="133" t="s">
        <v>740</v>
      </c>
      <c r="AU260" s="220"/>
      <c r="AV260" s="220"/>
      <c r="AW260" s="220"/>
    </row>
    <row r="261" spans="1:49" s="221" customFormat="1" ht="370.5" x14ac:dyDescent="0.25">
      <c r="A261" s="63">
        <f t="shared" si="25"/>
        <v>74</v>
      </c>
      <c r="B261" s="128" t="str">
        <f t="shared" si="23"/>
        <v>208-74</v>
      </c>
      <c r="C261" s="129" t="s">
        <v>713</v>
      </c>
      <c r="D261" s="130" t="s">
        <v>714</v>
      </c>
      <c r="E261" s="145" t="s">
        <v>725</v>
      </c>
      <c r="F261" s="111" t="s">
        <v>52</v>
      </c>
      <c r="G261" s="145" t="s">
        <v>53</v>
      </c>
      <c r="H261" s="111" t="s">
        <v>733</v>
      </c>
      <c r="I261" s="111" t="s">
        <v>55</v>
      </c>
      <c r="J261" s="111" t="s">
        <v>56</v>
      </c>
      <c r="K261" s="63">
        <v>801116</v>
      </c>
      <c r="L261" s="111" t="s">
        <v>720</v>
      </c>
      <c r="M261" s="111" t="s">
        <v>58</v>
      </c>
      <c r="N261" s="111" t="s">
        <v>59</v>
      </c>
      <c r="O261" s="111" t="s">
        <v>728</v>
      </c>
      <c r="P261" s="227" t="s">
        <v>789</v>
      </c>
      <c r="Q261" s="134">
        <f t="shared" si="24"/>
        <v>2379300</v>
      </c>
      <c r="R261" s="146">
        <v>1</v>
      </c>
      <c r="S261" s="136">
        <f>28605675-1243725</f>
        <v>27361950</v>
      </c>
      <c r="T261" s="137" t="s">
        <v>747</v>
      </c>
      <c r="U261" s="148" t="s">
        <v>445</v>
      </c>
      <c r="V261" s="148" t="s">
        <v>64</v>
      </c>
      <c r="W261" s="153">
        <v>11.5</v>
      </c>
      <c r="X261" s="133">
        <v>41</v>
      </c>
      <c r="Y261" s="81">
        <v>43102</v>
      </c>
      <c r="Z261" s="154">
        <v>28605675</v>
      </c>
      <c r="AA261" s="140"/>
      <c r="AB261" s="141">
        <v>49</v>
      </c>
      <c r="AC261" s="150">
        <v>43103</v>
      </c>
      <c r="AD261" s="143">
        <v>27361950</v>
      </c>
      <c r="AE261" s="143">
        <f t="shared" si="20"/>
        <v>0</v>
      </c>
      <c r="AF261" s="133">
        <v>499</v>
      </c>
      <c r="AG261" s="81">
        <v>43126</v>
      </c>
      <c r="AH261" s="143">
        <v>27361950</v>
      </c>
      <c r="AI261" s="63" t="s">
        <v>794</v>
      </c>
      <c r="AJ261" s="63">
        <v>409</v>
      </c>
      <c r="AK261" s="143">
        <f t="shared" si="19"/>
        <v>0</v>
      </c>
      <c r="AL261" s="143">
        <v>17577980</v>
      </c>
      <c r="AM261" s="143">
        <f t="shared" si="21"/>
        <v>9783970</v>
      </c>
      <c r="AN261" s="133"/>
      <c r="AO261" s="144">
        <f t="shared" si="22"/>
        <v>0</v>
      </c>
      <c r="AP261" s="133"/>
      <c r="AQ261" s="150">
        <v>43102</v>
      </c>
      <c r="AR261" s="133" t="s">
        <v>739</v>
      </c>
      <c r="AS261" s="150">
        <v>43102</v>
      </c>
      <c r="AT261" s="133" t="s">
        <v>740</v>
      </c>
      <c r="AU261" s="220"/>
      <c r="AV261" s="220"/>
      <c r="AW261" s="220"/>
    </row>
    <row r="262" spans="1:49" s="221" customFormat="1" ht="399" x14ac:dyDescent="0.25">
      <c r="A262" s="63">
        <f t="shared" si="25"/>
        <v>75</v>
      </c>
      <c r="B262" s="128" t="str">
        <f t="shared" si="23"/>
        <v>208-75</v>
      </c>
      <c r="C262" s="129" t="s">
        <v>713</v>
      </c>
      <c r="D262" s="130" t="s">
        <v>714</v>
      </c>
      <c r="E262" s="131" t="s">
        <v>715</v>
      </c>
      <c r="F262" s="111" t="s">
        <v>52</v>
      </c>
      <c r="G262" s="145" t="s">
        <v>53</v>
      </c>
      <c r="H262" s="111" t="s">
        <v>733</v>
      </c>
      <c r="I262" s="111" t="s">
        <v>55</v>
      </c>
      <c r="J262" s="111" t="s">
        <v>56</v>
      </c>
      <c r="K262" s="63">
        <v>801116</v>
      </c>
      <c r="L262" s="111" t="s">
        <v>720</v>
      </c>
      <c r="M262" s="111" t="s">
        <v>58</v>
      </c>
      <c r="N262" s="111" t="s">
        <v>59</v>
      </c>
      <c r="O262" s="111" t="s">
        <v>728</v>
      </c>
      <c r="P262" s="227" t="s">
        <v>795</v>
      </c>
      <c r="Q262" s="134">
        <f t="shared" si="24"/>
        <v>1359600</v>
      </c>
      <c r="R262" s="146">
        <v>1</v>
      </c>
      <c r="S262" s="136">
        <v>15635400</v>
      </c>
      <c r="T262" s="137" t="s">
        <v>747</v>
      </c>
      <c r="U262" s="148" t="s">
        <v>445</v>
      </c>
      <c r="V262" s="148" t="s">
        <v>64</v>
      </c>
      <c r="W262" s="153">
        <v>11.5</v>
      </c>
      <c r="X262" s="133">
        <v>40</v>
      </c>
      <c r="Y262" s="81">
        <v>43102</v>
      </c>
      <c r="Z262" s="154">
        <v>15635400</v>
      </c>
      <c r="AA262" s="140"/>
      <c r="AB262" s="141">
        <v>46</v>
      </c>
      <c r="AC262" s="150">
        <v>43103</v>
      </c>
      <c r="AD262" s="143">
        <v>15635400</v>
      </c>
      <c r="AE262" s="143">
        <f t="shared" si="20"/>
        <v>0</v>
      </c>
      <c r="AF262" s="133">
        <v>10</v>
      </c>
      <c r="AG262" s="81">
        <v>43112</v>
      </c>
      <c r="AH262" s="143">
        <v>15635400</v>
      </c>
      <c r="AI262" s="63" t="s">
        <v>796</v>
      </c>
      <c r="AJ262" s="63">
        <v>10</v>
      </c>
      <c r="AK262" s="143">
        <f t="shared" ref="AK262:AK325" si="26">AD262-AH262</f>
        <v>0</v>
      </c>
      <c r="AL262" s="143">
        <v>10197000</v>
      </c>
      <c r="AM262" s="143">
        <f t="shared" si="21"/>
        <v>5438400</v>
      </c>
      <c r="AN262" s="133"/>
      <c r="AO262" s="144">
        <f t="shared" si="22"/>
        <v>0</v>
      </c>
      <c r="AP262" s="133"/>
      <c r="AQ262" s="150">
        <v>43102</v>
      </c>
      <c r="AR262" s="133" t="s">
        <v>739</v>
      </c>
      <c r="AS262" s="150">
        <v>43102</v>
      </c>
      <c r="AT262" s="133" t="s">
        <v>740</v>
      </c>
      <c r="AU262" s="220"/>
      <c r="AV262" s="220"/>
      <c r="AW262" s="220"/>
    </row>
    <row r="263" spans="1:49" s="221" customFormat="1" ht="370.5" x14ac:dyDescent="0.25">
      <c r="A263" s="63">
        <f t="shared" si="25"/>
        <v>76</v>
      </c>
      <c r="B263" s="128" t="str">
        <f t="shared" si="23"/>
        <v>208-76</v>
      </c>
      <c r="C263" s="129" t="s">
        <v>713</v>
      </c>
      <c r="D263" s="130" t="s">
        <v>714</v>
      </c>
      <c r="E263" s="145" t="s">
        <v>725</v>
      </c>
      <c r="F263" s="111" t="s">
        <v>52</v>
      </c>
      <c r="G263" s="145" t="s">
        <v>53</v>
      </c>
      <c r="H263" s="111" t="s">
        <v>733</v>
      </c>
      <c r="I263" s="111" t="s">
        <v>55</v>
      </c>
      <c r="J263" s="111" t="s">
        <v>56</v>
      </c>
      <c r="K263" s="63">
        <v>801116</v>
      </c>
      <c r="L263" s="111" t="s">
        <v>720</v>
      </c>
      <c r="M263" s="111" t="s">
        <v>58</v>
      </c>
      <c r="N263" s="111" t="s">
        <v>59</v>
      </c>
      <c r="O263" s="111" t="s">
        <v>728</v>
      </c>
      <c r="P263" s="227" t="s">
        <v>795</v>
      </c>
      <c r="Q263" s="134">
        <f t="shared" si="24"/>
        <v>3172400</v>
      </c>
      <c r="R263" s="146">
        <v>1</v>
      </c>
      <c r="S263" s="136">
        <v>36482600</v>
      </c>
      <c r="T263" s="137" t="s">
        <v>747</v>
      </c>
      <c r="U263" s="148" t="s">
        <v>445</v>
      </c>
      <c r="V263" s="148" t="s">
        <v>64</v>
      </c>
      <c r="W263" s="153">
        <v>11.5</v>
      </c>
      <c r="X263" s="133">
        <v>39</v>
      </c>
      <c r="Y263" s="81">
        <v>43102</v>
      </c>
      <c r="Z263" s="154">
        <v>36482600</v>
      </c>
      <c r="AA263" s="140"/>
      <c r="AB263" s="141">
        <v>46</v>
      </c>
      <c r="AC263" s="150">
        <v>43103</v>
      </c>
      <c r="AD263" s="143">
        <v>36482600</v>
      </c>
      <c r="AE263" s="143">
        <f t="shared" si="20"/>
        <v>0</v>
      </c>
      <c r="AF263" s="133">
        <v>10</v>
      </c>
      <c r="AG263" s="81">
        <v>43112</v>
      </c>
      <c r="AH263" s="143">
        <v>36482600</v>
      </c>
      <c r="AI263" s="63" t="s">
        <v>796</v>
      </c>
      <c r="AJ263" s="63">
        <v>10</v>
      </c>
      <c r="AK263" s="143">
        <f t="shared" si="26"/>
        <v>0</v>
      </c>
      <c r="AL263" s="143">
        <v>23793000</v>
      </c>
      <c r="AM263" s="143">
        <f t="shared" si="21"/>
        <v>12689600</v>
      </c>
      <c r="AN263" s="133"/>
      <c r="AO263" s="144">
        <f t="shared" si="22"/>
        <v>0</v>
      </c>
      <c r="AP263" s="133"/>
      <c r="AQ263" s="150">
        <v>43102</v>
      </c>
      <c r="AR263" s="133" t="s">
        <v>739</v>
      </c>
      <c r="AS263" s="150">
        <v>43102</v>
      </c>
      <c r="AT263" s="133" t="s">
        <v>740</v>
      </c>
      <c r="AU263" s="220"/>
      <c r="AV263" s="220"/>
      <c r="AW263" s="220"/>
    </row>
    <row r="264" spans="1:49" s="221" customFormat="1" ht="399" x14ac:dyDescent="0.25">
      <c r="A264" s="63">
        <f t="shared" si="25"/>
        <v>77</v>
      </c>
      <c r="B264" s="128" t="str">
        <f t="shared" si="23"/>
        <v>208-77</v>
      </c>
      <c r="C264" s="129" t="s">
        <v>713</v>
      </c>
      <c r="D264" s="130" t="s">
        <v>714</v>
      </c>
      <c r="E264" s="131" t="s">
        <v>715</v>
      </c>
      <c r="F264" s="111" t="s">
        <v>52</v>
      </c>
      <c r="G264" s="145" t="s">
        <v>53</v>
      </c>
      <c r="H264" s="111" t="s">
        <v>733</v>
      </c>
      <c r="I264" s="111" t="s">
        <v>55</v>
      </c>
      <c r="J264" s="111" t="s">
        <v>56</v>
      </c>
      <c r="K264" s="63">
        <v>801116</v>
      </c>
      <c r="L264" s="111" t="s">
        <v>720</v>
      </c>
      <c r="M264" s="111" t="s">
        <v>58</v>
      </c>
      <c r="N264" s="111" t="s">
        <v>59</v>
      </c>
      <c r="O264" s="111" t="s">
        <v>728</v>
      </c>
      <c r="P264" s="227" t="s">
        <v>797</v>
      </c>
      <c r="Q264" s="134">
        <f t="shared" si="24"/>
        <v>927000</v>
      </c>
      <c r="R264" s="146">
        <v>1</v>
      </c>
      <c r="S264" s="136">
        <v>10660500</v>
      </c>
      <c r="T264" s="137" t="s">
        <v>747</v>
      </c>
      <c r="U264" s="148" t="s">
        <v>445</v>
      </c>
      <c r="V264" s="148" t="s">
        <v>64</v>
      </c>
      <c r="W264" s="153">
        <v>11.5</v>
      </c>
      <c r="X264" s="133">
        <v>38</v>
      </c>
      <c r="Y264" s="81">
        <v>43102</v>
      </c>
      <c r="Z264" s="154">
        <v>10660500</v>
      </c>
      <c r="AA264" s="140"/>
      <c r="AB264" s="141">
        <v>44</v>
      </c>
      <c r="AC264" s="150">
        <v>43103</v>
      </c>
      <c r="AD264" s="143">
        <v>10660500</v>
      </c>
      <c r="AE264" s="143">
        <f t="shared" si="20"/>
        <v>0</v>
      </c>
      <c r="AF264" s="133">
        <v>159</v>
      </c>
      <c r="AG264" s="81">
        <v>43118</v>
      </c>
      <c r="AH264" s="143">
        <v>10660500</v>
      </c>
      <c r="AI264" s="63" t="s">
        <v>73</v>
      </c>
      <c r="AJ264" s="63">
        <v>126</v>
      </c>
      <c r="AK264" s="143">
        <f t="shared" si="26"/>
        <v>0</v>
      </c>
      <c r="AL264" s="143">
        <v>6365400</v>
      </c>
      <c r="AM264" s="143">
        <f t="shared" si="21"/>
        <v>4295100</v>
      </c>
      <c r="AN264" s="133"/>
      <c r="AO264" s="144">
        <f t="shared" si="22"/>
        <v>0</v>
      </c>
      <c r="AP264" s="133"/>
      <c r="AQ264" s="150">
        <v>43102</v>
      </c>
      <c r="AR264" s="133" t="s">
        <v>739</v>
      </c>
      <c r="AS264" s="150">
        <v>43102</v>
      </c>
      <c r="AT264" s="133" t="s">
        <v>740</v>
      </c>
      <c r="AU264" s="220"/>
      <c r="AV264" s="220"/>
      <c r="AW264" s="220"/>
    </row>
    <row r="265" spans="1:49" s="221" customFormat="1" ht="370.5" x14ac:dyDescent="0.25">
      <c r="A265" s="63">
        <f t="shared" si="25"/>
        <v>78</v>
      </c>
      <c r="B265" s="128" t="str">
        <f t="shared" si="23"/>
        <v>208-78</v>
      </c>
      <c r="C265" s="129" t="s">
        <v>713</v>
      </c>
      <c r="D265" s="130" t="s">
        <v>714</v>
      </c>
      <c r="E265" s="145" t="s">
        <v>725</v>
      </c>
      <c r="F265" s="111" t="s">
        <v>52</v>
      </c>
      <c r="G265" s="145" t="s">
        <v>53</v>
      </c>
      <c r="H265" s="111" t="s">
        <v>733</v>
      </c>
      <c r="I265" s="111" t="s">
        <v>55</v>
      </c>
      <c r="J265" s="111" t="s">
        <v>56</v>
      </c>
      <c r="K265" s="63">
        <v>801116</v>
      </c>
      <c r="L265" s="111" t="s">
        <v>720</v>
      </c>
      <c r="M265" s="111" t="s">
        <v>58</v>
      </c>
      <c r="N265" s="111" t="s">
        <v>59</v>
      </c>
      <c r="O265" s="111" t="s">
        <v>728</v>
      </c>
      <c r="P265" s="227" t="s">
        <v>797</v>
      </c>
      <c r="Q265" s="134">
        <f t="shared" si="24"/>
        <v>2163000</v>
      </c>
      <c r="R265" s="146">
        <v>1</v>
      </c>
      <c r="S265" s="136">
        <v>24874500</v>
      </c>
      <c r="T265" s="137" t="s">
        <v>747</v>
      </c>
      <c r="U265" s="148" t="s">
        <v>445</v>
      </c>
      <c r="V265" s="148" t="s">
        <v>64</v>
      </c>
      <c r="W265" s="153">
        <v>11.5</v>
      </c>
      <c r="X265" s="133">
        <v>37</v>
      </c>
      <c r="Y265" s="81">
        <v>43102</v>
      </c>
      <c r="Z265" s="154">
        <v>24874500</v>
      </c>
      <c r="AA265" s="140"/>
      <c r="AB265" s="141">
        <v>44</v>
      </c>
      <c r="AC265" s="150">
        <v>43103</v>
      </c>
      <c r="AD265" s="143">
        <v>24874500</v>
      </c>
      <c r="AE265" s="143">
        <f t="shared" si="20"/>
        <v>0</v>
      </c>
      <c r="AF265" s="133">
        <v>159</v>
      </c>
      <c r="AG265" s="81">
        <v>43118</v>
      </c>
      <c r="AH265" s="143">
        <v>24874500</v>
      </c>
      <c r="AI265" s="63" t="s">
        <v>73</v>
      </c>
      <c r="AJ265" s="63">
        <v>126</v>
      </c>
      <c r="AK265" s="143">
        <f t="shared" si="26"/>
        <v>0</v>
      </c>
      <c r="AL265" s="143">
        <v>14852599.999999998</v>
      </c>
      <c r="AM265" s="143">
        <f t="shared" si="21"/>
        <v>10021900.000000002</v>
      </c>
      <c r="AN265" s="133"/>
      <c r="AO265" s="144">
        <f t="shared" si="22"/>
        <v>0</v>
      </c>
      <c r="AP265" s="133"/>
      <c r="AQ265" s="150">
        <v>43102</v>
      </c>
      <c r="AR265" s="133" t="s">
        <v>739</v>
      </c>
      <c r="AS265" s="150">
        <v>43102</v>
      </c>
      <c r="AT265" s="133" t="s">
        <v>740</v>
      </c>
      <c r="AU265" s="220"/>
      <c r="AV265" s="220"/>
      <c r="AW265" s="220"/>
    </row>
    <row r="266" spans="1:49" s="221" customFormat="1" ht="399" x14ac:dyDescent="0.25">
      <c r="A266" s="63">
        <f t="shared" si="25"/>
        <v>79</v>
      </c>
      <c r="B266" s="128" t="str">
        <f t="shared" si="23"/>
        <v>208-79</v>
      </c>
      <c r="C266" s="129" t="s">
        <v>713</v>
      </c>
      <c r="D266" s="130" t="s">
        <v>714</v>
      </c>
      <c r="E266" s="131" t="s">
        <v>715</v>
      </c>
      <c r="F266" s="111" t="s">
        <v>52</v>
      </c>
      <c r="G266" s="145" t="s">
        <v>53</v>
      </c>
      <c r="H266" s="111" t="s">
        <v>733</v>
      </c>
      <c r="I266" s="111" t="s">
        <v>55</v>
      </c>
      <c r="J266" s="111" t="s">
        <v>56</v>
      </c>
      <c r="K266" s="63">
        <v>801116</v>
      </c>
      <c r="L266" s="111" t="s">
        <v>720</v>
      </c>
      <c r="M266" s="111" t="s">
        <v>58</v>
      </c>
      <c r="N266" s="111" t="s">
        <v>59</v>
      </c>
      <c r="O266" s="111" t="s">
        <v>728</v>
      </c>
      <c r="P266" s="227" t="s">
        <v>795</v>
      </c>
      <c r="Q266" s="134">
        <f t="shared" si="24"/>
        <v>1854000</v>
      </c>
      <c r="R266" s="146">
        <v>1</v>
      </c>
      <c r="S266" s="136">
        <v>21321000</v>
      </c>
      <c r="T266" s="137" t="s">
        <v>747</v>
      </c>
      <c r="U266" s="148" t="s">
        <v>445</v>
      </c>
      <c r="V266" s="148" t="s">
        <v>64</v>
      </c>
      <c r="W266" s="153">
        <v>11.5</v>
      </c>
      <c r="X266" s="133">
        <v>36</v>
      </c>
      <c r="Y266" s="81">
        <v>43102</v>
      </c>
      <c r="Z266" s="154">
        <v>21321000</v>
      </c>
      <c r="AA266" s="140"/>
      <c r="AB266" s="141">
        <v>40</v>
      </c>
      <c r="AC266" s="150">
        <v>43103</v>
      </c>
      <c r="AD266" s="143">
        <v>21321000</v>
      </c>
      <c r="AE266" s="143">
        <f t="shared" si="20"/>
        <v>0</v>
      </c>
      <c r="AF266" s="133">
        <v>142</v>
      </c>
      <c r="AG266" s="81">
        <v>43117</v>
      </c>
      <c r="AH266" s="143">
        <v>21321000</v>
      </c>
      <c r="AI266" s="63" t="s">
        <v>798</v>
      </c>
      <c r="AJ266" s="63">
        <v>147</v>
      </c>
      <c r="AK266" s="143">
        <f t="shared" si="26"/>
        <v>0</v>
      </c>
      <c r="AL266" s="143">
        <v>13781400</v>
      </c>
      <c r="AM266" s="143">
        <f t="shared" si="21"/>
        <v>7539600</v>
      </c>
      <c r="AN266" s="133"/>
      <c r="AO266" s="144">
        <f t="shared" si="22"/>
        <v>0</v>
      </c>
      <c r="AP266" s="133"/>
      <c r="AQ266" s="150">
        <v>43102</v>
      </c>
      <c r="AR266" s="133" t="s">
        <v>739</v>
      </c>
      <c r="AS266" s="150">
        <v>43102</v>
      </c>
      <c r="AT266" s="133" t="s">
        <v>740</v>
      </c>
      <c r="AU266" s="220"/>
      <c r="AV266" s="220"/>
      <c r="AW266" s="220"/>
    </row>
    <row r="267" spans="1:49" s="221" customFormat="1" ht="370.5" x14ac:dyDescent="0.25">
      <c r="A267" s="63">
        <f t="shared" si="25"/>
        <v>80</v>
      </c>
      <c r="B267" s="128" t="str">
        <f t="shared" si="23"/>
        <v>208-80</v>
      </c>
      <c r="C267" s="129" t="s">
        <v>713</v>
      </c>
      <c r="D267" s="130" t="s">
        <v>714</v>
      </c>
      <c r="E267" s="145" t="s">
        <v>725</v>
      </c>
      <c r="F267" s="111" t="s">
        <v>52</v>
      </c>
      <c r="G267" s="145" t="s">
        <v>53</v>
      </c>
      <c r="H267" s="111" t="s">
        <v>733</v>
      </c>
      <c r="I267" s="111" t="s">
        <v>55</v>
      </c>
      <c r="J267" s="111" t="s">
        <v>56</v>
      </c>
      <c r="K267" s="63">
        <v>801116</v>
      </c>
      <c r="L267" s="111" t="s">
        <v>720</v>
      </c>
      <c r="M267" s="111" t="s">
        <v>58</v>
      </c>
      <c r="N267" s="111" t="s">
        <v>59</v>
      </c>
      <c r="O267" s="111" t="s">
        <v>728</v>
      </c>
      <c r="P267" s="227" t="s">
        <v>795</v>
      </c>
      <c r="Q267" s="134">
        <f t="shared" si="24"/>
        <v>4326000</v>
      </c>
      <c r="R267" s="146">
        <v>1</v>
      </c>
      <c r="S267" s="136">
        <v>49749000</v>
      </c>
      <c r="T267" s="137" t="s">
        <v>747</v>
      </c>
      <c r="U267" s="148" t="s">
        <v>445</v>
      </c>
      <c r="V267" s="148" t="s">
        <v>64</v>
      </c>
      <c r="W267" s="153">
        <v>11.5</v>
      </c>
      <c r="X267" s="133">
        <v>35</v>
      </c>
      <c r="Y267" s="81">
        <v>43102</v>
      </c>
      <c r="Z267" s="154">
        <v>49749000</v>
      </c>
      <c r="AA267" s="140"/>
      <c r="AB267" s="141">
        <v>40</v>
      </c>
      <c r="AC267" s="150">
        <v>43103</v>
      </c>
      <c r="AD267" s="143">
        <v>49749000</v>
      </c>
      <c r="AE267" s="143">
        <f t="shared" si="20"/>
        <v>0</v>
      </c>
      <c r="AF267" s="133">
        <v>142</v>
      </c>
      <c r="AG267" s="81">
        <v>43117</v>
      </c>
      <c r="AH267" s="143">
        <v>49749000</v>
      </c>
      <c r="AI267" s="63" t="s">
        <v>798</v>
      </c>
      <c r="AJ267" s="63">
        <v>147</v>
      </c>
      <c r="AK267" s="143">
        <f t="shared" si="26"/>
        <v>0</v>
      </c>
      <c r="AL267" s="143">
        <v>32156599.999999996</v>
      </c>
      <c r="AM267" s="143">
        <f t="shared" si="21"/>
        <v>17592400.000000004</v>
      </c>
      <c r="AN267" s="133"/>
      <c r="AO267" s="144">
        <f t="shared" si="22"/>
        <v>0</v>
      </c>
      <c r="AP267" s="133"/>
      <c r="AQ267" s="150">
        <v>43102</v>
      </c>
      <c r="AR267" s="133" t="s">
        <v>739</v>
      </c>
      <c r="AS267" s="150">
        <v>43102</v>
      </c>
      <c r="AT267" s="133" t="s">
        <v>740</v>
      </c>
      <c r="AU267" s="220"/>
      <c r="AV267" s="220"/>
      <c r="AW267" s="220"/>
    </row>
    <row r="268" spans="1:49" s="221" customFormat="1" ht="399" x14ac:dyDescent="0.25">
      <c r="A268" s="63">
        <f t="shared" si="25"/>
        <v>81</v>
      </c>
      <c r="B268" s="128" t="str">
        <f t="shared" si="23"/>
        <v>208-81</v>
      </c>
      <c r="C268" s="129" t="s">
        <v>713</v>
      </c>
      <c r="D268" s="130" t="s">
        <v>714</v>
      </c>
      <c r="E268" s="131" t="s">
        <v>715</v>
      </c>
      <c r="F268" s="111" t="s">
        <v>52</v>
      </c>
      <c r="G268" s="145" t="s">
        <v>53</v>
      </c>
      <c r="H268" s="111" t="s">
        <v>733</v>
      </c>
      <c r="I268" s="111" t="s">
        <v>55</v>
      </c>
      <c r="J268" s="111" t="s">
        <v>56</v>
      </c>
      <c r="K268" s="63">
        <v>801116</v>
      </c>
      <c r="L268" s="111" t="s">
        <v>720</v>
      </c>
      <c r="M268" s="111" t="s">
        <v>58</v>
      </c>
      <c r="N268" s="111" t="s">
        <v>59</v>
      </c>
      <c r="O268" s="111" t="s">
        <v>728</v>
      </c>
      <c r="P268" s="227" t="s">
        <v>795</v>
      </c>
      <c r="Q268" s="134">
        <f t="shared" si="24"/>
        <v>0</v>
      </c>
      <c r="R268" s="146">
        <v>1</v>
      </c>
      <c r="S268" s="136">
        <f>11726550-11726550</f>
        <v>0</v>
      </c>
      <c r="T268" s="137" t="s">
        <v>747</v>
      </c>
      <c r="U268" s="148" t="s">
        <v>445</v>
      </c>
      <c r="V268" s="148" t="s">
        <v>64</v>
      </c>
      <c r="W268" s="153">
        <v>11.5</v>
      </c>
      <c r="X268" s="133" t="s">
        <v>799</v>
      </c>
      <c r="Y268" s="81"/>
      <c r="Z268" s="154"/>
      <c r="AA268" s="140"/>
      <c r="AB268" s="141"/>
      <c r="AC268" s="142"/>
      <c r="AD268" s="143"/>
      <c r="AE268" s="143">
        <f t="shared" si="20"/>
        <v>0</v>
      </c>
      <c r="AF268" s="133"/>
      <c r="AG268" s="85"/>
      <c r="AH268" s="143"/>
      <c r="AI268" s="63"/>
      <c r="AJ268" s="63"/>
      <c r="AK268" s="143">
        <f t="shared" si="26"/>
        <v>0</v>
      </c>
      <c r="AL268" s="143"/>
      <c r="AM268" s="143">
        <f t="shared" si="21"/>
        <v>0</v>
      </c>
      <c r="AN268" s="133"/>
      <c r="AO268" s="144">
        <f t="shared" si="22"/>
        <v>0</v>
      </c>
      <c r="AP268" s="133"/>
      <c r="AQ268" s="150"/>
      <c r="AR268" s="133"/>
      <c r="AS268" s="150"/>
      <c r="AT268" s="133"/>
      <c r="AU268" s="220"/>
      <c r="AV268" s="220"/>
      <c r="AW268" s="220"/>
    </row>
    <row r="269" spans="1:49" s="221" customFormat="1" ht="370.5" x14ac:dyDescent="0.25">
      <c r="A269" s="63">
        <f t="shared" si="25"/>
        <v>82</v>
      </c>
      <c r="B269" s="128" t="str">
        <f t="shared" si="23"/>
        <v>208-82</v>
      </c>
      <c r="C269" s="129" t="s">
        <v>713</v>
      </c>
      <c r="D269" s="130" t="s">
        <v>714</v>
      </c>
      <c r="E269" s="145" t="s">
        <v>725</v>
      </c>
      <c r="F269" s="111" t="s">
        <v>52</v>
      </c>
      <c r="G269" s="145" t="s">
        <v>53</v>
      </c>
      <c r="H269" s="111" t="s">
        <v>733</v>
      </c>
      <c r="I269" s="111" t="s">
        <v>55</v>
      </c>
      <c r="J269" s="111" t="s">
        <v>56</v>
      </c>
      <c r="K269" s="63">
        <v>801116</v>
      </c>
      <c r="L269" s="111" t="s">
        <v>720</v>
      </c>
      <c r="M269" s="111" t="s">
        <v>58</v>
      </c>
      <c r="N269" s="111" t="s">
        <v>59</v>
      </c>
      <c r="O269" s="111" t="s">
        <v>728</v>
      </c>
      <c r="P269" s="227" t="s">
        <v>795</v>
      </c>
      <c r="Q269" s="134">
        <f t="shared" si="24"/>
        <v>0</v>
      </c>
      <c r="R269" s="146">
        <v>1</v>
      </c>
      <c r="S269" s="136">
        <f>27361950-27361950</f>
        <v>0</v>
      </c>
      <c r="T269" s="137" t="s">
        <v>747</v>
      </c>
      <c r="U269" s="148" t="s">
        <v>445</v>
      </c>
      <c r="V269" s="148" t="s">
        <v>64</v>
      </c>
      <c r="W269" s="153">
        <v>11.5</v>
      </c>
      <c r="X269" s="133" t="s">
        <v>800</v>
      </c>
      <c r="Y269" s="81"/>
      <c r="Z269" s="154"/>
      <c r="AA269" s="140"/>
      <c r="AB269" s="141"/>
      <c r="AC269" s="142"/>
      <c r="AD269" s="143"/>
      <c r="AE269" s="143">
        <f t="shared" si="20"/>
        <v>0</v>
      </c>
      <c r="AF269" s="133"/>
      <c r="AG269" s="85"/>
      <c r="AH269" s="143"/>
      <c r="AI269" s="63"/>
      <c r="AJ269" s="63"/>
      <c r="AK269" s="143">
        <f t="shared" si="26"/>
        <v>0</v>
      </c>
      <c r="AL269" s="143"/>
      <c r="AM269" s="143">
        <f t="shared" si="21"/>
        <v>0</v>
      </c>
      <c r="AN269" s="133"/>
      <c r="AO269" s="144">
        <f t="shared" si="22"/>
        <v>0</v>
      </c>
      <c r="AP269" s="133"/>
      <c r="AQ269" s="150"/>
      <c r="AR269" s="133"/>
      <c r="AS269" s="150"/>
      <c r="AT269" s="133"/>
      <c r="AU269" s="220"/>
      <c r="AV269" s="220"/>
      <c r="AW269" s="220"/>
    </row>
    <row r="270" spans="1:49" s="221" customFormat="1" ht="399" x14ac:dyDescent="0.25">
      <c r="A270" s="63">
        <f t="shared" si="25"/>
        <v>83</v>
      </c>
      <c r="B270" s="128" t="str">
        <f t="shared" si="23"/>
        <v>208-83</v>
      </c>
      <c r="C270" s="129" t="s">
        <v>713</v>
      </c>
      <c r="D270" s="130" t="s">
        <v>714</v>
      </c>
      <c r="E270" s="131" t="s">
        <v>715</v>
      </c>
      <c r="F270" s="111" t="s">
        <v>52</v>
      </c>
      <c r="G270" s="145" t="s">
        <v>53</v>
      </c>
      <c r="H270" s="111" t="s">
        <v>733</v>
      </c>
      <c r="I270" s="111" t="s">
        <v>55</v>
      </c>
      <c r="J270" s="111" t="s">
        <v>56</v>
      </c>
      <c r="K270" s="63">
        <v>801116</v>
      </c>
      <c r="L270" s="111" t="s">
        <v>720</v>
      </c>
      <c r="M270" s="111" t="s">
        <v>58</v>
      </c>
      <c r="N270" s="111" t="s">
        <v>59</v>
      </c>
      <c r="O270" s="111" t="s">
        <v>728</v>
      </c>
      <c r="P270" s="227" t="s">
        <v>795</v>
      </c>
      <c r="Q270" s="134">
        <f t="shared" si="24"/>
        <v>1699500</v>
      </c>
      <c r="R270" s="146">
        <v>1</v>
      </c>
      <c r="S270" s="136">
        <v>19544250</v>
      </c>
      <c r="T270" s="137" t="s">
        <v>747</v>
      </c>
      <c r="U270" s="148" t="s">
        <v>445</v>
      </c>
      <c r="V270" s="148" t="s">
        <v>64</v>
      </c>
      <c r="W270" s="153">
        <v>11.5</v>
      </c>
      <c r="X270" s="133">
        <v>32</v>
      </c>
      <c r="Y270" s="81">
        <v>43102</v>
      </c>
      <c r="Z270" s="154">
        <v>19544250</v>
      </c>
      <c r="AA270" s="140"/>
      <c r="AB270" s="141">
        <v>34</v>
      </c>
      <c r="AC270" s="150">
        <v>43103</v>
      </c>
      <c r="AD270" s="143">
        <v>19544250</v>
      </c>
      <c r="AE270" s="143">
        <f t="shared" si="20"/>
        <v>0</v>
      </c>
      <c r="AF270" s="133">
        <v>186</v>
      </c>
      <c r="AG270" s="81">
        <v>43118</v>
      </c>
      <c r="AH270" s="143">
        <v>19544250</v>
      </c>
      <c r="AI270" s="63" t="s">
        <v>801</v>
      </c>
      <c r="AJ270" s="63">
        <v>149</v>
      </c>
      <c r="AK270" s="143">
        <f t="shared" si="26"/>
        <v>0</v>
      </c>
      <c r="AL270" s="143">
        <v>12406350</v>
      </c>
      <c r="AM270" s="143">
        <f t="shared" si="21"/>
        <v>7137900</v>
      </c>
      <c r="AN270" s="133"/>
      <c r="AO270" s="144">
        <f t="shared" si="22"/>
        <v>0</v>
      </c>
      <c r="AP270" s="133"/>
      <c r="AQ270" s="150">
        <v>43102</v>
      </c>
      <c r="AR270" s="133" t="s">
        <v>739</v>
      </c>
      <c r="AS270" s="150">
        <v>43102</v>
      </c>
      <c r="AT270" s="133" t="s">
        <v>740</v>
      </c>
      <c r="AU270" s="220"/>
      <c r="AV270" s="220"/>
      <c r="AW270" s="220"/>
    </row>
    <row r="271" spans="1:49" s="221" customFormat="1" ht="370.5" x14ac:dyDescent="0.25">
      <c r="A271" s="63">
        <f t="shared" si="25"/>
        <v>84</v>
      </c>
      <c r="B271" s="128" t="str">
        <f t="shared" si="23"/>
        <v>208-84</v>
      </c>
      <c r="C271" s="129" t="s">
        <v>713</v>
      </c>
      <c r="D271" s="130" t="s">
        <v>714</v>
      </c>
      <c r="E271" s="145" t="s">
        <v>725</v>
      </c>
      <c r="F271" s="111" t="s">
        <v>52</v>
      </c>
      <c r="G271" s="145" t="s">
        <v>53</v>
      </c>
      <c r="H271" s="111" t="s">
        <v>733</v>
      </c>
      <c r="I271" s="111" t="s">
        <v>55</v>
      </c>
      <c r="J271" s="111" t="s">
        <v>56</v>
      </c>
      <c r="K271" s="63">
        <v>801116</v>
      </c>
      <c r="L271" s="111" t="s">
        <v>720</v>
      </c>
      <c r="M271" s="111" t="s">
        <v>58</v>
      </c>
      <c r="N271" s="111" t="s">
        <v>59</v>
      </c>
      <c r="O271" s="111" t="s">
        <v>728</v>
      </c>
      <c r="P271" s="227" t="s">
        <v>795</v>
      </c>
      <c r="Q271" s="134">
        <f t="shared" si="24"/>
        <v>3965499.9999999995</v>
      </c>
      <c r="R271" s="146">
        <v>1</v>
      </c>
      <c r="S271" s="136">
        <v>45603249.999999993</v>
      </c>
      <c r="T271" s="137" t="s">
        <v>747</v>
      </c>
      <c r="U271" s="148" t="s">
        <v>445</v>
      </c>
      <c r="V271" s="148" t="s">
        <v>64</v>
      </c>
      <c r="W271" s="153">
        <v>11.5</v>
      </c>
      <c r="X271" s="133">
        <v>31</v>
      </c>
      <c r="Y271" s="81">
        <v>43102</v>
      </c>
      <c r="Z271" s="154">
        <v>45603249.999999993</v>
      </c>
      <c r="AA271" s="140"/>
      <c r="AB271" s="141">
        <v>34</v>
      </c>
      <c r="AC271" s="150">
        <v>43103</v>
      </c>
      <c r="AD271" s="143">
        <v>45603249.999999993</v>
      </c>
      <c r="AE271" s="143">
        <f t="shared" si="20"/>
        <v>0</v>
      </c>
      <c r="AF271" s="133">
        <v>186</v>
      </c>
      <c r="AG271" s="81">
        <v>43118</v>
      </c>
      <c r="AH271" s="143">
        <v>45603249.999999993</v>
      </c>
      <c r="AI271" s="63" t="s">
        <v>801</v>
      </c>
      <c r="AJ271" s="63">
        <v>149</v>
      </c>
      <c r="AK271" s="143">
        <f t="shared" si="26"/>
        <v>0</v>
      </c>
      <c r="AL271" s="143">
        <v>28948150</v>
      </c>
      <c r="AM271" s="143">
        <f t="shared" si="21"/>
        <v>16655099.999999993</v>
      </c>
      <c r="AN271" s="133"/>
      <c r="AO271" s="144">
        <f t="shared" si="22"/>
        <v>0</v>
      </c>
      <c r="AP271" s="133"/>
      <c r="AQ271" s="150">
        <v>43102</v>
      </c>
      <c r="AR271" s="133" t="s">
        <v>739</v>
      </c>
      <c r="AS271" s="150">
        <v>43102</v>
      </c>
      <c r="AT271" s="133" t="s">
        <v>740</v>
      </c>
      <c r="AU271" s="220"/>
      <c r="AV271" s="220"/>
      <c r="AW271" s="220"/>
    </row>
    <row r="272" spans="1:49" s="221" customFormat="1" ht="399" x14ac:dyDescent="0.25">
      <c r="A272" s="63">
        <f t="shared" si="25"/>
        <v>85</v>
      </c>
      <c r="B272" s="128" t="str">
        <f t="shared" si="23"/>
        <v>208-85</v>
      </c>
      <c r="C272" s="129" t="s">
        <v>713</v>
      </c>
      <c r="D272" s="130" t="s">
        <v>714</v>
      </c>
      <c r="E272" s="131" t="s">
        <v>715</v>
      </c>
      <c r="F272" s="111" t="s">
        <v>52</v>
      </c>
      <c r="G272" s="145" t="s">
        <v>53</v>
      </c>
      <c r="H272" s="111" t="s">
        <v>733</v>
      </c>
      <c r="I272" s="111" t="s">
        <v>55</v>
      </c>
      <c r="J272" s="111" t="s">
        <v>56</v>
      </c>
      <c r="K272" s="63">
        <v>801116</v>
      </c>
      <c r="L272" s="111" t="s">
        <v>720</v>
      </c>
      <c r="M272" s="111" t="s">
        <v>58</v>
      </c>
      <c r="N272" s="111" t="s">
        <v>59</v>
      </c>
      <c r="O272" s="111" t="s">
        <v>728</v>
      </c>
      <c r="P272" s="227" t="s">
        <v>795</v>
      </c>
      <c r="Q272" s="134">
        <f t="shared" si="24"/>
        <v>1699500</v>
      </c>
      <c r="R272" s="146">
        <v>1</v>
      </c>
      <c r="S272" s="136">
        <v>19544250</v>
      </c>
      <c r="T272" s="137" t="s">
        <v>747</v>
      </c>
      <c r="U272" s="148" t="s">
        <v>445</v>
      </c>
      <c r="V272" s="148" t="s">
        <v>64</v>
      </c>
      <c r="W272" s="153">
        <v>11.5</v>
      </c>
      <c r="X272" s="133">
        <v>30</v>
      </c>
      <c r="Y272" s="81">
        <v>43102</v>
      </c>
      <c r="Z272" s="154">
        <v>19544250</v>
      </c>
      <c r="AA272" s="140"/>
      <c r="AB272" s="141">
        <v>33</v>
      </c>
      <c r="AC272" s="150">
        <v>43102</v>
      </c>
      <c r="AD272" s="143">
        <v>19544250</v>
      </c>
      <c r="AE272" s="143">
        <f t="shared" si="20"/>
        <v>0</v>
      </c>
      <c r="AF272" s="133">
        <v>173</v>
      </c>
      <c r="AG272" s="81">
        <v>43118</v>
      </c>
      <c r="AH272" s="143">
        <v>19544250</v>
      </c>
      <c r="AI272" s="63" t="s">
        <v>802</v>
      </c>
      <c r="AJ272" s="63">
        <v>138</v>
      </c>
      <c r="AK272" s="143">
        <f t="shared" si="26"/>
        <v>0</v>
      </c>
      <c r="AL272" s="143">
        <v>12632949.9</v>
      </c>
      <c r="AM272" s="143">
        <f t="shared" si="21"/>
        <v>6911300.0999999996</v>
      </c>
      <c r="AN272" s="133"/>
      <c r="AO272" s="144">
        <f t="shared" si="22"/>
        <v>0</v>
      </c>
      <c r="AP272" s="133"/>
      <c r="AQ272" s="150">
        <v>43102</v>
      </c>
      <c r="AR272" s="133" t="s">
        <v>739</v>
      </c>
      <c r="AS272" s="150">
        <v>43102</v>
      </c>
      <c r="AT272" s="133" t="s">
        <v>740</v>
      </c>
      <c r="AU272" s="220"/>
      <c r="AV272" s="220"/>
      <c r="AW272" s="220"/>
    </row>
    <row r="273" spans="1:49" s="221" customFormat="1" ht="370.5" x14ac:dyDescent="0.25">
      <c r="A273" s="63">
        <f t="shared" si="25"/>
        <v>86</v>
      </c>
      <c r="B273" s="128" t="str">
        <f t="shared" si="23"/>
        <v>208-86</v>
      </c>
      <c r="C273" s="129" t="s">
        <v>713</v>
      </c>
      <c r="D273" s="130" t="s">
        <v>714</v>
      </c>
      <c r="E273" s="145" t="s">
        <v>725</v>
      </c>
      <c r="F273" s="111" t="s">
        <v>52</v>
      </c>
      <c r="G273" s="145" t="s">
        <v>53</v>
      </c>
      <c r="H273" s="111" t="s">
        <v>733</v>
      </c>
      <c r="I273" s="111" t="s">
        <v>55</v>
      </c>
      <c r="J273" s="111" t="s">
        <v>56</v>
      </c>
      <c r="K273" s="63">
        <v>801116</v>
      </c>
      <c r="L273" s="111" t="s">
        <v>720</v>
      </c>
      <c r="M273" s="111" t="s">
        <v>58</v>
      </c>
      <c r="N273" s="111" t="s">
        <v>59</v>
      </c>
      <c r="O273" s="111" t="s">
        <v>728</v>
      </c>
      <c r="P273" s="227" t="s">
        <v>795</v>
      </c>
      <c r="Q273" s="134">
        <f t="shared" si="24"/>
        <v>3965499.9999999995</v>
      </c>
      <c r="R273" s="146">
        <v>1</v>
      </c>
      <c r="S273" s="136">
        <v>45603249.999999993</v>
      </c>
      <c r="T273" s="137" t="s">
        <v>747</v>
      </c>
      <c r="U273" s="148" t="s">
        <v>445</v>
      </c>
      <c r="V273" s="148" t="s">
        <v>64</v>
      </c>
      <c r="W273" s="153">
        <v>11.5</v>
      </c>
      <c r="X273" s="133">
        <v>29</v>
      </c>
      <c r="Y273" s="81">
        <v>43102</v>
      </c>
      <c r="Z273" s="154">
        <v>45603249.999999993</v>
      </c>
      <c r="AA273" s="140"/>
      <c r="AB273" s="141">
        <v>33</v>
      </c>
      <c r="AC273" s="150">
        <v>43102</v>
      </c>
      <c r="AD273" s="143">
        <v>45603249.999999993</v>
      </c>
      <c r="AE273" s="143">
        <f t="shared" si="20"/>
        <v>0</v>
      </c>
      <c r="AF273" s="133">
        <v>173</v>
      </c>
      <c r="AG273" s="81">
        <v>43118</v>
      </c>
      <c r="AH273" s="143">
        <v>45603249.999999993</v>
      </c>
      <c r="AI273" s="63" t="s">
        <v>802</v>
      </c>
      <c r="AJ273" s="63">
        <v>138</v>
      </c>
      <c r="AK273" s="143">
        <f t="shared" si="26"/>
        <v>0</v>
      </c>
      <c r="AL273" s="143">
        <v>29476883.099999998</v>
      </c>
      <c r="AM273" s="143">
        <f t="shared" si="21"/>
        <v>16126366.899999995</v>
      </c>
      <c r="AN273" s="133"/>
      <c r="AO273" s="144">
        <f t="shared" si="22"/>
        <v>0</v>
      </c>
      <c r="AP273" s="133"/>
      <c r="AQ273" s="150">
        <v>43102</v>
      </c>
      <c r="AR273" s="133" t="s">
        <v>739</v>
      </c>
      <c r="AS273" s="150">
        <v>43102</v>
      </c>
      <c r="AT273" s="133" t="s">
        <v>740</v>
      </c>
      <c r="AU273" s="220"/>
      <c r="AV273" s="220"/>
      <c r="AW273" s="220"/>
    </row>
    <row r="274" spans="1:49" s="221" customFormat="1" ht="399" x14ac:dyDescent="0.25">
      <c r="A274" s="63">
        <f t="shared" si="25"/>
        <v>87</v>
      </c>
      <c r="B274" s="128" t="str">
        <f t="shared" si="23"/>
        <v>208-87</v>
      </c>
      <c r="C274" s="129" t="s">
        <v>713</v>
      </c>
      <c r="D274" s="130" t="s">
        <v>714</v>
      </c>
      <c r="E274" s="131" t="s">
        <v>715</v>
      </c>
      <c r="F274" s="111" t="s">
        <v>52</v>
      </c>
      <c r="G274" s="145" t="s">
        <v>53</v>
      </c>
      <c r="H274" s="111" t="s">
        <v>733</v>
      </c>
      <c r="I274" s="111" t="s">
        <v>55</v>
      </c>
      <c r="J274" s="111" t="s">
        <v>56</v>
      </c>
      <c r="K274" s="63">
        <v>801116</v>
      </c>
      <c r="L274" s="111" t="s">
        <v>720</v>
      </c>
      <c r="M274" s="111" t="s">
        <v>58</v>
      </c>
      <c r="N274" s="111" t="s">
        <v>59</v>
      </c>
      <c r="O274" s="111" t="s">
        <v>728</v>
      </c>
      <c r="P274" s="227" t="s">
        <v>803</v>
      </c>
      <c r="Q274" s="134">
        <f t="shared" si="24"/>
        <v>2008500</v>
      </c>
      <c r="R274" s="146">
        <v>1</v>
      </c>
      <c r="S274" s="136">
        <f>17376615+4716885</f>
        <v>22093500</v>
      </c>
      <c r="T274" s="137" t="s">
        <v>747</v>
      </c>
      <c r="U274" s="148" t="s">
        <v>445</v>
      </c>
      <c r="V274" s="148" t="s">
        <v>64</v>
      </c>
      <c r="W274" s="153">
        <v>11</v>
      </c>
      <c r="X274" s="133" t="s">
        <v>804</v>
      </c>
      <c r="Y274" s="81">
        <v>43123</v>
      </c>
      <c r="Z274" s="154">
        <v>22093500</v>
      </c>
      <c r="AA274" s="140"/>
      <c r="AB274" s="141">
        <v>559</v>
      </c>
      <c r="AC274" s="150">
        <v>43123</v>
      </c>
      <c r="AD274" s="151">
        <f>17376615+4716885</f>
        <v>22093500</v>
      </c>
      <c r="AE274" s="143">
        <f t="shared" si="20"/>
        <v>0</v>
      </c>
      <c r="AF274" s="133">
        <v>483</v>
      </c>
      <c r="AG274" s="81">
        <v>43126</v>
      </c>
      <c r="AH274" s="151">
        <f>17376615+4716885</f>
        <v>22093500</v>
      </c>
      <c r="AI274" s="63" t="s">
        <v>805</v>
      </c>
      <c r="AJ274" s="63">
        <v>405</v>
      </c>
      <c r="AK274" s="143">
        <f t="shared" si="26"/>
        <v>0</v>
      </c>
      <c r="AL274" s="143">
        <v>14193399.9</v>
      </c>
      <c r="AM274" s="143">
        <f t="shared" si="21"/>
        <v>7900100.0999999996</v>
      </c>
      <c r="AN274" s="133"/>
      <c r="AO274" s="144">
        <f t="shared" si="22"/>
        <v>0</v>
      </c>
      <c r="AP274" s="133"/>
      <c r="AQ274" s="150">
        <v>43123</v>
      </c>
      <c r="AR274" s="133" t="s">
        <v>739</v>
      </c>
      <c r="AS274" s="150">
        <v>43123</v>
      </c>
      <c r="AT274" s="133" t="s">
        <v>740</v>
      </c>
      <c r="AU274" s="220"/>
      <c r="AV274" s="220"/>
      <c r="AW274" s="220"/>
    </row>
    <row r="275" spans="1:49" s="221" customFormat="1" ht="370.5" x14ac:dyDescent="0.25">
      <c r="A275" s="63">
        <f t="shared" si="25"/>
        <v>88</v>
      </c>
      <c r="B275" s="128" t="str">
        <f t="shared" si="23"/>
        <v>208-88</v>
      </c>
      <c r="C275" s="129" t="s">
        <v>713</v>
      </c>
      <c r="D275" s="130" t="s">
        <v>714</v>
      </c>
      <c r="E275" s="145" t="s">
        <v>725</v>
      </c>
      <c r="F275" s="111" t="s">
        <v>52</v>
      </c>
      <c r="G275" s="145" t="s">
        <v>53</v>
      </c>
      <c r="H275" s="111" t="s">
        <v>733</v>
      </c>
      <c r="I275" s="111" t="s">
        <v>55</v>
      </c>
      <c r="J275" s="111" t="s">
        <v>56</v>
      </c>
      <c r="K275" s="63">
        <v>801116</v>
      </c>
      <c r="L275" s="111" t="s">
        <v>720</v>
      </c>
      <c r="M275" s="111" t="s">
        <v>58</v>
      </c>
      <c r="N275" s="111" t="s">
        <v>59</v>
      </c>
      <c r="O275" s="111" t="s">
        <v>728</v>
      </c>
      <c r="P275" s="227" t="s">
        <v>803</v>
      </c>
      <c r="Q275" s="134">
        <f t="shared" si="24"/>
        <v>4686500</v>
      </c>
      <c r="R275" s="146">
        <v>1</v>
      </c>
      <c r="S275" s="136">
        <f>40545435+11006065</f>
        <v>51551500</v>
      </c>
      <c r="T275" s="137" t="s">
        <v>747</v>
      </c>
      <c r="U275" s="148" t="s">
        <v>445</v>
      </c>
      <c r="V275" s="148" t="s">
        <v>64</v>
      </c>
      <c r="W275" s="153">
        <v>11</v>
      </c>
      <c r="X275" s="133" t="s">
        <v>806</v>
      </c>
      <c r="Y275" s="81">
        <v>43123</v>
      </c>
      <c r="Z275" s="154">
        <v>51551500</v>
      </c>
      <c r="AA275" s="140"/>
      <c r="AB275" s="141">
        <v>559</v>
      </c>
      <c r="AC275" s="150">
        <v>43123</v>
      </c>
      <c r="AD275" s="151">
        <f>40545435+11006065</f>
        <v>51551500</v>
      </c>
      <c r="AE275" s="143">
        <f t="shared" si="20"/>
        <v>0</v>
      </c>
      <c r="AF275" s="133">
        <v>483</v>
      </c>
      <c r="AG275" s="81">
        <v>43126</v>
      </c>
      <c r="AH275" s="151">
        <f>40545435+11006065</f>
        <v>51551500</v>
      </c>
      <c r="AI275" s="63" t="s">
        <v>805</v>
      </c>
      <c r="AJ275" s="63">
        <v>405</v>
      </c>
      <c r="AK275" s="143">
        <f t="shared" si="26"/>
        <v>0</v>
      </c>
      <c r="AL275" s="143">
        <v>33117933.099999998</v>
      </c>
      <c r="AM275" s="143">
        <f t="shared" si="21"/>
        <v>18433566.900000002</v>
      </c>
      <c r="AN275" s="133"/>
      <c r="AO275" s="144">
        <f t="shared" si="22"/>
        <v>0</v>
      </c>
      <c r="AP275" s="133"/>
      <c r="AQ275" s="150">
        <v>43123</v>
      </c>
      <c r="AR275" s="133" t="s">
        <v>739</v>
      </c>
      <c r="AS275" s="150">
        <v>43123</v>
      </c>
      <c r="AT275" s="133" t="s">
        <v>740</v>
      </c>
      <c r="AU275" s="220"/>
      <c r="AV275" s="220"/>
      <c r="AW275" s="220"/>
    </row>
    <row r="276" spans="1:49" s="221" customFormat="1" ht="399" x14ac:dyDescent="0.25">
      <c r="A276" s="63">
        <f t="shared" si="25"/>
        <v>89</v>
      </c>
      <c r="B276" s="128" t="str">
        <f t="shared" si="23"/>
        <v>208-89</v>
      </c>
      <c r="C276" s="129" t="s">
        <v>713</v>
      </c>
      <c r="D276" s="130" t="s">
        <v>714</v>
      </c>
      <c r="E276" s="131" t="s">
        <v>715</v>
      </c>
      <c r="F276" s="111" t="s">
        <v>52</v>
      </c>
      <c r="G276" s="145" t="s">
        <v>53</v>
      </c>
      <c r="H276" s="111" t="s">
        <v>733</v>
      </c>
      <c r="I276" s="111" t="s">
        <v>55</v>
      </c>
      <c r="J276" s="111" t="s">
        <v>56</v>
      </c>
      <c r="K276" s="63">
        <v>801116</v>
      </c>
      <c r="L276" s="111" t="s">
        <v>720</v>
      </c>
      <c r="M276" s="111" t="s">
        <v>58</v>
      </c>
      <c r="N276" s="111" t="s">
        <v>59</v>
      </c>
      <c r="O276" s="111" t="s">
        <v>728</v>
      </c>
      <c r="P276" s="227" t="s">
        <v>807</v>
      </c>
      <c r="Q276" s="134">
        <f t="shared" si="24"/>
        <v>998070</v>
      </c>
      <c r="R276" s="146">
        <v>1</v>
      </c>
      <c r="S276" s="136">
        <f>14214000-2736195</f>
        <v>11477805</v>
      </c>
      <c r="T276" s="137" t="s">
        <v>747</v>
      </c>
      <c r="U276" s="148" t="s">
        <v>445</v>
      </c>
      <c r="V276" s="148" t="s">
        <v>64</v>
      </c>
      <c r="W276" s="153">
        <v>11.5</v>
      </c>
      <c r="X276" s="133" t="s">
        <v>808</v>
      </c>
      <c r="Y276" s="81">
        <v>43115</v>
      </c>
      <c r="Z276" s="154">
        <v>11477805</v>
      </c>
      <c r="AA276" s="140"/>
      <c r="AB276" s="141">
        <v>509</v>
      </c>
      <c r="AC276" s="150">
        <v>43116</v>
      </c>
      <c r="AD276" s="143">
        <f>14214000-2736195</f>
        <v>11477805</v>
      </c>
      <c r="AE276" s="143">
        <f t="shared" si="20"/>
        <v>0</v>
      </c>
      <c r="AF276" s="133">
        <v>260</v>
      </c>
      <c r="AG276" s="81">
        <v>43119</v>
      </c>
      <c r="AH276" s="143">
        <f>14214000-2736195</f>
        <v>11477805</v>
      </c>
      <c r="AI276" s="63" t="s">
        <v>809</v>
      </c>
      <c r="AJ276" s="63">
        <v>234</v>
      </c>
      <c r="AK276" s="143">
        <f t="shared" si="26"/>
        <v>0</v>
      </c>
      <c r="AL276" s="143">
        <v>7252641.8999999994</v>
      </c>
      <c r="AM276" s="143">
        <f t="shared" si="21"/>
        <v>4225163.1000000006</v>
      </c>
      <c r="AN276" s="133"/>
      <c r="AO276" s="144">
        <f t="shared" si="22"/>
        <v>0</v>
      </c>
      <c r="AP276" s="133"/>
      <c r="AQ276" s="150"/>
      <c r="AR276" s="133"/>
      <c r="AS276" s="150"/>
      <c r="AT276" s="133"/>
      <c r="AU276" s="220"/>
      <c r="AV276" s="220"/>
      <c r="AW276" s="220"/>
    </row>
    <row r="277" spans="1:49" s="221" customFormat="1" ht="370.5" x14ac:dyDescent="0.25">
      <c r="A277" s="63">
        <f t="shared" si="25"/>
        <v>90</v>
      </c>
      <c r="B277" s="128" t="str">
        <f t="shared" si="23"/>
        <v>208-90</v>
      </c>
      <c r="C277" s="129" t="s">
        <v>713</v>
      </c>
      <c r="D277" s="130" t="s">
        <v>714</v>
      </c>
      <c r="E277" s="145" t="s">
        <v>725</v>
      </c>
      <c r="F277" s="111" t="s">
        <v>52</v>
      </c>
      <c r="G277" s="145" t="s">
        <v>53</v>
      </c>
      <c r="H277" s="111" t="s">
        <v>733</v>
      </c>
      <c r="I277" s="111" t="s">
        <v>55</v>
      </c>
      <c r="J277" s="111" t="s">
        <v>56</v>
      </c>
      <c r="K277" s="63">
        <v>801116</v>
      </c>
      <c r="L277" s="111" t="s">
        <v>720</v>
      </c>
      <c r="M277" s="111" t="s">
        <v>58</v>
      </c>
      <c r="N277" s="111" t="s">
        <v>59</v>
      </c>
      <c r="O277" s="111" t="s">
        <v>728</v>
      </c>
      <c r="P277" s="227" t="s">
        <v>807</v>
      </c>
      <c r="Q277" s="134">
        <f t="shared" si="24"/>
        <v>2328830</v>
      </c>
      <c r="R277" s="146">
        <v>1</v>
      </c>
      <c r="S277" s="136">
        <f>33166000-6384455</f>
        <v>26781545</v>
      </c>
      <c r="T277" s="137" t="s">
        <v>747</v>
      </c>
      <c r="U277" s="148" t="s">
        <v>445</v>
      </c>
      <c r="V277" s="148" t="s">
        <v>64</v>
      </c>
      <c r="W277" s="153">
        <v>11.5</v>
      </c>
      <c r="X277" s="133" t="s">
        <v>810</v>
      </c>
      <c r="Y277" s="81">
        <v>43115</v>
      </c>
      <c r="Z277" s="154">
        <v>26781545</v>
      </c>
      <c r="AA277" s="140"/>
      <c r="AB277" s="141">
        <v>509</v>
      </c>
      <c r="AC277" s="150">
        <v>43116</v>
      </c>
      <c r="AD277" s="143">
        <f>33166000-6384455</f>
        <v>26781545</v>
      </c>
      <c r="AE277" s="143">
        <f t="shared" si="20"/>
        <v>0</v>
      </c>
      <c r="AF277" s="133">
        <v>260</v>
      </c>
      <c r="AG277" s="81">
        <v>43119</v>
      </c>
      <c r="AH277" s="143">
        <f>33166000-6384455</f>
        <v>26781545</v>
      </c>
      <c r="AI277" s="63" t="s">
        <v>809</v>
      </c>
      <c r="AJ277" s="63">
        <v>234</v>
      </c>
      <c r="AK277" s="143">
        <f t="shared" si="26"/>
        <v>0</v>
      </c>
      <c r="AL277" s="143">
        <v>16922831.099999998</v>
      </c>
      <c r="AM277" s="143">
        <f t="shared" si="21"/>
        <v>9858713.9000000022</v>
      </c>
      <c r="AN277" s="133"/>
      <c r="AO277" s="144">
        <f t="shared" si="22"/>
        <v>0</v>
      </c>
      <c r="AP277" s="133"/>
      <c r="AQ277" s="150"/>
      <c r="AR277" s="133"/>
      <c r="AS277" s="150"/>
      <c r="AT277" s="133"/>
      <c r="AU277" s="220"/>
      <c r="AV277" s="220"/>
      <c r="AW277" s="220"/>
    </row>
    <row r="278" spans="1:49" s="221" customFormat="1" ht="399" x14ac:dyDescent="0.25">
      <c r="A278" s="63">
        <f t="shared" si="25"/>
        <v>91</v>
      </c>
      <c r="B278" s="128" t="str">
        <f t="shared" si="23"/>
        <v>208-91</v>
      </c>
      <c r="C278" s="129" t="s">
        <v>713</v>
      </c>
      <c r="D278" s="130" t="s">
        <v>714</v>
      </c>
      <c r="E278" s="131" t="s">
        <v>715</v>
      </c>
      <c r="F278" s="111" t="s">
        <v>52</v>
      </c>
      <c r="G278" s="145" t="s">
        <v>53</v>
      </c>
      <c r="H278" s="111" t="s">
        <v>733</v>
      </c>
      <c r="I278" s="111" t="s">
        <v>55</v>
      </c>
      <c r="J278" s="111" t="s">
        <v>56</v>
      </c>
      <c r="K278" s="63">
        <v>801116</v>
      </c>
      <c r="L278" s="111" t="s">
        <v>720</v>
      </c>
      <c r="M278" s="111" t="s">
        <v>58</v>
      </c>
      <c r="N278" s="111" t="s">
        <v>59</v>
      </c>
      <c r="O278" s="111" t="s">
        <v>728</v>
      </c>
      <c r="P278" s="227" t="s">
        <v>795</v>
      </c>
      <c r="Q278" s="134">
        <f t="shared" si="24"/>
        <v>1575900</v>
      </c>
      <c r="R278" s="146">
        <v>1</v>
      </c>
      <c r="S278" s="136">
        <v>18122850</v>
      </c>
      <c r="T278" s="137" t="s">
        <v>747</v>
      </c>
      <c r="U278" s="148" t="s">
        <v>445</v>
      </c>
      <c r="V278" s="148" t="s">
        <v>64</v>
      </c>
      <c r="W278" s="153">
        <v>11.5</v>
      </c>
      <c r="X278" s="133">
        <v>24</v>
      </c>
      <c r="Y278" s="81">
        <v>43102</v>
      </c>
      <c r="Z278" s="154">
        <v>18122850</v>
      </c>
      <c r="AA278" s="140"/>
      <c r="AB278" s="141">
        <v>30</v>
      </c>
      <c r="AC278" s="150">
        <v>43102</v>
      </c>
      <c r="AD278" s="143">
        <v>18122850</v>
      </c>
      <c r="AE278" s="143">
        <f t="shared" si="20"/>
        <v>0</v>
      </c>
      <c r="AF278" s="133">
        <v>11</v>
      </c>
      <c r="AG278" s="81">
        <v>43112</v>
      </c>
      <c r="AH278" s="143">
        <v>18122850</v>
      </c>
      <c r="AI278" s="63" t="s">
        <v>811</v>
      </c>
      <c r="AJ278" s="63">
        <v>14</v>
      </c>
      <c r="AK278" s="143">
        <f t="shared" si="26"/>
        <v>0</v>
      </c>
      <c r="AL278" s="143">
        <v>11819250</v>
      </c>
      <c r="AM278" s="143">
        <f t="shared" si="21"/>
        <v>6303600</v>
      </c>
      <c r="AN278" s="133"/>
      <c r="AO278" s="144">
        <f t="shared" si="22"/>
        <v>0</v>
      </c>
      <c r="AP278" s="133"/>
      <c r="AQ278" s="150">
        <v>43102</v>
      </c>
      <c r="AR278" s="133" t="s">
        <v>739</v>
      </c>
      <c r="AS278" s="150">
        <v>43102</v>
      </c>
      <c r="AT278" s="133" t="s">
        <v>740</v>
      </c>
      <c r="AU278" s="220"/>
      <c r="AV278" s="220"/>
      <c r="AW278" s="220"/>
    </row>
    <row r="279" spans="1:49" s="221" customFormat="1" ht="370.5" x14ac:dyDescent="0.25">
      <c r="A279" s="63">
        <f t="shared" si="25"/>
        <v>92</v>
      </c>
      <c r="B279" s="128" t="str">
        <f t="shared" si="23"/>
        <v>208-92</v>
      </c>
      <c r="C279" s="129" t="s">
        <v>713</v>
      </c>
      <c r="D279" s="130" t="s">
        <v>714</v>
      </c>
      <c r="E279" s="145" t="s">
        <v>725</v>
      </c>
      <c r="F279" s="111" t="s">
        <v>52</v>
      </c>
      <c r="G279" s="145" t="s">
        <v>53</v>
      </c>
      <c r="H279" s="111" t="s">
        <v>733</v>
      </c>
      <c r="I279" s="111" t="s">
        <v>55</v>
      </c>
      <c r="J279" s="111" t="s">
        <v>56</v>
      </c>
      <c r="K279" s="63">
        <v>801116</v>
      </c>
      <c r="L279" s="111" t="s">
        <v>720</v>
      </c>
      <c r="M279" s="111" t="s">
        <v>58</v>
      </c>
      <c r="N279" s="111" t="s">
        <v>59</v>
      </c>
      <c r="O279" s="111" t="s">
        <v>728</v>
      </c>
      <c r="P279" s="227" t="s">
        <v>795</v>
      </c>
      <c r="Q279" s="134">
        <f t="shared" si="24"/>
        <v>3677099.9999999995</v>
      </c>
      <c r="R279" s="146">
        <v>1</v>
      </c>
      <c r="S279" s="136">
        <v>42286649.999999993</v>
      </c>
      <c r="T279" s="137" t="s">
        <v>747</v>
      </c>
      <c r="U279" s="148" t="s">
        <v>445</v>
      </c>
      <c r="V279" s="148" t="s">
        <v>64</v>
      </c>
      <c r="W279" s="153">
        <v>11.5</v>
      </c>
      <c r="X279" s="133">
        <v>23</v>
      </c>
      <c r="Y279" s="81">
        <v>43102</v>
      </c>
      <c r="Z279" s="154">
        <v>42286649.999999993</v>
      </c>
      <c r="AA279" s="140"/>
      <c r="AB279" s="141">
        <v>30</v>
      </c>
      <c r="AC279" s="150">
        <v>43102</v>
      </c>
      <c r="AD279" s="143">
        <v>42286649.999999993</v>
      </c>
      <c r="AE279" s="143">
        <f t="shared" si="20"/>
        <v>0</v>
      </c>
      <c r="AF279" s="133">
        <v>11</v>
      </c>
      <c r="AG279" s="81">
        <v>43112</v>
      </c>
      <c r="AH279" s="143">
        <v>42286649.999999993</v>
      </c>
      <c r="AI279" s="63" t="s">
        <v>811</v>
      </c>
      <c r="AJ279" s="63">
        <v>14</v>
      </c>
      <c r="AK279" s="143">
        <f t="shared" si="26"/>
        <v>0</v>
      </c>
      <c r="AL279" s="143">
        <v>27578250</v>
      </c>
      <c r="AM279" s="143">
        <f t="shared" si="21"/>
        <v>14708399.999999993</v>
      </c>
      <c r="AN279" s="133"/>
      <c r="AO279" s="144">
        <f t="shared" si="22"/>
        <v>0</v>
      </c>
      <c r="AP279" s="133"/>
      <c r="AQ279" s="150">
        <v>43102</v>
      </c>
      <c r="AR279" s="133" t="s">
        <v>739</v>
      </c>
      <c r="AS279" s="150">
        <v>43102</v>
      </c>
      <c r="AT279" s="133" t="s">
        <v>740</v>
      </c>
      <c r="AU279" s="220"/>
      <c r="AV279" s="220"/>
      <c r="AW279" s="220"/>
    </row>
    <row r="280" spans="1:49" s="221" customFormat="1" ht="399" x14ac:dyDescent="0.25">
      <c r="A280" s="63">
        <f t="shared" si="25"/>
        <v>93</v>
      </c>
      <c r="B280" s="128" t="str">
        <f t="shared" si="23"/>
        <v>208-93</v>
      </c>
      <c r="C280" s="129" t="s">
        <v>713</v>
      </c>
      <c r="D280" s="130" t="s">
        <v>714</v>
      </c>
      <c r="E280" s="131" t="s">
        <v>715</v>
      </c>
      <c r="F280" s="111" t="s">
        <v>52</v>
      </c>
      <c r="G280" s="145" t="s">
        <v>53</v>
      </c>
      <c r="H280" s="111" t="s">
        <v>733</v>
      </c>
      <c r="I280" s="111" t="s">
        <v>55</v>
      </c>
      <c r="J280" s="111" t="s">
        <v>56</v>
      </c>
      <c r="K280" s="63">
        <v>801116</v>
      </c>
      <c r="L280" s="111" t="s">
        <v>720</v>
      </c>
      <c r="M280" s="111" t="s">
        <v>58</v>
      </c>
      <c r="N280" s="111" t="s">
        <v>59</v>
      </c>
      <c r="O280" s="111" t="s">
        <v>728</v>
      </c>
      <c r="P280" s="227" t="s">
        <v>795</v>
      </c>
      <c r="Q280" s="134">
        <f t="shared" si="24"/>
        <v>1511010</v>
      </c>
      <c r="R280" s="146">
        <v>1</v>
      </c>
      <c r="S280" s="136">
        <v>17376615</v>
      </c>
      <c r="T280" s="137" t="s">
        <v>747</v>
      </c>
      <c r="U280" s="148" t="s">
        <v>445</v>
      </c>
      <c r="V280" s="148" t="s">
        <v>64</v>
      </c>
      <c r="W280" s="153">
        <v>11.5</v>
      </c>
      <c r="X280" s="133">
        <v>22</v>
      </c>
      <c r="Y280" s="81">
        <v>43102</v>
      </c>
      <c r="Z280" s="154">
        <v>17376615</v>
      </c>
      <c r="AA280" s="140"/>
      <c r="AB280" s="141">
        <v>32</v>
      </c>
      <c r="AC280" s="150">
        <v>43102</v>
      </c>
      <c r="AD280" s="151">
        <v>17376615</v>
      </c>
      <c r="AE280" s="143">
        <f t="shared" si="20"/>
        <v>0</v>
      </c>
      <c r="AF280" s="133">
        <v>504</v>
      </c>
      <c r="AG280" s="81">
        <v>43126</v>
      </c>
      <c r="AH280" s="151">
        <v>17376615</v>
      </c>
      <c r="AI280" s="63" t="s">
        <v>812</v>
      </c>
      <c r="AJ280" s="63">
        <v>414</v>
      </c>
      <c r="AK280" s="143">
        <f t="shared" si="26"/>
        <v>0</v>
      </c>
      <c r="AL280" s="143">
        <v>10677804</v>
      </c>
      <c r="AM280" s="143">
        <f t="shared" si="21"/>
        <v>6698811</v>
      </c>
      <c r="AN280" s="133"/>
      <c r="AO280" s="144">
        <f t="shared" si="22"/>
        <v>0</v>
      </c>
      <c r="AP280" s="133"/>
      <c r="AQ280" s="150">
        <v>43102</v>
      </c>
      <c r="AR280" s="133" t="s">
        <v>739</v>
      </c>
      <c r="AS280" s="150">
        <v>43102</v>
      </c>
      <c r="AT280" s="133" t="s">
        <v>740</v>
      </c>
      <c r="AU280" s="220"/>
      <c r="AV280" s="220"/>
      <c r="AW280" s="220"/>
    </row>
    <row r="281" spans="1:49" s="221" customFormat="1" ht="370.5" x14ac:dyDescent="0.25">
      <c r="A281" s="63">
        <f t="shared" si="25"/>
        <v>94</v>
      </c>
      <c r="B281" s="128" t="str">
        <f t="shared" si="23"/>
        <v>208-94</v>
      </c>
      <c r="C281" s="129" t="s">
        <v>713</v>
      </c>
      <c r="D281" s="130" t="s">
        <v>714</v>
      </c>
      <c r="E281" s="145" t="s">
        <v>725</v>
      </c>
      <c r="F281" s="111" t="s">
        <v>52</v>
      </c>
      <c r="G281" s="145" t="s">
        <v>53</v>
      </c>
      <c r="H281" s="111" t="s">
        <v>733</v>
      </c>
      <c r="I281" s="111" t="s">
        <v>55</v>
      </c>
      <c r="J281" s="111" t="s">
        <v>56</v>
      </c>
      <c r="K281" s="63">
        <v>801116</v>
      </c>
      <c r="L281" s="111" t="s">
        <v>720</v>
      </c>
      <c r="M281" s="111" t="s">
        <v>58</v>
      </c>
      <c r="N281" s="111" t="s">
        <v>59</v>
      </c>
      <c r="O281" s="111" t="s">
        <v>728</v>
      </c>
      <c r="P281" s="227" t="s">
        <v>795</v>
      </c>
      <c r="Q281" s="134">
        <f t="shared" si="24"/>
        <v>3525690</v>
      </c>
      <c r="R281" s="146">
        <v>1</v>
      </c>
      <c r="S281" s="136">
        <v>40545435</v>
      </c>
      <c r="T281" s="137" t="s">
        <v>747</v>
      </c>
      <c r="U281" s="148" t="s">
        <v>445</v>
      </c>
      <c r="V281" s="148" t="s">
        <v>64</v>
      </c>
      <c r="W281" s="153">
        <v>11.5</v>
      </c>
      <c r="X281" s="133">
        <v>21</v>
      </c>
      <c r="Y281" s="81">
        <v>43102</v>
      </c>
      <c r="Z281" s="154">
        <v>40545435</v>
      </c>
      <c r="AA281" s="140"/>
      <c r="AB281" s="141">
        <v>32</v>
      </c>
      <c r="AC281" s="150">
        <v>43102</v>
      </c>
      <c r="AD281" s="151">
        <v>40545435</v>
      </c>
      <c r="AE281" s="143">
        <f t="shared" si="20"/>
        <v>0</v>
      </c>
      <c r="AF281" s="133">
        <v>504</v>
      </c>
      <c r="AG281" s="81">
        <v>43126</v>
      </c>
      <c r="AH281" s="151">
        <v>40545435</v>
      </c>
      <c r="AI281" s="63" t="s">
        <v>812</v>
      </c>
      <c r="AJ281" s="63">
        <v>414</v>
      </c>
      <c r="AK281" s="143">
        <f t="shared" si="26"/>
        <v>0</v>
      </c>
      <c r="AL281" s="143">
        <v>24914876</v>
      </c>
      <c r="AM281" s="143">
        <f t="shared" si="21"/>
        <v>15630559</v>
      </c>
      <c r="AN281" s="133"/>
      <c r="AO281" s="144">
        <f t="shared" si="22"/>
        <v>0</v>
      </c>
      <c r="AP281" s="133"/>
      <c r="AQ281" s="150">
        <v>43102</v>
      </c>
      <c r="AR281" s="133" t="s">
        <v>739</v>
      </c>
      <c r="AS281" s="150">
        <v>43102</v>
      </c>
      <c r="AT281" s="133" t="s">
        <v>740</v>
      </c>
      <c r="AU281" s="220"/>
      <c r="AV281" s="220"/>
      <c r="AW281" s="220"/>
    </row>
    <row r="282" spans="1:49" s="221" customFormat="1" ht="399" x14ac:dyDescent="0.25">
      <c r="A282" s="63">
        <f t="shared" si="25"/>
        <v>95</v>
      </c>
      <c r="B282" s="128" t="str">
        <f t="shared" si="23"/>
        <v>208-95</v>
      </c>
      <c r="C282" s="129" t="s">
        <v>713</v>
      </c>
      <c r="D282" s="130" t="s">
        <v>714</v>
      </c>
      <c r="E282" s="131" t="s">
        <v>715</v>
      </c>
      <c r="F282" s="111" t="s">
        <v>52</v>
      </c>
      <c r="G282" s="145" t="s">
        <v>53</v>
      </c>
      <c r="H282" s="111" t="s">
        <v>733</v>
      </c>
      <c r="I282" s="111" t="s">
        <v>55</v>
      </c>
      <c r="J282" s="111" t="s">
        <v>56</v>
      </c>
      <c r="K282" s="63">
        <v>801116</v>
      </c>
      <c r="L282" s="111" t="s">
        <v>720</v>
      </c>
      <c r="M282" s="111" t="s">
        <v>58</v>
      </c>
      <c r="N282" s="111" t="s">
        <v>59</v>
      </c>
      <c r="O282" s="111" t="s">
        <v>728</v>
      </c>
      <c r="P282" s="227" t="s">
        <v>803</v>
      </c>
      <c r="Q282" s="134">
        <f t="shared" si="24"/>
        <v>0</v>
      </c>
      <c r="R282" s="146">
        <v>1</v>
      </c>
      <c r="S282" s="136">
        <f>23097750-23097750</f>
        <v>0</v>
      </c>
      <c r="T282" s="137" t="s">
        <v>747</v>
      </c>
      <c r="U282" s="148" t="s">
        <v>445</v>
      </c>
      <c r="V282" s="148" t="s">
        <v>64</v>
      </c>
      <c r="W282" s="153">
        <v>11.5</v>
      </c>
      <c r="X282" s="133" t="s">
        <v>813</v>
      </c>
      <c r="Y282" s="81"/>
      <c r="Z282" s="154"/>
      <c r="AA282" s="140"/>
      <c r="AB282" s="141"/>
      <c r="AC282" s="142"/>
      <c r="AD282" s="143"/>
      <c r="AE282" s="143">
        <f t="shared" si="20"/>
        <v>0</v>
      </c>
      <c r="AF282" s="133"/>
      <c r="AG282" s="85"/>
      <c r="AH282" s="143"/>
      <c r="AI282" s="63"/>
      <c r="AJ282" s="63"/>
      <c r="AK282" s="143">
        <f t="shared" si="26"/>
        <v>0</v>
      </c>
      <c r="AL282" s="143"/>
      <c r="AM282" s="143">
        <f t="shared" si="21"/>
        <v>0</v>
      </c>
      <c r="AN282" s="133"/>
      <c r="AO282" s="144">
        <f t="shared" si="22"/>
        <v>0</v>
      </c>
      <c r="AP282" s="133"/>
      <c r="AQ282" s="150"/>
      <c r="AR282" s="133"/>
      <c r="AS282" s="150"/>
      <c r="AT282" s="133"/>
      <c r="AU282" s="220"/>
      <c r="AV282" s="220"/>
      <c r="AW282" s="220"/>
    </row>
    <row r="283" spans="1:49" s="221" customFormat="1" ht="370.5" x14ac:dyDescent="0.25">
      <c r="A283" s="63">
        <f t="shared" si="25"/>
        <v>96</v>
      </c>
      <c r="B283" s="128" t="str">
        <f t="shared" si="23"/>
        <v>208-96</v>
      </c>
      <c r="C283" s="129" t="s">
        <v>713</v>
      </c>
      <c r="D283" s="130" t="s">
        <v>714</v>
      </c>
      <c r="E283" s="145" t="s">
        <v>725</v>
      </c>
      <c r="F283" s="111" t="s">
        <v>52</v>
      </c>
      <c r="G283" s="145" t="s">
        <v>53</v>
      </c>
      <c r="H283" s="111" t="s">
        <v>733</v>
      </c>
      <c r="I283" s="111" t="s">
        <v>55</v>
      </c>
      <c r="J283" s="111" t="s">
        <v>56</v>
      </c>
      <c r="K283" s="63">
        <v>801116</v>
      </c>
      <c r="L283" s="111" t="s">
        <v>720</v>
      </c>
      <c r="M283" s="111" t="s">
        <v>58</v>
      </c>
      <c r="N283" s="111" t="s">
        <v>59</v>
      </c>
      <c r="O283" s="111" t="s">
        <v>728</v>
      </c>
      <c r="P283" s="227" t="s">
        <v>803</v>
      </c>
      <c r="Q283" s="134">
        <f t="shared" si="24"/>
        <v>0</v>
      </c>
      <c r="R283" s="146">
        <v>1</v>
      </c>
      <c r="S283" s="136">
        <f>53894750-53894750</f>
        <v>0</v>
      </c>
      <c r="T283" s="137" t="s">
        <v>747</v>
      </c>
      <c r="U283" s="148" t="s">
        <v>445</v>
      </c>
      <c r="V283" s="148" t="s">
        <v>64</v>
      </c>
      <c r="W283" s="153">
        <v>11.5</v>
      </c>
      <c r="X283" s="133" t="s">
        <v>814</v>
      </c>
      <c r="Y283" s="81"/>
      <c r="Z283" s="154"/>
      <c r="AA283" s="140"/>
      <c r="AB283" s="141"/>
      <c r="AC283" s="142"/>
      <c r="AD283" s="143"/>
      <c r="AE283" s="143">
        <f t="shared" si="20"/>
        <v>0</v>
      </c>
      <c r="AF283" s="133"/>
      <c r="AG283" s="85"/>
      <c r="AH283" s="143"/>
      <c r="AI283" s="63"/>
      <c r="AJ283" s="63"/>
      <c r="AK283" s="143">
        <f t="shared" si="26"/>
        <v>0</v>
      </c>
      <c r="AL283" s="143"/>
      <c r="AM283" s="143">
        <f t="shared" si="21"/>
        <v>0</v>
      </c>
      <c r="AN283" s="133"/>
      <c r="AO283" s="144">
        <f t="shared" si="22"/>
        <v>0</v>
      </c>
      <c r="AP283" s="133"/>
      <c r="AQ283" s="150"/>
      <c r="AR283" s="133"/>
      <c r="AS283" s="150"/>
      <c r="AT283" s="133"/>
      <c r="AU283" s="220"/>
      <c r="AV283" s="220"/>
      <c r="AW283" s="220"/>
    </row>
    <row r="284" spans="1:49" s="221" customFormat="1" ht="399" x14ac:dyDescent="0.25">
      <c r="A284" s="63">
        <f t="shared" si="25"/>
        <v>97</v>
      </c>
      <c r="B284" s="128" t="str">
        <f t="shared" si="23"/>
        <v>208-97</v>
      </c>
      <c r="C284" s="129" t="s">
        <v>713</v>
      </c>
      <c r="D284" s="130" t="s">
        <v>714</v>
      </c>
      <c r="E284" s="131" t="s">
        <v>715</v>
      </c>
      <c r="F284" s="111" t="s">
        <v>52</v>
      </c>
      <c r="G284" s="145" t="s">
        <v>53</v>
      </c>
      <c r="H284" s="111" t="s">
        <v>733</v>
      </c>
      <c r="I284" s="111" t="s">
        <v>55</v>
      </c>
      <c r="J284" s="111" t="s">
        <v>56</v>
      </c>
      <c r="K284" s="63">
        <v>801116</v>
      </c>
      <c r="L284" s="111" t="s">
        <v>720</v>
      </c>
      <c r="M284" s="111" t="s">
        <v>58</v>
      </c>
      <c r="N284" s="111" t="s">
        <v>59</v>
      </c>
      <c r="O284" s="111" t="s">
        <v>728</v>
      </c>
      <c r="P284" s="227" t="s">
        <v>815</v>
      </c>
      <c r="Q284" s="134">
        <f t="shared" si="24"/>
        <v>1147826.0869565217</v>
      </c>
      <c r="R284" s="146">
        <v>1</v>
      </c>
      <c r="S284" s="136">
        <f>14214000-1014000</f>
        <v>13200000</v>
      </c>
      <c r="T284" s="137" t="s">
        <v>747</v>
      </c>
      <c r="U284" s="148" t="s">
        <v>445</v>
      </c>
      <c r="V284" s="148" t="s">
        <v>64</v>
      </c>
      <c r="W284" s="153">
        <v>11.5</v>
      </c>
      <c r="X284" s="133">
        <v>18</v>
      </c>
      <c r="Y284" s="81">
        <v>43102</v>
      </c>
      <c r="Z284" s="154">
        <v>14214000</v>
      </c>
      <c r="AA284" s="140"/>
      <c r="AB284" s="141">
        <v>25</v>
      </c>
      <c r="AC284" s="150">
        <v>43102</v>
      </c>
      <c r="AD284" s="143">
        <v>13200000</v>
      </c>
      <c r="AE284" s="143">
        <f t="shared" si="20"/>
        <v>0</v>
      </c>
      <c r="AF284" s="133">
        <v>444</v>
      </c>
      <c r="AG284" s="81">
        <v>43125</v>
      </c>
      <c r="AH284" s="143">
        <v>13200000</v>
      </c>
      <c r="AI284" s="63" t="s">
        <v>816</v>
      </c>
      <c r="AJ284" s="63">
        <v>379</v>
      </c>
      <c r="AK284" s="143">
        <f t="shared" si="26"/>
        <v>0</v>
      </c>
      <c r="AL284" s="143">
        <v>8600000.0999999996</v>
      </c>
      <c r="AM284" s="143">
        <f t="shared" si="21"/>
        <v>4599999.9000000004</v>
      </c>
      <c r="AN284" s="133"/>
      <c r="AO284" s="144">
        <f t="shared" si="22"/>
        <v>0</v>
      </c>
      <c r="AP284" s="133"/>
      <c r="AQ284" s="150">
        <v>43102</v>
      </c>
      <c r="AR284" s="133" t="s">
        <v>739</v>
      </c>
      <c r="AS284" s="150">
        <v>43102</v>
      </c>
      <c r="AT284" s="133" t="s">
        <v>740</v>
      </c>
      <c r="AU284" s="220"/>
      <c r="AV284" s="220"/>
      <c r="AW284" s="220"/>
    </row>
    <row r="285" spans="1:49" s="221" customFormat="1" ht="370.5" x14ac:dyDescent="0.25">
      <c r="A285" s="63">
        <f t="shared" si="25"/>
        <v>98</v>
      </c>
      <c r="B285" s="128" t="str">
        <f t="shared" si="23"/>
        <v>208-98</v>
      </c>
      <c r="C285" s="129" t="s">
        <v>713</v>
      </c>
      <c r="D285" s="130" t="s">
        <v>714</v>
      </c>
      <c r="E285" s="145" t="s">
        <v>725</v>
      </c>
      <c r="F285" s="111" t="s">
        <v>52</v>
      </c>
      <c r="G285" s="145" t="s">
        <v>53</v>
      </c>
      <c r="H285" s="111" t="s">
        <v>733</v>
      </c>
      <c r="I285" s="111" t="s">
        <v>55</v>
      </c>
      <c r="J285" s="111" t="s">
        <v>56</v>
      </c>
      <c r="K285" s="63">
        <v>801116</v>
      </c>
      <c r="L285" s="111" t="s">
        <v>720</v>
      </c>
      <c r="M285" s="111" t="s">
        <v>58</v>
      </c>
      <c r="N285" s="111" t="s">
        <v>59</v>
      </c>
      <c r="O285" s="111" t="s">
        <v>728</v>
      </c>
      <c r="P285" s="227" t="s">
        <v>815</v>
      </c>
      <c r="Q285" s="134">
        <f t="shared" si="24"/>
        <v>2678260.8695652173</v>
      </c>
      <c r="R285" s="146">
        <v>1</v>
      </c>
      <c r="S285" s="136">
        <f>33166000-2366000</f>
        <v>30800000</v>
      </c>
      <c r="T285" s="137" t="s">
        <v>747</v>
      </c>
      <c r="U285" s="148" t="s">
        <v>445</v>
      </c>
      <c r="V285" s="148" t="s">
        <v>64</v>
      </c>
      <c r="W285" s="153">
        <v>11.5</v>
      </c>
      <c r="X285" s="133">
        <v>17</v>
      </c>
      <c r="Y285" s="81">
        <v>43102</v>
      </c>
      <c r="Z285" s="154">
        <v>33166000</v>
      </c>
      <c r="AA285" s="140"/>
      <c r="AB285" s="141">
        <v>25</v>
      </c>
      <c r="AC285" s="150">
        <v>43102</v>
      </c>
      <c r="AD285" s="143">
        <v>30799999.999999996</v>
      </c>
      <c r="AE285" s="143">
        <f t="shared" si="20"/>
        <v>0</v>
      </c>
      <c r="AF285" s="133">
        <v>444</v>
      </c>
      <c r="AG285" s="81">
        <v>43125</v>
      </c>
      <c r="AH285" s="143">
        <v>30799999.999999996</v>
      </c>
      <c r="AI285" s="63" t="s">
        <v>816</v>
      </c>
      <c r="AJ285" s="63">
        <v>379</v>
      </c>
      <c r="AK285" s="143">
        <f t="shared" si="26"/>
        <v>0</v>
      </c>
      <c r="AL285" s="143">
        <v>20066666.899999999</v>
      </c>
      <c r="AM285" s="143">
        <f t="shared" si="21"/>
        <v>10733333.099999998</v>
      </c>
      <c r="AN285" s="133"/>
      <c r="AO285" s="144">
        <f t="shared" si="22"/>
        <v>0</v>
      </c>
      <c r="AP285" s="133"/>
      <c r="AQ285" s="150">
        <v>43102</v>
      </c>
      <c r="AR285" s="133" t="s">
        <v>739</v>
      </c>
      <c r="AS285" s="150">
        <v>43102</v>
      </c>
      <c r="AT285" s="133" t="s">
        <v>740</v>
      </c>
      <c r="AU285" s="220"/>
      <c r="AV285" s="220"/>
      <c r="AW285" s="220"/>
    </row>
    <row r="286" spans="1:49" s="221" customFormat="1" ht="399" x14ac:dyDescent="0.25">
      <c r="A286" s="63">
        <f t="shared" si="25"/>
        <v>99</v>
      </c>
      <c r="B286" s="128" t="str">
        <f t="shared" si="23"/>
        <v>208-99</v>
      </c>
      <c r="C286" s="129" t="s">
        <v>713</v>
      </c>
      <c r="D286" s="130" t="s">
        <v>714</v>
      </c>
      <c r="E286" s="131" t="s">
        <v>715</v>
      </c>
      <c r="F286" s="111" t="s">
        <v>52</v>
      </c>
      <c r="G286" s="145" t="s">
        <v>53</v>
      </c>
      <c r="H286" s="111" t="s">
        <v>733</v>
      </c>
      <c r="I286" s="111" t="s">
        <v>55</v>
      </c>
      <c r="J286" s="111" t="s">
        <v>56</v>
      </c>
      <c r="K286" s="63">
        <v>801116</v>
      </c>
      <c r="L286" s="111" t="s">
        <v>720</v>
      </c>
      <c r="M286" s="111" t="s">
        <v>58</v>
      </c>
      <c r="N286" s="111" t="s">
        <v>59</v>
      </c>
      <c r="O286" s="111" t="s">
        <v>728</v>
      </c>
      <c r="P286" s="227" t="s">
        <v>817</v>
      </c>
      <c r="Q286" s="134">
        <f t="shared" si="24"/>
        <v>709356.52173913049</v>
      </c>
      <c r="R286" s="146">
        <v>1</v>
      </c>
      <c r="S286" s="136">
        <f>15635400-7477800</f>
        <v>8157600</v>
      </c>
      <c r="T286" s="137" t="s">
        <v>747</v>
      </c>
      <c r="U286" s="148" t="s">
        <v>445</v>
      </c>
      <c r="V286" s="148" t="s">
        <v>64</v>
      </c>
      <c r="W286" s="153">
        <v>11.5</v>
      </c>
      <c r="X286" s="133">
        <v>16</v>
      </c>
      <c r="Y286" s="81">
        <v>43102</v>
      </c>
      <c r="Z286" s="154">
        <v>15635400</v>
      </c>
      <c r="AA286" s="140"/>
      <c r="AB286" s="141">
        <v>21</v>
      </c>
      <c r="AC286" s="150">
        <v>43102</v>
      </c>
      <c r="AD286" s="143">
        <v>8157600</v>
      </c>
      <c r="AE286" s="143">
        <f t="shared" si="20"/>
        <v>0</v>
      </c>
      <c r="AF286" s="133">
        <v>312</v>
      </c>
      <c r="AG286" s="81">
        <v>43122</v>
      </c>
      <c r="AH286" s="143">
        <v>8157600</v>
      </c>
      <c r="AI286" s="63" t="s">
        <v>818</v>
      </c>
      <c r="AJ286" s="63">
        <v>226</v>
      </c>
      <c r="AK286" s="143">
        <f t="shared" si="26"/>
        <v>0</v>
      </c>
      <c r="AL286" s="143">
        <v>8157600</v>
      </c>
      <c r="AM286" s="143">
        <f t="shared" si="21"/>
        <v>0</v>
      </c>
      <c r="AN286" s="133"/>
      <c r="AO286" s="144">
        <f t="shared" si="22"/>
        <v>0</v>
      </c>
      <c r="AP286" s="133"/>
      <c r="AQ286" s="150">
        <v>43102</v>
      </c>
      <c r="AR286" s="133" t="s">
        <v>739</v>
      </c>
      <c r="AS286" s="150">
        <v>43102</v>
      </c>
      <c r="AT286" s="133" t="s">
        <v>740</v>
      </c>
      <c r="AU286" s="220"/>
      <c r="AV286" s="220"/>
      <c r="AW286" s="220"/>
    </row>
    <row r="287" spans="1:49" s="221" customFormat="1" ht="370.5" x14ac:dyDescent="0.25">
      <c r="A287" s="63">
        <f t="shared" si="25"/>
        <v>100</v>
      </c>
      <c r="B287" s="128" t="str">
        <f t="shared" si="23"/>
        <v>208-100</v>
      </c>
      <c r="C287" s="129" t="s">
        <v>713</v>
      </c>
      <c r="D287" s="130" t="s">
        <v>714</v>
      </c>
      <c r="E287" s="145" t="s">
        <v>725</v>
      </c>
      <c r="F287" s="111" t="s">
        <v>52</v>
      </c>
      <c r="G287" s="145" t="s">
        <v>53</v>
      </c>
      <c r="H287" s="111" t="s">
        <v>733</v>
      </c>
      <c r="I287" s="111" t="s">
        <v>55</v>
      </c>
      <c r="J287" s="111" t="s">
        <v>56</v>
      </c>
      <c r="K287" s="63">
        <v>801116</v>
      </c>
      <c r="L287" s="111" t="s">
        <v>720</v>
      </c>
      <c r="M287" s="111" t="s">
        <v>58</v>
      </c>
      <c r="N287" s="111" t="s">
        <v>59</v>
      </c>
      <c r="O287" s="111" t="s">
        <v>728</v>
      </c>
      <c r="P287" s="227" t="s">
        <v>817</v>
      </c>
      <c r="Q287" s="134">
        <f t="shared" si="24"/>
        <v>1655165.2173913044</v>
      </c>
      <c r="R287" s="146">
        <v>1</v>
      </c>
      <c r="S287" s="136">
        <f>36482600-17448200</f>
        <v>19034400</v>
      </c>
      <c r="T287" s="137" t="s">
        <v>747</v>
      </c>
      <c r="U287" s="148" t="s">
        <v>445</v>
      </c>
      <c r="V287" s="148" t="s">
        <v>64</v>
      </c>
      <c r="W287" s="153">
        <v>11.5</v>
      </c>
      <c r="X287" s="133">
        <v>15</v>
      </c>
      <c r="Y287" s="81">
        <v>43102</v>
      </c>
      <c r="Z287" s="154">
        <v>36482600</v>
      </c>
      <c r="AA287" s="140"/>
      <c r="AB287" s="141">
        <v>21</v>
      </c>
      <c r="AC287" s="150">
        <v>43102</v>
      </c>
      <c r="AD287" s="143">
        <v>19034400</v>
      </c>
      <c r="AE287" s="143">
        <f t="shared" si="20"/>
        <v>0</v>
      </c>
      <c r="AF287" s="133">
        <v>312</v>
      </c>
      <c r="AG287" s="81">
        <v>43122</v>
      </c>
      <c r="AH287" s="143">
        <v>19034400</v>
      </c>
      <c r="AI287" s="63" t="s">
        <v>818</v>
      </c>
      <c r="AJ287" s="63">
        <v>226</v>
      </c>
      <c r="AK287" s="143">
        <f t="shared" si="26"/>
        <v>0</v>
      </c>
      <c r="AL287" s="143">
        <v>19034400</v>
      </c>
      <c r="AM287" s="143">
        <f t="shared" si="21"/>
        <v>0</v>
      </c>
      <c r="AN287" s="133"/>
      <c r="AO287" s="144">
        <f t="shared" si="22"/>
        <v>0</v>
      </c>
      <c r="AP287" s="133"/>
      <c r="AQ287" s="150">
        <v>43102</v>
      </c>
      <c r="AR287" s="133" t="s">
        <v>739</v>
      </c>
      <c r="AS287" s="150">
        <v>43102</v>
      </c>
      <c r="AT287" s="133" t="s">
        <v>740</v>
      </c>
      <c r="AU287" s="220"/>
      <c r="AV287" s="220"/>
      <c r="AW287" s="220"/>
    </row>
    <row r="288" spans="1:49" s="221" customFormat="1" ht="399" x14ac:dyDescent="0.25">
      <c r="A288" s="63">
        <f t="shared" si="25"/>
        <v>101</v>
      </c>
      <c r="B288" s="128" t="str">
        <f t="shared" si="23"/>
        <v>208-101</v>
      </c>
      <c r="C288" s="129" t="s">
        <v>713</v>
      </c>
      <c r="D288" s="130" t="s">
        <v>714</v>
      </c>
      <c r="E288" s="131" t="s">
        <v>715</v>
      </c>
      <c r="F288" s="111" t="s">
        <v>52</v>
      </c>
      <c r="G288" s="145" t="s">
        <v>53</v>
      </c>
      <c r="H288" s="111" t="s">
        <v>733</v>
      </c>
      <c r="I288" s="111" t="s">
        <v>55</v>
      </c>
      <c r="J288" s="111" t="s">
        <v>56</v>
      </c>
      <c r="K288" s="63">
        <v>801116</v>
      </c>
      <c r="L288" s="111" t="s">
        <v>720</v>
      </c>
      <c r="M288" s="111" t="s">
        <v>58</v>
      </c>
      <c r="N288" s="111" t="s">
        <v>59</v>
      </c>
      <c r="O288" s="111" t="s">
        <v>728</v>
      </c>
      <c r="P288" s="227" t="s">
        <v>819</v>
      </c>
      <c r="Q288" s="134">
        <f t="shared" si="24"/>
        <v>2364521.7391304346</v>
      </c>
      <c r="R288" s="146">
        <v>1</v>
      </c>
      <c r="S288" s="136">
        <f>28428000-1236000</f>
        <v>27192000</v>
      </c>
      <c r="T288" s="137" t="s">
        <v>747</v>
      </c>
      <c r="U288" s="148" t="s">
        <v>445</v>
      </c>
      <c r="V288" s="148" t="s">
        <v>64</v>
      </c>
      <c r="W288" s="153">
        <v>11.5</v>
      </c>
      <c r="X288" s="133">
        <v>14</v>
      </c>
      <c r="Y288" s="81">
        <v>43102</v>
      </c>
      <c r="Z288" s="154">
        <v>28428000</v>
      </c>
      <c r="AA288" s="140"/>
      <c r="AB288" s="141">
        <v>18</v>
      </c>
      <c r="AC288" s="150">
        <v>43102</v>
      </c>
      <c r="AD288" s="143">
        <v>27192000</v>
      </c>
      <c r="AE288" s="143">
        <f t="shared" si="20"/>
        <v>0</v>
      </c>
      <c r="AF288" s="133">
        <v>465</v>
      </c>
      <c r="AG288" s="81">
        <v>43126</v>
      </c>
      <c r="AH288" s="143">
        <v>27192000</v>
      </c>
      <c r="AI288" s="63" t="s">
        <v>820</v>
      </c>
      <c r="AJ288" s="63">
        <v>392</v>
      </c>
      <c r="AK288" s="143">
        <f t="shared" si="26"/>
        <v>0</v>
      </c>
      <c r="AL288" s="143">
        <v>17715999.899999999</v>
      </c>
      <c r="AM288" s="143">
        <f t="shared" si="21"/>
        <v>9476000.1000000015</v>
      </c>
      <c r="AN288" s="133"/>
      <c r="AO288" s="144">
        <f t="shared" si="22"/>
        <v>0</v>
      </c>
      <c r="AP288" s="133"/>
      <c r="AQ288" s="150">
        <v>43102</v>
      </c>
      <c r="AR288" s="133" t="s">
        <v>739</v>
      </c>
      <c r="AS288" s="150">
        <v>43102</v>
      </c>
      <c r="AT288" s="133" t="s">
        <v>740</v>
      </c>
      <c r="AU288" s="220"/>
      <c r="AV288" s="220"/>
      <c r="AW288" s="220"/>
    </row>
    <row r="289" spans="1:49" s="221" customFormat="1" ht="370.5" x14ac:dyDescent="0.25">
      <c r="A289" s="63">
        <f t="shared" si="25"/>
        <v>102</v>
      </c>
      <c r="B289" s="128" t="str">
        <f t="shared" si="23"/>
        <v>208-102</v>
      </c>
      <c r="C289" s="129" t="s">
        <v>713</v>
      </c>
      <c r="D289" s="130" t="s">
        <v>714</v>
      </c>
      <c r="E289" s="145" t="s">
        <v>725</v>
      </c>
      <c r="F289" s="111" t="s">
        <v>52</v>
      </c>
      <c r="G289" s="145" t="s">
        <v>53</v>
      </c>
      <c r="H289" s="111" t="s">
        <v>733</v>
      </c>
      <c r="I289" s="111" t="s">
        <v>55</v>
      </c>
      <c r="J289" s="111" t="s">
        <v>56</v>
      </c>
      <c r="K289" s="63">
        <v>801116</v>
      </c>
      <c r="L289" s="111" t="s">
        <v>720</v>
      </c>
      <c r="M289" s="111" t="s">
        <v>58</v>
      </c>
      <c r="N289" s="111" t="s">
        <v>59</v>
      </c>
      <c r="O289" s="111" t="s">
        <v>728</v>
      </c>
      <c r="P289" s="227" t="s">
        <v>819</v>
      </c>
      <c r="Q289" s="134">
        <f t="shared" si="24"/>
        <v>5517217.3913043477</v>
      </c>
      <c r="R289" s="146">
        <v>1</v>
      </c>
      <c r="S289" s="136">
        <f>66332000-2884000</f>
        <v>63448000</v>
      </c>
      <c r="T289" s="137" t="s">
        <v>747</v>
      </c>
      <c r="U289" s="148" t="s">
        <v>445</v>
      </c>
      <c r="V289" s="148" t="s">
        <v>64</v>
      </c>
      <c r="W289" s="153">
        <v>11.5</v>
      </c>
      <c r="X289" s="133">
        <v>13</v>
      </c>
      <c r="Y289" s="81">
        <v>43102</v>
      </c>
      <c r="Z289" s="154">
        <v>66332000</v>
      </c>
      <c r="AA289" s="140"/>
      <c r="AB289" s="141">
        <v>18</v>
      </c>
      <c r="AC289" s="150">
        <v>43102</v>
      </c>
      <c r="AD289" s="143">
        <v>63447999.999999993</v>
      </c>
      <c r="AE289" s="143">
        <f t="shared" si="20"/>
        <v>0</v>
      </c>
      <c r="AF289" s="133">
        <v>465</v>
      </c>
      <c r="AG289" s="81">
        <v>43126</v>
      </c>
      <c r="AH289" s="143">
        <v>63447999.999999993</v>
      </c>
      <c r="AI289" s="63" t="s">
        <v>820</v>
      </c>
      <c r="AJ289" s="63">
        <v>392</v>
      </c>
      <c r="AK289" s="143">
        <f t="shared" si="26"/>
        <v>0</v>
      </c>
      <c r="AL289" s="143">
        <v>41337333.099999994</v>
      </c>
      <c r="AM289" s="143">
        <f t="shared" si="21"/>
        <v>22110666.899999999</v>
      </c>
      <c r="AN289" s="133"/>
      <c r="AO289" s="144">
        <f t="shared" si="22"/>
        <v>0</v>
      </c>
      <c r="AP289" s="133"/>
      <c r="AQ289" s="150">
        <v>43102</v>
      </c>
      <c r="AR289" s="133" t="s">
        <v>739</v>
      </c>
      <c r="AS289" s="150">
        <v>43102</v>
      </c>
      <c r="AT289" s="133" t="s">
        <v>740</v>
      </c>
      <c r="AU289" s="220"/>
      <c r="AV289" s="220"/>
      <c r="AW289" s="220"/>
    </row>
    <row r="290" spans="1:49" s="221" customFormat="1" ht="399" x14ac:dyDescent="0.25">
      <c r="A290" s="63">
        <f t="shared" si="25"/>
        <v>103</v>
      </c>
      <c r="B290" s="128" t="str">
        <f t="shared" si="23"/>
        <v>208-103</v>
      </c>
      <c r="C290" s="129" t="s">
        <v>713</v>
      </c>
      <c r="D290" s="130" t="s">
        <v>714</v>
      </c>
      <c r="E290" s="131" t="s">
        <v>715</v>
      </c>
      <c r="F290" s="111" t="s">
        <v>52</v>
      </c>
      <c r="G290" s="145" t="s">
        <v>53</v>
      </c>
      <c r="H290" s="111" t="s">
        <v>733</v>
      </c>
      <c r="I290" s="111" t="s">
        <v>55</v>
      </c>
      <c r="J290" s="111" t="s">
        <v>56</v>
      </c>
      <c r="K290" s="63">
        <v>801116</v>
      </c>
      <c r="L290" s="111" t="s">
        <v>720</v>
      </c>
      <c r="M290" s="111" t="s">
        <v>58</v>
      </c>
      <c r="N290" s="111" t="s">
        <v>59</v>
      </c>
      <c r="O290" s="111" t="s">
        <v>728</v>
      </c>
      <c r="P290" s="227" t="s">
        <v>795</v>
      </c>
      <c r="Q290" s="134">
        <f t="shared" si="24"/>
        <v>1066050</v>
      </c>
      <c r="R290" s="146">
        <v>1</v>
      </c>
      <c r="S290" s="136">
        <v>12259575</v>
      </c>
      <c r="T290" s="137" t="s">
        <v>747</v>
      </c>
      <c r="U290" s="148" t="s">
        <v>445</v>
      </c>
      <c r="V290" s="148" t="s">
        <v>64</v>
      </c>
      <c r="W290" s="153">
        <v>11.5</v>
      </c>
      <c r="X290" s="133">
        <v>12</v>
      </c>
      <c r="Y290" s="81">
        <v>43102</v>
      </c>
      <c r="Z290" s="154">
        <v>12259575</v>
      </c>
      <c r="AA290" s="140"/>
      <c r="AB290" s="141">
        <v>16</v>
      </c>
      <c r="AC290" s="150">
        <v>43102</v>
      </c>
      <c r="AD290" s="143">
        <v>12259575</v>
      </c>
      <c r="AE290" s="143">
        <f t="shared" si="20"/>
        <v>0</v>
      </c>
      <c r="AF290" s="133">
        <v>496</v>
      </c>
      <c r="AG290" s="81">
        <v>43126</v>
      </c>
      <c r="AH290" s="143">
        <v>12259575</v>
      </c>
      <c r="AI290" s="63" t="s">
        <v>821</v>
      </c>
      <c r="AJ290" s="63">
        <v>425</v>
      </c>
      <c r="AK290" s="143">
        <f t="shared" si="26"/>
        <v>0</v>
      </c>
      <c r="AL290" s="143">
        <v>7533420</v>
      </c>
      <c r="AM290" s="143">
        <f t="shared" si="21"/>
        <v>4726155</v>
      </c>
      <c r="AN290" s="133"/>
      <c r="AO290" s="144">
        <f t="shared" si="22"/>
        <v>0</v>
      </c>
      <c r="AP290" s="133"/>
      <c r="AQ290" s="150">
        <v>43102</v>
      </c>
      <c r="AR290" s="133" t="s">
        <v>739</v>
      </c>
      <c r="AS290" s="150">
        <v>43102</v>
      </c>
      <c r="AT290" s="133" t="s">
        <v>740</v>
      </c>
      <c r="AU290" s="220"/>
      <c r="AV290" s="220"/>
      <c r="AW290" s="220"/>
    </row>
    <row r="291" spans="1:49" s="221" customFormat="1" ht="370.5" x14ac:dyDescent="0.25">
      <c r="A291" s="63">
        <f t="shared" si="25"/>
        <v>104</v>
      </c>
      <c r="B291" s="128" t="str">
        <f t="shared" si="23"/>
        <v>208-104</v>
      </c>
      <c r="C291" s="129" t="s">
        <v>713</v>
      </c>
      <c r="D291" s="130" t="s">
        <v>714</v>
      </c>
      <c r="E291" s="145" t="s">
        <v>725</v>
      </c>
      <c r="F291" s="111" t="s">
        <v>52</v>
      </c>
      <c r="G291" s="145" t="s">
        <v>53</v>
      </c>
      <c r="H291" s="111" t="s">
        <v>733</v>
      </c>
      <c r="I291" s="111" t="s">
        <v>55</v>
      </c>
      <c r="J291" s="111" t="s">
        <v>56</v>
      </c>
      <c r="K291" s="63">
        <v>801116</v>
      </c>
      <c r="L291" s="111" t="s">
        <v>720</v>
      </c>
      <c r="M291" s="111" t="s">
        <v>58</v>
      </c>
      <c r="N291" s="111" t="s">
        <v>59</v>
      </c>
      <c r="O291" s="111" t="s">
        <v>728</v>
      </c>
      <c r="P291" s="227" t="s">
        <v>795</v>
      </c>
      <c r="Q291" s="134">
        <f t="shared" si="24"/>
        <v>2487450</v>
      </c>
      <c r="R291" s="146">
        <v>1</v>
      </c>
      <c r="S291" s="136">
        <v>28605675</v>
      </c>
      <c r="T291" s="137" t="s">
        <v>747</v>
      </c>
      <c r="U291" s="148" t="s">
        <v>445</v>
      </c>
      <c r="V291" s="148" t="s">
        <v>64</v>
      </c>
      <c r="W291" s="153">
        <v>11.5</v>
      </c>
      <c r="X291" s="133">
        <v>11</v>
      </c>
      <c r="Y291" s="81">
        <v>43102</v>
      </c>
      <c r="Z291" s="154">
        <v>28605675</v>
      </c>
      <c r="AA291" s="140"/>
      <c r="AB291" s="141">
        <v>16</v>
      </c>
      <c r="AC291" s="150">
        <v>43102</v>
      </c>
      <c r="AD291" s="143">
        <v>28605675</v>
      </c>
      <c r="AE291" s="143">
        <f t="shared" si="20"/>
        <v>0</v>
      </c>
      <c r="AF291" s="133">
        <v>496</v>
      </c>
      <c r="AG291" s="81">
        <v>43126</v>
      </c>
      <c r="AH291" s="143">
        <v>28605675</v>
      </c>
      <c r="AI291" s="63" t="s">
        <v>821</v>
      </c>
      <c r="AJ291" s="63">
        <v>425</v>
      </c>
      <c r="AK291" s="143">
        <f t="shared" si="26"/>
        <v>0</v>
      </c>
      <c r="AL291" s="143">
        <v>17577980</v>
      </c>
      <c r="AM291" s="143">
        <f t="shared" si="21"/>
        <v>11027695</v>
      </c>
      <c r="AN291" s="133"/>
      <c r="AO291" s="144">
        <f t="shared" si="22"/>
        <v>0</v>
      </c>
      <c r="AP291" s="133"/>
      <c r="AQ291" s="150">
        <v>43102</v>
      </c>
      <c r="AR291" s="133" t="s">
        <v>739</v>
      </c>
      <c r="AS291" s="150">
        <v>43102</v>
      </c>
      <c r="AT291" s="133" t="s">
        <v>740</v>
      </c>
      <c r="AU291" s="220"/>
      <c r="AV291" s="220"/>
      <c r="AW291" s="220"/>
    </row>
    <row r="292" spans="1:49" s="221" customFormat="1" ht="399" x14ac:dyDescent="0.25">
      <c r="A292" s="63">
        <f t="shared" si="25"/>
        <v>105</v>
      </c>
      <c r="B292" s="128" t="str">
        <f t="shared" si="23"/>
        <v>208-105</v>
      </c>
      <c r="C292" s="129" t="s">
        <v>713</v>
      </c>
      <c r="D292" s="130" t="s">
        <v>714</v>
      </c>
      <c r="E292" s="131" t="s">
        <v>715</v>
      </c>
      <c r="F292" s="111" t="s">
        <v>52</v>
      </c>
      <c r="G292" s="145" t="s">
        <v>53</v>
      </c>
      <c r="H292" s="111" t="s">
        <v>733</v>
      </c>
      <c r="I292" s="111" t="s">
        <v>55</v>
      </c>
      <c r="J292" s="111" t="s">
        <v>56</v>
      </c>
      <c r="K292" s="63">
        <v>801116</v>
      </c>
      <c r="L292" s="111" t="s">
        <v>720</v>
      </c>
      <c r="M292" s="111" t="s">
        <v>58</v>
      </c>
      <c r="N292" s="111" t="s">
        <v>59</v>
      </c>
      <c r="O292" s="111" t="s">
        <v>728</v>
      </c>
      <c r="P292" s="227" t="s">
        <v>822</v>
      </c>
      <c r="Q292" s="134">
        <f t="shared" si="24"/>
        <v>998070</v>
      </c>
      <c r="R292" s="146">
        <v>1</v>
      </c>
      <c r="S292" s="136">
        <v>11477805</v>
      </c>
      <c r="T292" s="137" t="s">
        <v>747</v>
      </c>
      <c r="U292" s="148" t="s">
        <v>445</v>
      </c>
      <c r="V292" s="148" t="s">
        <v>64</v>
      </c>
      <c r="W292" s="153">
        <v>11.5</v>
      </c>
      <c r="X292" s="133">
        <v>10</v>
      </c>
      <c r="Y292" s="81">
        <v>43102</v>
      </c>
      <c r="Z292" s="154">
        <v>11477805</v>
      </c>
      <c r="AA292" s="140"/>
      <c r="AB292" s="141">
        <v>93</v>
      </c>
      <c r="AC292" s="150">
        <v>43103</v>
      </c>
      <c r="AD292" s="143">
        <v>11477805</v>
      </c>
      <c r="AE292" s="143">
        <f t="shared" si="20"/>
        <v>0</v>
      </c>
      <c r="AF292" s="133">
        <v>4</v>
      </c>
      <c r="AG292" s="81">
        <v>43112</v>
      </c>
      <c r="AH292" s="143">
        <v>11477805</v>
      </c>
      <c r="AI292" s="63" t="s">
        <v>823</v>
      </c>
      <c r="AJ292" s="63">
        <v>7</v>
      </c>
      <c r="AK292" s="143">
        <f t="shared" si="26"/>
        <v>0</v>
      </c>
      <c r="AL292" s="143">
        <v>7518794.0999999996</v>
      </c>
      <c r="AM292" s="143">
        <f t="shared" si="21"/>
        <v>3959010.9000000004</v>
      </c>
      <c r="AN292" s="133"/>
      <c r="AO292" s="144">
        <f t="shared" si="22"/>
        <v>0</v>
      </c>
      <c r="AP292" s="133"/>
      <c r="AQ292" s="150">
        <v>43102</v>
      </c>
      <c r="AR292" s="133" t="s">
        <v>739</v>
      </c>
      <c r="AS292" s="150">
        <v>43102</v>
      </c>
      <c r="AT292" s="133" t="s">
        <v>740</v>
      </c>
      <c r="AU292" s="220"/>
      <c r="AV292" s="220"/>
      <c r="AW292" s="220"/>
    </row>
    <row r="293" spans="1:49" s="221" customFormat="1" ht="370.5" x14ac:dyDescent="0.25">
      <c r="A293" s="63">
        <f t="shared" si="25"/>
        <v>106</v>
      </c>
      <c r="B293" s="128" t="str">
        <f t="shared" si="23"/>
        <v>208-106</v>
      </c>
      <c r="C293" s="129" t="s">
        <v>713</v>
      </c>
      <c r="D293" s="130" t="s">
        <v>714</v>
      </c>
      <c r="E293" s="145" t="s">
        <v>725</v>
      </c>
      <c r="F293" s="111" t="s">
        <v>52</v>
      </c>
      <c r="G293" s="145" t="s">
        <v>53</v>
      </c>
      <c r="H293" s="111" t="s">
        <v>733</v>
      </c>
      <c r="I293" s="111" t="s">
        <v>55</v>
      </c>
      <c r="J293" s="111" t="s">
        <v>56</v>
      </c>
      <c r="K293" s="63">
        <v>801116</v>
      </c>
      <c r="L293" s="111" t="s">
        <v>720</v>
      </c>
      <c r="M293" s="111" t="s">
        <v>58</v>
      </c>
      <c r="N293" s="111" t="s">
        <v>59</v>
      </c>
      <c r="O293" s="111" t="s">
        <v>728</v>
      </c>
      <c r="P293" s="227" t="s">
        <v>822</v>
      </c>
      <c r="Q293" s="134">
        <f t="shared" si="24"/>
        <v>2328830</v>
      </c>
      <c r="R293" s="146">
        <v>1</v>
      </c>
      <c r="S293" s="136">
        <v>26781545</v>
      </c>
      <c r="T293" s="137" t="s">
        <v>747</v>
      </c>
      <c r="U293" s="148" t="s">
        <v>445</v>
      </c>
      <c r="V293" s="148" t="s">
        <v>64</v>
      </c>
      <c r="W293" s="153">
        <v>11.5</v>
      </c>
      <c r="X293" s="133">
        <v>9</v>
      </c>
      <c r="Y293" s="81">
        <v>43102</v>
      </c>
      <c r="Z293" s="154">
        <v>26781545</v>
      </c>
      <c r="AA293" s="140"/>
      <c r="AB293" s="141">
        <v>93</v>
      </c>
      <c r="AC293" s="150">
        <v>43103</v>
      </c>
      <c r="AD293" s="143">
        <v>26781545</v>
      </c>
      <c r="AE293" s="143">
        <f t="shared" si="20"/>
        <v>0</v>
      </c>
      <c r="AF293" s="133">
        <v>4</v>
      </c>
      <c r="AG293" s="81">
        <v>43112</v>
      </c>
      <c r="AH293" s="143">
        <v>26781545</v>
      </c>
      <c r="AI293" s="63" t="s">
        <v>823</v>
      </c>
      <c r="AJ293" s="63">
        <v>7</v>
      </c>
      <c r="AK293" s="143">
        <f t="shared" si="26"/>
        <v>0</v>
      </c>
      <c r="AL293" s="143">
        <v>17543852.899999999</v>
      </c>
      <c r="AM293" s="143">
        <f t="shared" si="21"/>
        <v>9237692.1000000015</v>
      </c>
      <c r="AN293" s="133"/>
      <c r="AO293" s="144">
        <f t="shared" si="22"/>
        <v>0</v>
      </c>
      <c r="AP293" s="133"/>
      <c r="AQ293" s="150">
        <v>43102</v>
      </c>
      <c r="AR293" s="133" t="s">
        <v>739</v>
      </c>
      <c r="AS293" s="150">
        <v>43102</v>
      </c>
      <c r="AT293" s="133" t="s">
        <v>740</v>
      </c>
      <c r="AU293" s="220"/>
      <c r="AV293" s="220"/>
      <c r="AW293" s="220"/>
    </row>
    <row r="294" spans="1:49" s="221" customFormat="1" ht="399" x14ac:dyDescent="0.25">
      <c r="A294" s="63">
        <f t="shared" si="25"/>
        <v>107</v>
      </c>
      <c r="B294" s="128" t="str">
        <f t="shared" si="23"/>
        <v>208-107</v>
      </c>
      <c r="C294" s="129" t="s">
        <v>713</v>
      </c>
      <c r="D294" s="130" t="s">
        <v>714</v>
      </c>
      <c r="E294" s="131" t="s">
        <v>715</v>
      </c>
      <c r="F294" s="111" t="s">
        <v>52</v>
      </c>
      <c r="G294" s="145" t="s">
        <v>53</v>
      </c>
      <c r="H294" s="111" t="s">
        <v>733</v>
      </c>
      <c r="I294" s="111" t="s">
        <v>55</v>
      </c>
      <c r="J294" s="111" t="s">
        <v>56</v>
      </c>
      <c r="K294" s="149">
        <v>801116</v>
      </c>
      <c r="L294" s="111" t="s">
        <v>720</v>
      </c>
      <c r="M294" s="111" t="s">
        <v>58</v>
      </c>
      <c r="N294" s="111" t="s">
        <v>59</v>
      </c>
      <c r="O294" s="111" t="s">
        <v>728</v>
      </c>
      <c r="P294" s="227" t="s">
        <v>342</v>
      </c>
      <c r="Q294" s="134">
        <f t="shared" si="24"/>
        <v>361328.4347826087</v>
      </c>
      <c r="R294" s="146">
        <v>1</v>
      </c>
      <c r="S294" s="136">
        <f>4344171-188894</f>
        <v>4155277</v>
      </c>
      <c r="T294" s="137" t="s">
        <v>747</v>
      </c>
      <c r="U294" s="148" t="s">
        <v>445</v>
      </c>
      <c r="V294" s="148" t="s">
        <v>64</v>
      </c>
      <c r="W294" s="153">
        <v>11.5</v>
      </c>
      <c r="X294" s="133">
        <v>8</v>
      </c>
      <c r="Y294" s="81">
        <v>43102</v>
      </c>
      <c r="Z294" s="154">
        <v>4344171</v>
      </c>
      <c r="AA294" s="140"/>
      <c r="AB294" s="141">
        <v>11</v>
      </c>
      <c r="AC294" s="150">
        <v>43102</v>
      </c>
      <c r="AD294" s="157">
        <v>4155277</v>
      </c>
      <c r="AE294" s="143">
        <f t="shared" si="20"/>
        <v>0</v>
      </c>
      <c r="AF294" s="133">
        <v>177</v>
      </c>
      <c r="AG294" s="81">
        <v>43118</v>
      </c>
      <c r="AH294" s="143">
        <v>4155277.5</v>
      </c>
      <c r="AI294" s="63" t="s">
        <v>344</v>
      </c>
      <c r="AJ294" s="63">
        <v>160</v>
      </c>
      <c r="AK294" s="143">
        <f t="shared" si="26"/>
        <v>-0.5</v>
      </c>
      <c r="AL294" s="143">
        <v>2807960.1</v>
      </c>
      <c r="AM294" s="143">
        <f t="shared" si="21"/>
        <v>1347317.4</v>
      </c>
      <c r="AN294" s="133"/>
      <c r="AO294" s="144">
        <f t="shared" si="22"/>
        <v>-0.5</v>
      </c>
      <c r="AP294" s="133"/>
      <c r="AQ294" s="150">
        <v>43102</v>
      </c>
      <c r="AR294" s="133" t="s">
        <v>739</v>
      </c>
      <c r="AS294" s="150">
        <v>43102</v>
      </c>
      <c r="AT294" s="133" t="s">
        <v>740</v>
      </c>
      <c r="AU294" s="220"/>
      <c r="AV294" s="220"/>
      <c r="AW294" s="220"/>
    </row>
    <row r="295" spans="1:49" s="221" customFormat="1" ht="370.5" x14ac:dyDescent="0.25">
      <c r="A295" s="63">
        <f t="shared" si="25"/>
        <v>108</v>
      </c>
      <c r="B295" s="128" t="str">
        <f t="shared" si="23"/>
        <v>208-108</v>
      </c>
      <c r="C295" s="129" t="s">
        <v>713</v>
      </c>
      <c r="D295" s="130" t="s">
        <v>714</v>
      </c>
      <c r="E295" s="145" t="s">
        <v>725</v>
      </c>
      <c r="F295" s="111" t="s">
        <v>52</v>
      </c>
      <c r="G295" s="145" t="s">
        <v>53</v>
      </c>
      <c r="H295" s="111" t="s">
        <v>733</v>
      </c>
      <c r="I295" s="111" t="s">
        <v>55</v>
      </c>
      <c r="J295" s="111" t="s">
        <v>56</v>
      </c>
      <c r="K295" s="149">
        <v>801116</v>
      </c>
      <c r="L295" s="111" t="s">
        <v>720</v>
      </c>
      <c r="M295" s="111" t="s">
        <v>58</v>
      </c>
      <c r="N295" s="111" t="s">
        <v>59</v>
      </c>
      <c r="O295" s="111" t="s">
        <v>728</v>
      </c>
      <c r="P295" s="227" t="s">
        <v>342</v>
      </c>
      <c r="Q295" s="134">
        <f t="shared" si="24"/>
        <v>843099.82608695654</v>
      </c>
      <c r="R295" s="146">
        <v>1</v>
      </c>
      <c r="S295" s="136">
        <f>10136399-440751</f>
        <v>9695648</v>
      </c>
      <c r="T295" s="137" t="s">
        <v>747</v>
      </c>
      <c r="U295" s="148" t="s">
        <v>445</v>
      </c>
      <c r="V295" s="148" t="s">
        <v>64</v>
      </c>
      <c r="W295" s="153">
        <v>11.5</v>
      </c>
      <c r="X295" s="133">
        <v>7</v>
      </c>
      <c r="Y295" s="81">
        <v>43102</v>
      </c>
      <c r="Z295" s="154">
        <v>10136399</v>
      </c>
      <c r="AA295" s="140"/>
      <c r="AB295" s="141">
        <v>11</v>
      </c>
      <c r="AC295" s="150">
        <v>43102</v>
      </c>
      <c r="AD295" s="157">
        <v>9695648</v>
      </c>
      <c r="AE295" s="143">
        <f t="shared" si="20"/>
        <v>0</v>
      </c>
      <c r="AF295" s="133">
        <v>177</v>
      </c>
      <c r="AG295" s="81">
        <v>43118</v>
      </c>
      <c r="AH295" s="143">
        <v>9695647.5</v>
      </c>
      <c r="AI295" s="63" t="s">
        <v>344</v>
      </c>
      <c r="AJ295" s="63">
        <v>160</v>
      </c>
      <c r="AK295" s="143">
        <f t="shared" si="26"/>
        <v>0.5</v>
      </c>
      <c r="AL295" s="143">
        <v>6551906.8999999994</v>
      </c>
      <c r="AM295" s="143">
        <f t="shared" si="21"/>
        <v>3143740.6000000006</v>
      </c>
      <c r="AN295" s="133"/>
      <c r="AO295" s="144">
        <f t="shared" si="22"/>
        <v>0.5</v>
      </c>
      <c r="AP295" s="133"/>
      <c r="AQ295" s="150">
        <v>43102</v>
      </c>
      <c r="AR295" s="133" t="s">
        <v>739</v>
      </c>
      <c r="AS295" s="150">
        <v>43102</v>
      </c>
      <c r="AT295" s="133" t="s">
        <v>740</v>
      </c>
      <c r="AU295" s="220"/>
      <c r="AV295" s="220"/>
      <c r="AW295" s="220"/>
    </row>
    <row r="296" spans="1:49" s="221" customFormat="1" ht="399" x14ac:dyDescent="0.25">
      <c r="A296" s="63">
        <f t="shared" si="25"/>
        <v>109</v>
      </c>
      <c r="B296" s="128" t="str">
        <f t="shared" si="23"/>
        <v>208-109</v>
      </c>
      <c r="C296" s="129" t="s">
        <v>713</v>
      </c>
      <c r="D296" s="130" t="s">
        <v>714</v>
      </c>
      <c r="E296" s="131" t="s">
        <v>715</v>
      </c>
      <c r="F296" s="111" t="s">
        <v>52</v>
      </c>
      <c r="G296" s="145" t="s">
        <v>53</v>
      </c>
      <c r="H296" s="111" t="s">
        <v>733</v>
      </c>
      <c r="I296" s="111" t="s">
        <v>55</v>
      </c>
      <c r="J296" s="111" t="s">
        <v>56</v>
      </c>
      <c r="K296" s="63">
        <v>801116</v>
      </c>
      <c r="L296" s="111" t="s">
        <v>720</v>
      </c>
      <c r="M296" s="111" t="s">
        <v>58</v>
      </c>
      <c r="N296" s="111" t="s">
        <v>59</v>
      </c>
      <c r="O296" s="111" t="s">
        <v>728</v>
      </c>
      <c r="P296" s="227" t="s">
        <v>824</v>
      </c>
      <c r="Q296" s="134">
        <f t="shared" si="24"/>
        <v>295565.21739130432</v>
      </c>
      <c r="R296" s="146">
        <v>1</v>
      </c>
      <c r="S296" s="136">
        <f>3553500-154500</f>
        <v>3399000</v>
      </c>
      <c r="T296" s="137" t="s">
        <v>747</v>
      </c>
      <c r="U296" s="148" t="s">
        <v>445</v>
      </c>
      <c r="V296" s="148" t="s">
        <v>64</v>
      </c>
      <c r="W296" s="153">
        <v>11.5</v>
      </c>
      <c r="X296" s="133" t="s">
        <v>825</v>
      </c>
      <c r="Y296" s="81">
        <v>43115</v>
      </c>
      <c r="Z296" s="154">
        <v>3553500</v>
      </c>
      <c r="AA296" s="140"/>
      <c r="AB296" s="141">
        <v>502</v>
      </c>
      <c r="AC296" s="150">
        <v>43116</v>
      </c>
      <c r="AD296" s="143">
        <v>3399000</v>
      </c>
      <c r="AE296" s="143">
        <f t="shared" si="20"/>
        <v>0</v>
      </c>
      <c r="AF296" s="133">
        <v>404</v>
      </c>
      <c r="AG296" s="81">
        <v>43124</v>
      </c>
      <c r="AH296" s="143">
        <v>3399000</v>
      </c>
      <c r="AI296" s="63" t="s">
        <v>348</v>
      </c>
      <c r="AJ296" s="63">
        <v>304</v>
      </c>
      <c r="AK296" s="143">
        <f t="shared" si="26"/>
        <v>0</v>
      </c>
      <c r="AL296" s="143">
        <v>2235099.9</v>
      </c>
      <c r="AM296" s="143">
        <f t="shared" si="21"/>
        <v>1163900.1000000001</v>
      </c>
      <c r="AN296" s="133"/>
      <c r="AO296" s="144">
        <f t="shared" si="22"/>
        <v>0</v>
      </c>
      <c r="AP296" s="133"/>
      <c r="AQ296" s="63" t="s">
        <v>826</v>
      </c>
      <c r="AR296" s="133" t="s">
        <v>739</v>
      </c>
      <c r="AS296" s="63" t="s">
        <v>826</v>
      </c>
      <c r="AT296" s="133" t="s">
        <v>740</v>
      </c>
      <c r="AU296" s="220"/>
      <c r="AV296" s="220"/>
      <c r="AW296" s="220"/>
    </row>
    <row r="297" spans="1:49" s="221" customFormat="1" ht="370.5" x14ac:dyDescent="0.25">
      <c r="A297" s="63">
        <f t="shared" si="25"/>
        <v>110</v>
      </c>
      <c r="B297" s="128" t="str">
        <f t="shared" si="23"/>
        <v>208-110</v>
      </c>
      <c r="C297" s="129" t="s">
        <v>713</v>
      </c>
      <c r="D297" s="130" t="s">
        <v>714</v>
      </c>
      <c r="E297" s="145" t="s">
        <v>725</v>
      </c>
      <c r="F297" s="111" t="s">
        <v>52</v>
      </c>
      <c r="G297" s="145" t="s">
        <v>53</v>
      </c>
      <c r="H297" s="111" t="s">
        <v>733</v>
      </c>
      <c r="I297" s="111" t="s">
        <v>55</v>
      </c>
      <c r="J297" s="111" t="s">
        <v>56</v>
      </c>
      <c r="K297" s="63">
        <v>801116</v>
      </c>
      <c r="L297" s="111" t="s">
        <v>720</v>
      </c>
      <c r="M297" s="111" t="s">
        <v>58</v>
      </c>
      <c r="N297" s="111" t="s">
        <v>59</v>
      </c>
      <c r="O297" s="111" t="s">
        <v>728</v>
      </c>
      <c r="P297" s="227" t="s">
        <v>824</v>
      </c>
      <c r="Q297" s="134">
        <f t="shared" si="24"/>
        <v>689652.17391304346</v>
      </c>
      <c r="R297" s="146">
        <v>1</v>
      </c>
      <c r="S297" s="136">
        <f>8291500-360500</f>
        <v>7931000</v>
      </c>
      <c r="T297" s="137" t="s">
        <v>747</v>
      </c>
      <c r="U297" s="148" t="s">
        <v>445</v>
      </c>
      <c r="V297" s="148" t="s">
        <v>64</v>
      </c>
      <c r="W297" s="153">
        <v>11.5</v>
      </c>
      <c r="X297" s="133" t="s">
        <v>827</v>
      </c>
      <c r="Y297" s="81">
        <v>43115</v>
      </c>
      <c r="Z297" s="154">
        <v>8291500</v>
      </c>
      <c r="AA297" s="140"/>
      <c r="AB297" s="141">
        <v>502</v>
      </c>
      <c r="AC297" s="150">
        <v>43116</v>
      </c>
      <c r="AD297" s="143">
        <v>7930999.9999999991</v>
      </c>
      <c r="AE297" s="143">
        <f t="shared" si="20"/>
        <v>0</v>
      </c>
      <c r="AF297" s="133">
        <v>404</v>
      </c>
      <c r="AG297" s="81">
        <v>43124</v>
      </c>
      <c r="AH297" s="143">
        <v>7930999.9999999991</v>
      </c>
      <c r="AI297" s="63" t="s">
        <v>348</v>
      </c>
      <c r="AJ297" s="63">
        <v>304</v>
      </c>
      <c r="AK297" s="143">
        <f t="shared" si="26"/>
        <v>0</v>
      </c>
      <c r="AL297" s="143">
        <v>5215233.0999999996</v>
      </c>
      <c r="AM297" s="143">
        <f t="shared" si="21"/>
        <v>2715766.8999999994</v>
      </c>
      <c r="AN297" s="133"/>
      <c r="AO297" s="144">
        <f t="shared" si="22"/>
        <v>0</v>
      </c>
      <c r="AP297" s="133"/>
      <c r="AQ297" s="63" t="s">
        <v>826</v>
      </c>
      <c r="AR297" s="133" t="s">
        <v>739</v>
      </c>
      <c r="AS297" s="63" t="s">
        <v>826</v>
      </c>
      <c r="AT297" s="133" t="s">
        <v>740</v>
      </c>
      <c r="AU297" s="220"/>
      <c r="AV297" s="220"/>
      <c r="AW297" s="220"/>
    </row>
    <row r="298" spans="1:49" s="221" customFormat="1" ht="399" x14ac:dyDescent="0.25">
      <c r="A298" s="63">
        <f t="shared" si="25"/>
        <v>111</v>
      </c>
      <c r="B298" s="128" t="str">
        <f t="shared" si="23"/>
        <v>208-111</v>
      </c>
      <c r="C298" s="129" t="s">
        <v>713</v>
      </c>
      <c r="D298" s="130" t="s">
        <v>714</v>
      </c>
      <c r="E298" s="131" t="s">
        <v>715</v>
      </c>
      <c r="F298" s="111" t="s">
        <v>52</v>
      </c>
      <c r="G298" s="145" t="s">
        <v>53</v>
      </c>
      <c r="H298" s="111" t="s">
        <v>733</v>
      </c>
      <c r="I298" s="111" t="s">
        <v>55</v>
      </c>
      <c r="J298" s="111" t="s">
        <v>56</v>
      </c>
      <c r="K298" s="149">
        <v>801116</v>
      </c>
      <c r="L298" s="111" t="s">
        <v>720</v>
      </c>
      <c r="M298" s="111" t="s">
        <v>58</v>
      </c>
      <c r="N298" s="111" t="s">
        <v>59</v>
      </c>
      <c r="O298" s="111" t="s">
        <v>728</v>
      </c>
      <c r="P298" s="227" t="s">
        <v>386</v>
      </c>
      <c r="Q298" s="134">
        <f t="shared" si="24"/>
        <v>254924.95652173914</v>
      </c>
      <c r="R298" s="146">
        <v>1</v>
      </c>
      <c r="S298" s="136">
        <f>3064911-133274</f>
        <v>2931637</v>
      </c>
      <c r="T298" s="137" t="s">
        <v>747</v>
      </c>
      <c r="U298" s="148" t="s">
        <v>445</v>
      </c>
      <c r="V298" s="148" t="s">
        <v>64</v>
      </c>
      <c r="W298" s="153">
        <v>11.5</v>
      </c>
      <c r="X298" s="133">
        <v>4</v>
      </c>
      <c r="Y298" s="81">
        <v>43102</v>
      </c>
      <c r="Z298" s="154">
        <v>3064911</v>
      </c>
      <c r="AA298" s="140"/>
      <c r="AB298" s="141">
        <v>5</v>
      </c>
      <c r="AC298" s="150">
        <v>43102</v>
      </c>
      <c r="AD298" s="151">
        <v>2931637</v>
      </c>
      <c r="AE298" s="143">
        <f t="shared" si="20"/>
        <v>0</v>
      </c>
      <c r="AF298" s="133">
        <v>293</v>
      </c>
      <c r="AG298" s="81">
        <v>43122</v>
      </c>
      <c r="AH298" s="151">
        <v>2931637.5</v>
      </c>
      <c r="AI298" s="63" t="s">
        <v>388</v>
      </c>
      <c r="AJ298" s="63">
        <v>261</v>
      </c>
      <c r="AK298" s="143">
        <f t="shared" si="26"/>
        <v>-0.5</v>
      </c>
      <c r="AL298" s="143">
        <v>1945548.5999999999</v>
      </c>
      <c r="AM298" s="143">
        <f t="shared" si="21"/>
        <v>986088.90000000014</v>
      </c>
      <c r="AN298" s="133"/>
      <c r="AO298" s="144">
        <f t="shared" si="22"/>
        <v>-0.5</v>
      </c>
      <c r="AP298" s="133"/>
      <c r="AQ298" s="150">
        <v>43102</v>
      </c>
      <c r="AR298" s="133" t="s">
        <v>739</v>
      </c>
      <c r="AS298" s="150">
        <v>43102</v>
      </c>
      <c r="AT298" s="133" t="s">
        <v>740</v>
      </c>
      <c r="AU298" s="220"/>
      <c r="AV298" s="220"/>
      <c r="AW298" s="220"/>
    </row>
    <row r="299" spans="1:49" s="221" customFormat="1" ht="370.5" x14ac:dyDescent="0.25">
      <c r="A299" s="63">
        <f t="shared" si="25"/>
        <v>112</v>
      </c>
      <c r="B299" s="128" t="str">
        <f t="shared" si="23"/>
        <v>208-112</v>
      </c>
      <c r="C299" s="129" t="s">
        <v>713</v>
      </c>
      <c r="D299" s="130" t="s">
        <v>714</v>
      </c>
      <c r="E299" s="145" t="s">
        <v>725</v>
      </c>
      <c r="F299" s="111" t="s">
        <v>52</v>
      </c>
      <c r="G299" s="145" t="s">
        <v>53</v>
      </c>
      <c r="H299" s="111" t="s">
        <v>733</v>
      </c>
      <c r="I299" s="111" t="s">
        <v>55</v>
      </c>
      <c r="J299" s="111" t="s">
        <v>56</v>
      </c>
      <c r="K299" s="149">
        <v>801116</v>
      </c>
      <c r="L299" s="111" t="s">
        <v>720</v>
      </c>
      <c r="M299" s="111" t="s">
        <v>58</v>
      </c>
      <c r="N299" s="111" t="s">
        <v>59</v>
      </c>
      <c r="O299" s="111" t="s">
        <v>728</v>
      </c>
      <c r="P299" s="227" t="s">
        <v>386</v>
      </c>
      <c r="Q299" s="134">
        <f t="shared" si="24"/>
        <v>594825.04347826086</v>
      </c>
      <c r="R299" s="146">
        <v>1</v>
      </c>
      <c r="S299" s="136">
        <f>7151459-310971</f>
        <v>6840488</v>
      </c>
      <c r="T299" s="137" t="s">
        <v>747</v>
      </c>
      <c r="U299" s="148" t="s">
        <v>445</v>
      </c>
      <c r="V299" s="148" t="s">
        <v>64</v>
      </c>
      <c r="W299" s="153">
        <v>11.5</v>
      </c>
      <c r="X299" s="133">
        <v>3</v>
      </c>
      <c r="Y299" s="81">
        <v>43102</v>
      </c>
      <c r="Z299" s="154">
        <v>7151459</v>
      </c>
      <c r="AA299" s="140"/>
      <c r="AB299" s="141">
        <v>5</v>
      </c>
      <c r="AC299" s="150">
        <v>43102</v>
      </c>
      <c r="AD299" s="151">
        <v>6840488</v>
      </c>
      <c r="AE299" s="143">
        <f t="shared" si="20"/>
        <v>0</v>
      </c>
      <c r="AF299" s="133">
        <v>293</v>
      </c>
      <c r="AG299" s="81">
        <v>43122</v>
      </c>
      <c r="AH299" s="151">
        <v>6840487.5</v>
      </c>
      <c r="AI299" s="63" t="s">
        <v>388</v>
      </c>
      <c r="AJ299" s="63">
        <v>261</v>
      </c>
      <c r="AK299" s="143">
        <f t="shared" si="26"/>
        <v>0.5</v>
      </c>
      <c r="AL299" s="143">
        <v>4539613.3999999994</v>
      </c>
      <c r="AM299" s="143">
        <f t="shared" si="21"/>
        <v>2300874.1000000006</v>
      </c>
      <c r="AN299" s="133"/>
      <c r="AO299" s="144">
        <f t="shared" si="22"/>
        <v>0.5</v>
      </c>
      <c r="AP299" s="133"/>
      <c r="AQ299" s="150">
        <v>43102</v>
      </c>
      <c r="AR299" s="133" t="s">
        <v>739</v>
      </c>
      <c r="AS299" s="150">
        <v>43102</v>
      </c>
      <c r="AT299" s="133" t="s">
        <v>740</v>
      </c>
      <c r="AU299" s="220"/>
      <c r="AV299" s="220"/>
      <c r="AW299" s="220"/>
    </row>
    <row r="300" spans="1:49" s="221" customFormat="1" ht="399" x14ac:dyDescent="0.25">
      <c r="A300" s="63">
        <f t="shared" si="25"/>
        <v>113</v>
      </c>
      <c r="B300" s="128" t="str">
        <f t="shared" si="23"/>
        <v>208-113</v>
      </c>
      <c r="C300" s="129" t="s">
        <v>713</v>
      </c>
      <c r="D300" s="130" t="s">
        <v>714</v>
      </c>
      <c r="E300" s="131" t="s">
        <v>715</v>
      </c>
      <c r="F300" s="111" t="s">
        <v>52</v>
      </c>
      <c r="G300" s="145" t="s">
        <v>53</v>
      </c>
      <c r="H300" s="111" t="s">
        <v>733</v>
      </c>
      <c r="I300" s="111" t="s">
        <v>55</v>
      </c>
      <c r="J300" s="111" t="s">
        <v>56</v>
      </c>
      <c r="K300" s="63">
        <v>801116</v>
      </c>
      <c r="L300" s="111" t="s">
        <v>720</v>
      </c>
      <c r="M300" s="111" t="s">
        <v>58</v>
      </c>
      <c r="N300" s="111" t="s">
        <v>59</v>
      </c>
      <c r="O300" s="111" t="s">
        <v>728</v>
      </c>
      <c r="P300" s="227" t="s">
        <v>828</v>
      </c>
      <c r="Q300" s="134">
        <f t="shared" si="24"/>
        <v>618000</v>
      </c>
      <c r="R300" s="146">
        <v>1</v>
      </c>
      <c r="S300" s="136">
        <v>7107000</v>
      </c>
      <c r="T300" s="137" t="s">
        <v>747</v>
      </c>
      <c r="U300" s="148" t="s">
        <v>445</v>
      </c>
      <c r="V300" s="148" t="s">
        <v>64</v>
      </c>
      <c r="W300" s="153">
        <v>11.5</v>
      </c>
      <c r="X300" s="133">
        <v>2</v>
      </c>
      <c r="Y300" s="81">
        <v>43102</v>
      </c>
      <c r="Z300" s="154">
        <v>7107000</v>
      </c>
      <c r="AA300" s="140"/>
      <c r="AB300" s="141">
        <v>3</v>
      </c>
      <c r="AC300" s="150">
        <v>43102</v>
      </c>
      <c r="AD300" s="143">
        <v>7107000</v>
      </c>
      <c r="AE300" s="143">
        <f t="shared" si="20"/>
        <v>0</v>
      </c>
      <c r="AF300" s="133">
        <v>152</v>
      </c>
      <c r="AG300" s="81">
        <v>43117</v>
      </c>
      <c r="AH300" s="143">
        <v>7107000</v>
      </c>
      <c r="AI300" s="63" t="s">
        <v>324</v>
      </c>
      <c r="AJ300" s="63">
        <v>155</v>
      </c>
      <c r="AK300" s="143">
        <f t="shared" si="26"/>
        <v>0</v>
      </c>
      <c r="AL300" s="143">
        <v>4593800.7</v>
      </c>
      <c r="AM300" s="143">
        <f t="shared" si="21"/>
        <v>2513199.2999999998</v>
      </c>
      <c r="AN300" s="133"/>
      <c r="AO300" s="144">
        <f t="shared" si="22"/>
        <v>0</v>
      </c>
      <c r="AP300" s="133"/>
      <c r="AQ300" s="150">
        <v>43102</v>
      </c>
      <c r="AR300" s="133" t="s">
        <v>739</v>
      </c>
      <c r="AS300" s="150">
        <v>43102</v>
      </c>
      <c r="AT300" s="133" t="s">
        <v>740</v>
      </c>
      <c r="AU300" s="220"/>
      <c r="AV300" s="220"/>
      <c r="AW300" s="220"/>
    </row>
    <row r="301" spans="1:49" s="221" customFormat="1" ht="370.5" x14ac:dyDescent="0.25">
      <c r="A301" s="63">
        <f t="shared" si="25"/>
        <v>114</v>
      </c>
      <c r="B301" s="128" t="str">
        <f t="shared" si="23"/>
        <v>208-114</v>
      </c>
      <c r="C301" s="129" t="s">
        <v>713</v>
      </c>
      <c r="D301" s="130" t="s">
        <v>714</v>
      </c>
      <c r="E301" s="145" t="s">
        <v>725</v>
      </c>
      <c r="F301" s="111" t="s">
        <v>52</v>
      </c>
      <c r="G301" s="145" t="s">
        <v>53</v>
      </c>
      <c r="H301" s="111" t="s">
        <v>733</v>
      </c>
      <c r="I301" s="111" t="s">
        <v>55</v>
      </c>
      <c r="J301" s="111" t="s">
        <v>56</v>
      </c>
      <c r="K301" s="63">
        <v>801116</v>
      </c>
      <c r="L301" s="111" t="s">
        <v>720</v>
      </c>
      <c r="M301" s="111" t="s">
        <v>58</v>
      </c>
      <c r="N301" s="111" t="s">
        <v>59</v>
      </c>
      <c r="O301" s="111" t="s">
        <v>728</v>
      </c>
      <c r="P301" s="227" t="s">
        <v>828</v>
      </c>
      <c r="Q301" s="134">
        <f t="shared" si="24"/>
        <v>1442000</v>
      </c>
      <c r="R301" s="146">
        <v>1</v>
      </c>
      <c r="S301" s="136">
        <v>16583000</v>
      </c>
      <c r="T301" s="137" t="s">
        <v>747</v>
      </c>
      <c r="U301" s="148" t="s">
        <v>445</v>
      </c>
      <c r="V301" s="148" t="s">
        <v>64</v>
      </c>
      <c r="W301" s="153">
        <v>11.5</v>
      </c>
      <c r="X301" s="133">
        <v>1</v>
      </c>
      <c r="Y301" s="81">
        <v>43102</v>
      </c>
      <c r="Z301" s="154">
        <v>16583000</v>
      </c>
      <c r="AA301" s="140"/>
      <c r="AB301" s="141">
        <v>3</v>
      </c>
      <c r="AC301" s="150">
        <v>43102</v>
      </c>
      <c r="AD301" s="143">
        <v>16583000</v>
      </c>
      <c r="AE301" s="143">
        <f t="shared" si="20"/>
        <v>0</v>
      </c>
      <c r="AF301" s="133">
        <v>152</v>
      </c>
      <c r="AG301" s="81">
        <v>43117</v>
      </c>
      <c r="AH301" s="143">
        <v>16583000</v>
      </c>
      <c r="AI301" s="63" t="s">
        <v>324</v>
      </c>
      <c r="AJ301" s="63">
        <v>155</v>
      </c>
      <c r="AK301" s="143">
        <f t="shared" si="26"/>
        <v>0</v>
      </c>
      <c r="AL301" s="143">
        <v>10718868.299999999</v>
      </c>
      <c r="AM301" s="143">
        <f t="shared" si="21"/>
        <v>5864131.7000000011</v>
      </c>
      <c r="AN301" s="133"/>
      <c r="AO301" s="144">
        <f t="shared" si="22"/>
        <v>0</v>
      </c>
      <c r="AP301" s="133"/>
      <c r="AQ301" s="150">
        <v>43102</v>
      </c>
      <c r="AR301" s="133" t="s">
        <v>739</v>
      </c>
      <c r="AS301" s="150">
        <v>43102</v>
      </c>
      <c r="AT301" s="133" t="s">
        <v>740</v>
      </c>
      <c r="AU301" s="220"/>
      <c r="AV301" s="220"/>
      <c r="AW301" s="220"/>
    </row>
    <row r="302" spans="1:49" s="221" customFormat="1" ht="399" x14ac:dyDescent="0.25">
      <c r="A302" s="63">
        <f t="shared" si="25"/>
        <v>115</v>
      </c>
      <c r="B302" s="128" t="str">
        <f t="shared" si="23"/>
        <v>208-115</v>
      </c>
      <c r="C302" s="129" t="s">
        <v>713</v>
      </c>
      <c r="D302" s="130" t="s">
        <v>714</v>
      </c>
      <c r="E302" s="131" t="s">
        <v>715</v>
      </c>
      <c r="F302" s="111" t="s">
        <v>52</v>
      </c>
      <c r="G302" s="145" t="s">
        <v>53</v>
      </c>
      <c r="H302" s="111" t="s">
        <v>733</v>
      </c>
      <c r="I302" s="111" t="s">
        <v>55</v>
      </c>
      <c r="J302" s="111" t="s">
        <v>56</v>
      </c>
      <c r="K302" s="63">
        <v>801116</v>
      </c>
      <c r="L302" s="111" t="s">
        <v>720</v>
      </c>
      <c r="M302" s="111" t="s">
        <v>58</v>
      </c>
      <c r="N302" s="111" t="s">
        <v>59</v>
      </c>
      <c r="O302" s="111" t="s">
        <v>728</v>
      </c>
      <c r="P302" s="227" t="s">
        <v>829</v>
      </c>
      <c r="Q302" s="134">
        <f t="shared" si="24"/>
        <v>65452626</v>
      </c>
      <c r="R302" s="146">
        <v>1</v>
      </c>
      <c r="S302" s="134">
        <f>78571926-2719200-10400100</f>
        <v>65452626</v>
      </c>
      <c r="T302" s="137" t="s">
        <v>747</v>
      </c>
      <c r="U302" s="148" t="s">
        <v>445</v>
      </c>
      <c r="V302" s="148" t="s">
        <v>830</v>
      </c>
      <c r="W302" s="153">
        <v>1</v>
      </c>
      <c r="X302" s="133"/>
      <c r="Y302" s="63"/>
      <c r="Z302" s="150"/>
      <c r="AA302" s="140"/>
      <c r="AB302" s="141"/>
      <c r="AC302" s="142"/>
      <c r="AD302" s="143"/>
      <c r="AE302" s="143">
        <f t="shared" si="20"/>
        <v>65452626</v>
      </c>
      <c r="AF302" s="133"/>
      <c r="AG302" s="85"/>
      <c r="AH302" s="143"/>
      <c r="AI302" s="63"/>
      <c r="AJ302" s="63"/>
      <c r="AK302" s="143">
        <f t="shared" si="26"/>
        <v>0</v>
      </c>
      <c r="AL302" s="143"/>
      <c r="AM302" s="143">
        <f t="shared" si="21"/>
        <v>0</v>
      </c>
      <c r="AN302" s="133"/>
      <c r="AO302" s="144">
        <f t="shared" si="22"/>
        <v>65452626</v>
      </c>
      <c r="AP302" s="133"/>
      <c r="AQ302" s="133"/>
      <c r="AR302" s="133"/>
      <c r="AS302" s="133"/>
      <c r="AT302" s="133"/>
      <c r="AU302" s="220"/>
      <c r="AV302" s="220"/>
      <c r="AW302" s="220"/>
    </row>
    <row r="303" spans="1:49" s="221" customFormat="1" ht="370.5" x14ac:dyDescent="0.25">
      <c r="A303" s="63">
        <f t="shared" si="25"/>
        <v>116</v>
      </c>
      <c r="B303" s="128" t="str">
        <f t="shared" si="23"/>
        <v>208-116</v>
      </c>
      <c r="C303" s="129" t="s">
        <v>713</v>
      </c>
      <c r="D303" s="130" t="s">
        <v>714</v>
      </c>
      <c r="E303" s="145" t="s">
        <v>725</v>
      </c>
      <c r="F303" s="111" t="s">
        <v>52</v>
      </c>
      <c r="G303" s="145" t="s">
        <v>53</v>
      </c>
      <c r="H303" s="111" t="s">
        <v>733</v>
      </c>
      <c r="I303" s="111" t="s">
        <v>55</v>
      </c>
      <c r="J303" s="111" t="s">
        <v>56</v>
      </c>
      <c r="K303" s="63">
        <v>801116</v>
      </c>
      <c r="L303" s="111" t="s">
        <v>720</v>
      </c>
      <c r="M303" s="111" t="s">
        <v>58</v>
      </c>
      <c r="N303" s="111" t="s">
        <v>59</v>
      </c>
      <c r="O303" s="111" t="s">
        <v>728</v>
      </c>
      <c r="P303" s="227" t="s">
        <v>829</v>
      </c>
      <c r="Q303" s="134">
        <f t="shared" si="24"/>
        <v>152724541</v>
      </c>
      <c r="R303" s="146">
        <v>1</v>
      </c>
      <c r="S303" s="134">
        <f>183337991-1750-6344800-24266900</f>
        <v>152724541</v>
      </c>
      <c r="T303" s="137" t="s">
        <v>747</v>
      </c>
      <c r="U303" s="148" t="s">
        <v>445</v>
      </c>
      <c r="V303" s="148" t="s">
        <v>830</v>
      </c>
      <c r="W303" s="153">
        <v>1</v>
      </c>
      <c r="X303" s="133"/>
      <c r="Y303" s="63"/>
      <c r="Z303" s="136"/>
      <c r="AA303" s="140"/>
      <c r="AB303" s="141"/>
      <c r="AC303" s="142"/>
      <c r="AD303" s="143"/>
      <c r="AE303" s="143">
        <f t="shared" si="20"/>
        <v>152724541</v>
      </c>
      <c r="AF303" s="133"/>
      <c r="AG303" s="85"/>
      <c r="AH303" s="143"/>
      <c r="AI303" s="63"/>
      <c r="AJ303" s="63"/>
      <c r="AK303" s="143">
        <f t="shared" si="26"/>
        <v>0</v>
      </c>
      <c r="AL303" s="143"/>
      <c r="AM303" s="143">
        <f t="shared" si="21"/>
        <v>0</v>
      </c>
      <c r="AN303" s="133"/>
      <c r="AO303" s="144">
        <f t="shared" si="22"/>
        <v>152724541</v>
      </c>
      <c r="AP303" s="133"/>
      <c r="AQ303" s="133"/>
      <c r="AR303" s="133"/>
      <c r="AS303" s="133"/>
      <c r="AT303" s="133"/>
      <c r="AU303" s="220"/>
      <c r="AV303" s="220"/>
      <c r="AW303" s="220"/>
    </row>
    <row r="304" spans="1:49" s="221" customFormat="1" ht="399" x14ac:dyDescent="0.25">
      <c r="A304" s="63">
        <f t="shared" si="25"/>
        <v>117</v>
      </c>
      <c r="B304" s="128" t="str">
        <f t="shared" si="23"/>
        <v>208-117</v>
      </c>
      <c r="C304" s="129" t="s">
        <v>713</v>
      </c>
      <c r="D304" s="130" t="s">
        <v>714</v>
      </c>
      <c r="E304" s="131" t="s">
        <v>715</v>
      </c>
      <c r="F304" s="111" t="s">
        <v>52</v>
      </c>
      <c r="G304" s="145" t="s">
        <v>53</v>
      </c>
      <c r="H304" s="111" t="s">
        <v>733</v>
      </c>
      <c r="I304" s="111" t="s">
        <v>55</v>
      </c>
      <c r="J304" s="111" t="s">
        <v>56</v>
      </c>
      <c r="K304" s="63">
        <v>801116</v>
      </c>
      <c r="L304" s="111" t="s">
        <v>720</v>
      </c>
      <c r="M304" s="111" t="s">
        <v>58</v>
      </c>
      <c r="N304" s="111" t="s">
        <v>59</v>
      </c>
      <c r="O304" s="111" t="s">
        <v>728</v>
      </c>
      <c r="P304" s="227" t="s">
        <v>782</v>
      </c>
      <c r="Q304" s="134">
        <f t="shared" si="24"/>
        <v>0</v>
      </c>
      <c r="R304" s="146">
        <v>1</v>
      </c>
      <c r="S304" s="136">
        <f>11216700-11216700</f>
        <v>0</v>
      </c>
      <c r="T304" s="137" t="s">
        <v>747</v>
      </c>
      <c r="U304" s="148" t="s">
        <v>445</v>
      </c>
      <c r="V304" s="148" t="s">
        <v>64</v>
      </c>
      <c r="W304" s="153">
        <v>11.5</v>
      </c>
      <c r="X304" s="133" t="s">
        <v>831</v>
      </c>
      <c r="Y304" s="81"/>
      <c r="Z304" s="154"/>
      <c r="AA304" s="140"/>
      <c r="AB304" s="141"/>
      <c r="AC304" s="142"/>
      <c r="AD304" s="143"/>
      <c r="AE304" s="143">
        <f t="shared" si="20"/>
        <v>0</v>
      </c>
      <c r="AF304" s="133"/>
      <c r="AG304" s="85"/>
      <c r="AH304" s="143"/>
      <c r="AI304" s="63"/>
      <c r="AJ304" s="63"/>
      <c r="AK304" s="143">
        <f t="shared" si="26"/>
        <v>0</v>
      </c>
      <c r="AL304" s="143"/>
      <c r="AM304" s="143">
        <f t="shared" si="21"/>
        <v>0</v>
      </c>
      <c r="AN304" s="133"/>
      <c r="AO304" s="144">
        <f t="shared" si="22"/>
        <v>0</v>
      </c>
      <c r="AP304" s="133"/>
      <c r="AQ304" s="150">
        <v>43118</v>
      </c>
      <c r="AR304" s="133" t="s">
        <v>739</v>
      </c>
      <c r="AS304" s="150">
        <v>43118</v>
      </c>
      <c r="AT304" s="133" t="s">
        <v>740</v>
      </c>
      <c r="AU304" s="220"/>
      <c r="AV304" s="220"/>
      <c r="AW304" s="220"/>
    </row>
    <row r="305" spans="1:49" s="221" customFormat="1" ht="370.5" x14ac:dyDescent="0.25">
      <c r="A305" s="63">
        <f t="shared" si="25"/>
        <v>118</v>
      </c>
      <c r="B305" s="128" t="str">
        <f t="shared" si="23"/>
        <v>208-118</v>
      </c>
      <c r="C305" s="129" t="s">
        <v>713</v>
      </c>
      <c r="D305" s="130" t="s">
        <v>714</v>
      </c>
      <c r="E305" s="145" t="s">
        <v>725</v>
      </c>
      <c r="F305" s="111" t="s">
        <v>52</v>
      </c>
      <c r="G305" s="145" t="s">
        <v>53</v>
      </c>
      <c r="H305" s="111" t="s">
        <v>733</v>
      </c>
      <c r="I305" s="111" t="s">
        <v>55</v>
      </c>
      <c r="J305" s="111" t="s">
        <v>56</v>
      </c>
      <c r="K305" s="63">
        <v>801116</v>
      </c>
      <c r="L305" s="111" t="s">
        <v>720</v>
      </c>
      <c r="M305" s="111" t="s">
        <v>58</v>
      </c>
      <c r="N305" s="111" t="s">
        <v>59</v>
      </c>
      <c r="O305" s="111" t="s">
        <v>728</v>
      </c>
      <c r="P305" s="226" t="s">
        <v>782</v>
      </c>
      <c r="Q305" s="134">
        <f t="shared" si="24"/>
        <v>0</v>
      </c>
      <c r="R305" s="135">
        <v>1</v>
      </c>
      <c r="S305" s="158">
        <f>26172300-26172300</f>
        <v>0</v>
      </c>
      <c r="T305" s="159" t="s">
        <v>747</v>
      </c>
      <c r="U305" s="138" t="s">
        <v>445</v>
      </c>
      <c r="V305" s="148" t="s">
        <v>64</v>
      </c>
      <c r="W305" s="160">
        <v>11.5</v>
      </c>
      <c r="X305" s="161" t="s">
        <v>832</v>
      </c>
      <c r="Y305" s="228"/>
      <c r="Z305" s="162"/>
      <c r="AA305" s="163"/>
      <c r="AB305" s="164"/>
      <c r="AC305" s="165"/>
      <c r="AD305" s="166"/>
      <c r="AE305" s="143">
        <f t="shared" si="20"/>
        <v>0</v>
      </c>
      <c r="AF305" s="161"/>
      <c r="AG305" s="167"/>
      <c r="AH305" s="166"/>
      <c r="AI305" s="168"/>
      <c r="AJ305" s="168"/>
      <c r="AK305" s="143">
        <f t="shared" si="26"/>
        <v>0</v>
      </c>
      <c r="AL305" s="166"/>
      <c r="AM305" s="166">
        <f t="shared" si="21"/>
        <v>0</v>
      </c>
      <c r="AN305" s="161"/>
      <c r="AO305" s="169">
        <f t="shared" si="22"/>
        <v>0</v>
      </c>
      <c r="AP305" s="161"/>
      <c r="AQ305" s="170">
        <v>43118</v>
      </c>
      <c r="AR305" s="161" t="s">
        <v>739</v>
      </c>
      <c r="AS305" s="170">
        <v>43118</v>
      </c>
      <c r="AT305" s="161" t="s">
        <v>740</v>
      </c>
      <c r="AU305" s="220"/>
      <c r="AV305" s="220"/>
      <c r="AW305" s="220"/>
    </row>
    <row r="306" spans="1:49" s="221" customFormat="1" ht="370.5" x14ac:dyDescent="0.25">
      <c r="A306" s="63">
        <f t="shared" si="25"/>
        <v>119</v>
      </c>
      <c r="B306" s="128" t="str">
        <f t="shared" si="23"/>
        <v>208-119</v>
      </c>
      <c r="C306" s="129" t="s">
        <v>713</v>
      </c>
      <c r="D306" s="130" t="s">
        <v>714</v>
      </c>
      <c r="E306" s="145" t="s">
        <v>725</v>
      </c>
      <c r="F306" s="132" t="s">
        <v>577</v>
      </c>
      <c r="G306" s="131" t="s">
        <v>716</v>
      </c>
      <c r="H306" s="132" t="s">
        <v>717</v>
      </c>
      <c r="I306" s="133" t="s">
        <v>718</v>
      </c>
      <c r="J306" s="111" t="s">
        <v>719</v>
      </c>
      <c r="K306" s="133"/>
      <c r="L306" s="111" t="s">
        <v>720</v>
      </c>
      <c r="M306" s="111" t="s">
        <v>58</v>
      </c>
      <c r="N306" s="111" t="s">
        <v>59</v>
      </c>
      <c r="O306" s="111" t="s">
        <v>721</v>
      </c>
      <c r="P306" s="133" t="s">
        <v>833</v>
      </c>
      <c r="Q306" s="134">
        <v>19967239</v>
      </c>
      <c r="R306" s="133">
        <v>1</v>
      </c>
      <c r="S306" s="136">
        <v>19967239</v>
      </c>
      <c r="T306" s="133"/>
      <c r="U306" s="63" t="s">
        <v>492</v>
      </c>
      <c r="V306" s="207" t="s">
        <v>493</v>
      </c>
      <c r="W306" s="133"/>
      <c r="X306" s="63">
        <v>119</v>
      </c>
      <c r="Y306" s="150">
        <v>43137</v>
      </c>
      <c r="Z306" s="140">
        <v>19967239</v>
      </c>
      <c r="AA306" s="140" t="s">
        <v>834</v>
      </c>
      <c r="AB306" s="171">
        <v>632</v>
      </c>
      <c r="AC306" s="150">
        <v>43137</v>
      </c>
      <c r="AD306" s="143">
        <v>19967239</v>
      </c>
      <c r="AE306" s="143">
        <f t="shared" si="20"/>
        <v>0</v>
      </c>
      <c r="AF306" s="63">
        <v>1281</v>
      </c>
      <c r="AG306" s="81">
        <v>43144</v>
      </c>
      <c r="AH306" s="143">
        <v>19967239</v>
      </c>
      <c r="AI306" s="63" t="s">
        <v>835</v>
      </c>
      <c r="AJ306" s="133">
        <v>597</v>
      </c>
      <c r="AK306" s="143">
        <f t="shared" si="26"/>
        <v>0</v>
      </c>
      <c r="AL306" s="143"/>
      <c r="AM306" s="143">
        <f t="shared" si="21"/>
        <v>19967239</v>
      </c>
      <c r="AN306" s="133"/>
      <c r="AO306" s="133">
        <f t="shared" si="22"/>
        <v>0</v>
      </c>
      <c r="AP306" s="133"/>
      <c r="AQ306" s="133"/>
      <c r="AR306" s="133"/>
      <c r="AS306" s="133"/>
      <c r="AT306" s="133"/>
      <c r="AU306" s="220"/>
      <c r="AV306" s="220"/>
      <c r="AW306" s="220"/>
    </row>
    <row r="307" spans="1:49" s="221" customFormat="1" ht="370.5" x14ac:dyDescent="0.25">
      <c r="A307" s="63">
        <f>A361+1</f>
        <v>11</v>
      </c>
      <c r="B307" s="128" t="str">
        <f t="shared" si="23"/>
        <v>208-11</v>
      </c>
      <c r="C307" s="129" t="s">
        <v>713</v>
      </c>
      <c r="D307" s="130" t="s">
        <v>714</v>
      </c>
      <c r="E307" s="145" t="s">
        <v>725</v>
      </c>
      <c r="F307" s="132" t="s">
        <v>577</v>
      </c>
      <c r="G307" s="131" t="s">
        <v>716</v>
      </c>
      <c r="H307" s="132" t="s">
        <v>717</v>
      </c>
      <c r="I307" s="111" t="s">
        <v>55</v>
      </c>
      <c r="J307" s="111" t="s">
        <v>56</v>
      </c>
      <c r="K307" s="133"/>
      <c r="L307" s="111"/>
      <c r="M307" s="111"/>
      <c r="N307" s="111"/>
      <c r="O307" s="111"/>
      <c r="P307" s="226" t="s">
        <v>836</v>
      </c>
      <c r="Q307" s="134">
        <f t="shared" ref="Q307" si="27">(S307/W307)/R307</f>
        <v>646972888</v>
      </c>
      <c r="R307" s="146">
        <v>1</v>
      </c>
      <c r="S307" s="136">
        <f>1248396593-601423705</f>
        <v>646972888</v>
      </c>
      <c r="T307" s="137"/>
      <c r="U307" s="128" t="s">
        <v>723</v>
      </c>
      <c r="V307" s="138" t="s">
        <v>493</v>
      </c>
      <c r="W307" s="147">
        <v>1</v>
      </c>
      <c r="X307" s="133" t="s">
        <v>837</v>
      </c>
      <c r="Y307" s="81"/>
      <c r="Z307" s="136"/>
      <c r="AA307" s="140"/>
      <c r="AB307" s="141"/>
      <c r="AC307" s="150"/>
      <c r="AD307" s="151"/>
      <c r="AE307" s="143"/>
      <c r="AF307" s="133"/>
      <c r="AG307" s="85"/>
      <c r="AH307" s="143"/>
      <c r="AI307" s="63"/>
      <c r="AJ307" s="63"/>
      <c r="AK307" s="143">
        <f t="shared" si="26"/>
        <v>0</v>
      </c>
      <c r="AL307" s="143"/>
      <c r="AM307" s="143">
        <f t="shared" si="21"/>
        <v>0</v>
      </c>
      <c r="AN307" s="133"/>
      <c r="AO307" s="144">
        <f t="shared" si="22"/>
        <v>646972888</v>
      </c>
      <c r="AP307" s="133"/>
      <c r="AQ307" s="133"/>
      <c r="AR307" s="133"/>
      <c r="AS307" s="133"/>
      <c r="AT307" s="133"/>
      <c r="AU307" s="220"/>
      <c r="AV307" s="220"/>
      <c r="AW307" s="220"/>
    </row>
    <row r="308" spans="1:49" s="221" customFormat="1" ht="399" x14ac:dyDescent="0.25">
      <c r="A308" s="63">
        <v>122</v>
      </c>
      <c r="B308" s="128" t="str">
        <f>+CONCATENATE("208-",A308)</f>
        <v>208-122</v>
      </c>
      <c r="C308" s="129" t="s">
        <v>713</v>
      </c>
      <c r="D308" s="130" t="s">
        <v>714</v>
      </c>
      <c r="E308" s="131" t="s">
        <v>715</v>
      </c>
      <c r="F308" s="132" t="s">
        <v>577</v>
      </c>
      <c r="G308" s="131" t="s">
        <v>716</v>
      </c>
      <c r="H308" s="132" t="s">
        <v>717</v>
      </c>
      <c r="I308" s="111" t="s">
        <v>55</v>
      </c>
      <c r="J308" s="111" t="s">
        <v>56</v>
      </c>
      <c r="K308" s="133"/>
      <c r="L308" s="111" t="s">
        <v>720</v>
      </c>
      <c r="M308" s="111" t="s">
        <v>58</v>
      </c>
      <c r="N308" s="111" t="s">
        <v>59</v>
      </c>
      <c r="O308" s="111" t="s">
        <v>721</v>
      </c>
      <c r="P308" s="226" t="s">
        <v>722</v>
      </c>
      <c r="Q308" s="134">
        <f>(S308/W308)/R308</f>
        <v>0</v>
      </c>
      <c r="R308" s="135">
        <v>1</v>
      </c>
      <c r="S308" s="136">
        <f>646972888-646972888</f>
        <v>0</v>
      </c>
      <c r="T308" s="137" t="s">
        <v>838</v>
      </c>
      <c r="U308" s="128" t="s">
        <v>723</v>
      </c>
      <c r="V308" s="138" t="s">
        <v>724</v>
      </c>
      <c r="W308" s="139">
        <v>7</v>
      </c>
      <c r="X308" s="133"/>
      <c r="Y308" s="63"/>
      <c r="Z308" s="150"/>
      <c r="AA308" s="140"/>
      <c r="AB308" s="141"/>
      <c r="AC308" s="142"/>
      <c r="AD308" s="143"/>
      <c r="AE308" s="143">
        <f t="shared" ref="AE308:AE350" si="28">S308-AD308</f>
        <v>0</v>
      </c>
      <c r="AF308" s="133"/>
      <c r="AG308" s="85"/>
      <c r="AH308" s="143"/>
      <c r="AI308" s="63"/>
      <c r="AJ308" s="63"/>
      <c r="AK308" s="143">
        <f t="shared" si="26"/>
        <v>0</v>
      </c>
      <c r="AL308" s="143"/>
      <c r="AM308" s="143">
        <f t="shared" si="21"/>
        <v>0</v>
      </c>
      <c r="AN308" s="133"/>
      <c r="AO308" s="144">
        <f t="shared" si="22"/>
        <v>0</v>
      </c>
      <c r="AP308" s="133"/>
      <c r="AQ308" s="133"/>
      <c r="AR308" s="133"/>
      <c r="AS308" s="133"/>
      <c r="AT308" s="133"/>
      <c r="AU308" s="220"/>
      <c r="AV308" s="220"/>
      <c r="AW308" s="220"/>
    </row>
    <row r="309" spans="1:49" s="221" customFormat="1" ht="370.5" x14ac:dyDescent="0.25">
      <c r="A309" s="63">
        <f t="shared" ref="A309:A344" si="29">A308+1</f>
        <v>123</v>
      </c>
      <c r="B309" s="128" t="str">
        <f t="shared" ref="B309:B347" si="30">+CONCATENATE("208-",A309)</f>
        <v>208-123</v>
      </c>
      <c r="C309" s="129" t="s">
        <v>713</v>
      </c>
      <c r="D309" s="130" t="s">
        <v>714</v>
      </c>
      <c r="E309" s="145" t="s">
        <v>725</v>
      </c>
      <c r="F309" s="132" t="s">
        <v>577</v>
      </c>
      <c r="G309" s="131" t="s">
        <v>716</v>
      </c>
      <c r="H309" s="132" t="s">
        <v>717</v>
      </c>
      <c r="I309" s="111" t="s">
        <v>55</v>
      </c>
      <c r="J309" s="111" t="s">
        <v>56</v>
      </c>
      <c r="K309" s="133"/>
      <c r="L309" s="111" t="s">
        <v>720</v>
      </c>
      <c r="M309" s="111" t="s">
        <v>58</v>
      </c>
      <c r="N309" s="111" t="s">
        <v>59</v>
      </c>
      <c r="O309" s="111" t="s">
        <v>721</v>
      </c>
      <c r="P309" s="227" t="s">
        <v>726</v>
      </c>
      <c r="Q309" s="134">
        <f t="shared" ref="Q309:Q347" si="31">(S309/W309)/R309</f>
        <v>32403629.857142858</v>
      </c>
      <c r="R309" s="146">
        <v>1</v>
      </c>
      <c r="S309" s="136">
        <f>1509603406+1-424054477-497074618-2500000-108476445-140048757-45018176-65605525</f>
        <v>226825409</v>
      </c>
      <c r="T309" s="137" t="s">
        <v>613</v>
      </c>
      <c r="U309" s="128" t="s">
        <v>723</v>
      </c>
      <c r="V309" s="138" t="s">
        <v>724</v>
      </c>
      <c r="W309" s="147">
        <v>7</v>
      </c>
      <c r="X309" s="133"/>
      <c r="Y309" s="63"/>
      <c r="Z309" s="150"/>
      <c r="AA309" s="140"/>
      <c r="AB309" s="141"/>
      <c r="AC309" s="142"/>
      <c r="AD309" s="143"/>
      <c r="AE309" s="143">
        <f t="shared" si="28"/>
        <v>226825409</v>
      </c>
      <c r="AF309" s="133"/>
      <c r="AG309" s="85"/>
      <c r="AH309" s="143"/>
      <c r="AI309" s="63"/>
      <c r="AJ309" s="63"/>
      <c r="AK309" s="143">
        <f t="shared" si="26"/>
        <v>0</v>
      </c>
      <c r="AL309" s="143"/>
      <c r="AM309" s="143">
        <f t="shared" si="21"/>
        <v>0</v>
      </c>
      <c r="AN309" s="133"/>
      <c r="AO309" s="144">
        <f t="shared" si="22"/>
        <v>226825409</v>
      </c>
      <c r="AP309" s="133"/>
      <c r="AQ309" s="133"/>
      <c r="AR309" s="133"/>
      <c r="AS309" s="133"/>
      <c r="AT309" s="133"/>
      <c r="AU309" s="220"/>
      <c r="AV309" s="220"/>
      <c r="AW309" s="220"/>
    </row>
    <row r="310" spans="1:49" s="221" customFormat="1" ht="409.5" x14ac:dyDescent="0.25">
      <c r="A310" s="63">
        <f t="shared" si="29"/>
        <v>124</v>
      </c>
      <c r="B310" s="128" t="str">
        <f t="shared" si="30"/>
        <v>208-124</v>
      </c>
      <c r="C310" s="129" t="s">
        <v>713</v>
      </c>
      <c r="D310" s="130" t="s">
        <v>714</v>
      </c>
      <c r="E310" s="145" t="s">
        <v>725</v>
      </c>
      <c r="F310" s="132" t="s">
        <v>577</v>
      </c>
      <c r="G310" s="131" t="s">
        <v>716</v>
      </c>
      <c r="H310" s="132" t="s">
        <v>717</v>
      </c>
      <c r="I310" s="133" t="s">
        <v>718</v>
      </c>
      <c r="J310" s="111" t="s">
        <v>719</v>
      </c>
      <c r="K310" s="133"/>
      <c r="L310" s="111" t="s">
        <v>720</v>
      </c>
      <c r="M310" s="111" t="s">
        <v>58</v>
      </c>
      <c r="N310" s="111" t="s">
        <v>59</v>
      </c>
      <c r="O310" s="111" t="s">
        <v>721</v>
      </c>
      <c r="P310" s="227" t="s">
        <v>839</v>
      </c>
      <c r="Q310" s="134">
        <f t="shared" si="31"/>
        <v>165798315.5</v>
      </c>
      <c r="R310" s="146">
        <v>1</v>
      </c>
      <c r="S310" s="136">
        <v>331596631</v>
      </c>
      <c r="T310" s="137"/>
      <c r="U310" s="128" t="s">
        <v>492</v>
      </c>
      <c r="V310" s="138" t="s">
        <v>724</v>
      </c>
      <c r="W310" s="147">
        <v>2</v>
      </c>
      <c r="X310" s="133">
        <v>122</v>
      </c>
      <c r="Y310" s="81">
        <v>43165</v>
      </c>
      <c r="Z310" s="143">
        <v>331596631</v>
      </c>
      <c r="AA310" s="140"/>
      <c r="AB310" s="141">
        <v>698</v>
      </c>
      <c r="AC310" s="150">
        <v>43165</v>
      </c>
      <c r="AD310" s="143">
        <v>331596631</v>
      </c>
      <c r="AE310" s="143">
        <f t="shared" si="28"/>
        <v>0</v>
      </c>
      <c r="AF310" s="133">
        <v>1547</v>
      </c>
      <c r="AG310" s="81">
        <v>43168</v>
      </c>
      <c r="AH310" s="143">
        <v>331596631</v>
      </c>
      <c r="AI310" s="63" t="s">
        <v>840</v>
      </c>
      <c r="AJ310" s="63">
        <v>584</v>
      </c>
      <c r="AK310" s="143">
        <f t="shared" si="26"/>
        <v>0</v>
      </c>
      <c r="AL310" s="143">
        <v>331595325</v>
      </c>
      <c r="AM310" s="143">
        <f t="shared" si="21"/>
        <v>1306</v>
      </c>
      <c r="AN310" s="133"/>
      <c r="AO310" s="144">
        <f t="shared" si="22"/>
        <v>0</v>
      </c>
      <c r="AP310" s="133"/>
      <c r="AQ310" s="133"/>
      <c r="AR310" s="133"/>
      <c r="AS310" s="133"/>
      <c r="AT310" s="133"/>
      <c r="AU310" s="220"/>
      <c r="AV310" s="220"/>
      <c r="AW310" s="220"/>
    </row>
    <row r="311" spans="1:49" s="221" customFormat="1" ht="409.5" x14ac:dyDescent="0.25">
      <c r="A311" s="63">
        <f t="shared" si="29"/>
        <v>125</v>
      </c>
      <c r="B311" s="128" t="str">
        <f t="shared" si="30"/>
        <v>208-125</v>
      </c>
      <c r="C311" s="129" t="s">
        <v>713</v>
      </c>
      <c r="D311" s="130" t="s">
        <v>714</v>
      </c>
      <c r="E311" s="145" t="s">
        <v>725</v>
      </c>
      <c r="F311" s="132" t="s">
        <v>577</v>
      </c>
      <c r="G311" s="131" t="s">
        <v>716</v>
      </c>
      <c r="H311" s="132" t="s">
        <v>717</v>
      </c>
      <c r="I311" s="133" t="s">
        <v>718</v>
      </c>
      <c r="J311" s="111" t="s">
        <v>719</v>
      </c>
      <c r="K311" s="133"/>
      <c r="L311" s="111" t="s">
        <v>720</v>
      </c>
      <c r="M311" s="111" t="s">
        <v>58</v>
      </c>
      <c r="N311" s="111" t="s">
        <v>59</v>
      </c>
      <c r="O311" s="111" t="s">
        <v>721</v>
      </c>
      <c r="P311" s="227" t="s">
        <v>841</v>
      </c>
      <c r="Q311" s="134">
        <f t="shared" si="31"/>
        <v>45376410</v>
      </c>
      <c r="R311" s="146">
        <v>1</v>
      </c>
      <c r="S311" s="136">
        <v>90752820</v>
      </c>
      <c r="T311" s="137"/>
      <c r="U311" s="128" t="s">
        <v>492</v>
      </c>
      <c r="V311" s="138" t="s">
        <v>724</v>
      </c>
      <c r="W311" s="147">
        <v>2</v>
      </c>
      <c r="X311" s="133">
        <v>123</v>
      </c>
      <c r="Y311" s="81">
        <v>43165</v>
      </c>
      <c r="Z311" s="143">
        <v>90752820</v>
      </c>
      <c r="AA311" s="140"/>
      <c r="AB311" s="141">
        <v>699</v>
      </c>
      <c r="AC311" s="150">
        <v>43165</v>
      </c>
      <c r="AD311" s="143">
        <v>90752820</v>
      </c>
      <c r="AE311" s="143">
        <f t="shared" si="28"/>
        <v>0</v>
      </c>
      <c r="AF311" s="133">
        <v>1546</v>
      </c>
      <c r="AG311" s="81">
        <v>43168</v>
      </c>
      <c r="AH311" s="143">
        <v>90752820</v>
      </c>
      <c r="AI311" s="63" t="s">
        <v>842</v>
      </c>
      <c r="AJ311" s="63">
        <v>593</v>
      </c>
      <c r="AK311" s="143">
        <f t="shared" si="26"/>
        <v>0</v>
      </c>
      <c r="AL311" s="143">
        <v>83542479</v>
      </c>
      <c r="AM311" s="143">
        <f t="shared" si="21"/>
        <v>7210341</v>
      </c>
      <c r="AN311" s="133"/>
      <c r="AO311" s="144">
        <f t="shared" si="22"/>
        <v>0</v>
      </c>
      <c r="AP311" s="133"/>
      <c r="AQ311" s="133"/>
      <c r="AR311" s="133"/>
      <c r="AS311" s="133"/>
      <c r="AT311" s="133"/>
      <c r="AU311" s="220"/>
      <c r="AV311" s="220"/>
      <c r="AW311" s="220"/>
    </row>
    <row r="312" spans="1:49" s="221" customFormat="1" ht="370.5" x14ac:dyDescent="0.25">
      <c r="A312" s="63">
        <f t="shared" si="29"/>
        <v>126</v>
      </c>
      <c r="B312" s="128" t="str">
        <f t="shared" si="30"/>
        <v>208-126</v>
      </c>
      <c r="C312" s="129" t="s">
        <v>713</v>
      </c>
      <c r="D312" s="130" t="s">
        <v>714</v>
      </c>
      <c r="E312" s="145" t="s">
        <v>725</v>
      </c>
      <c r="F312" s="132" t="s">
        <v>577</v>
      </c>
      <c r="G312" s="131" t="s">
        <v>716</v>
      </c>
      <c r="H312" s="132" t="s">
        <v>717</v>
      </c>
      <c r="I312" s="133" t="s">
        <v>718</v>
      </c>
      <c r="J312" s="111" t="s">
        <v>719</v>
      </c>
      <c r="K312" s="133"/>
      <c r="L312" s="111" t="s">
        <v>720</v>
      </c>
      <c r="M312" s="111" t="s">
        <v>58</v>
      </c>
      <c r="N312" s="111" t="s">
        <v>59</v>
      </c>
      <c r="O312" s="111" t="s">
        <v>721</v>
      </c>
      <c r="P312" s="227" t="s">
        <v>843</v>
      </c>
      <c r="Q312" s="134">
        <f t="shared" si="31"/>
        <v>337436043.75</v>
      </c>
      <c r="R312" s="146">
        <v>1</v>
      </c>
      <c r="S312" s="136">
        <v>1349744175</v>
      </c>
      <c r="T312" s="137" t="s">
        <v>613</v>
      </c>
      <c r="U312" s="128" t="s">
        <v>723</v>
      </c>
      <c r="V312" s="138" t="s">
        <v>844</v>
      </c>
      <c r="W312" s="147">
        <v>4</v>
      </c>
      <c r="X312" s="133">
        <v>125</v>
      </c>
      <c r="Y312" s="81">
        <v>43252</v>
      </c>
      <c r="Z312" s="136">
        <v>1349744175</v>
      </c>
      <c r="AA312" s="140"/>
      <c r="AB312" s="141">
        <v>879</v>
      </c>
      <c r="AC312" s="150">
        <v>43252</v>
      </c>
      <c r="AD312" s="143">
        <v>1317545428</v>
      </c>
      <c r="AE312" s="143">
        <f t="shared" si="28"/>
        <v>32198747</v>
      </c>
      <c r="AF312" s="133">
        <v>2902</v>
      </c>
      <c r="AG312" s="81">
        <v>43362</v>
      </c>
      <c r="AH312" s="143">
        <v>1317545428</v>
      </c>
      <c r="AI312" s="143" t="s">
        <v>845</v>
      </c>
      <c r="AJ312" s="63">
        <v>582</v>
      </c>
      <c r="AK312" s="143">
        <f t="shared" si="26"/>
        <v>0</v>
      </c>
      <c r="AL312" s="143"/>
      <c r="AM312" s="143">
        <f t="shared" si="21"/>
        <v>1317545428</v>
      </c>
      <c r="AN312" s="133"/>
      <c r="AO312" s="144" t="e">
        <f>S312-AI312</f>
        <v>#VALUE!</v>
      </c>
      <c r="AP312" s="133"/>
      <c r="AQ312" s="133"/>
      <c r="AR312" s="133"/>
      <c r="AS312" s="133"/>
      <c r="AT312" s="133"/>
      <c r="AU312" s="220"/>
      <c r="AV312" s="220"/>
      <c r="AW312" s="220"/>
    </row>
    <row r="313" spans="1:49" s="221" customFormat="1" ht="370.5" x14ac:dyDescent="0.25">
      <c r="A313" s="63">
        <f t="shared" si="29"/>
        <v>127</v>
      </c>
      <c r="B313" s="128" t="str">
        <f t="shared" si="30"/>
        <v>208-127</v>
      </c>
      <c r="C313" s="129" t="s">
        <v>713</v>
      </c>
      <c r="D313" s="130" t="s">
        <v>714</v>
      </c>
      <c r="E313" s="145" t="s">
        <v>725</v>
      </c>
      <c r="F313" s="132" t="s">
        <v>577</v>
      </c>
      <c r="G313" s="131" t="s">
        <v>716</v>
      </c>
      <c r="H313" s="132" t="s">
        <v>717</v>
      </c>
      <c r="I313" s="133" t="s">
        <v>718</v>
      </c>
      <c r="J313" s="111" t="s">
        <v>719</v>
      </c>
      <c r="K313" s="133"/>
      <c r="L313" s="111" t="s">
        <v>720</v>
      </c>
      <c r="M313" s="111" t="s">
        <v>58</v>
      </c>
      <c r="N313" s="111" t="s">
        <v>59</v>
      </c>
      <c r="O313" s="111" t="s">
        <v>721</v>
      </c>
      <c r="P313" s="227" t="s">
        <v>843</v>
      </c>
      <c r="Q313" s="134">
        <f t="shared" si="31"/>
        <v>251655871.25</v>
      </c>
      <c r="R313" s="146">
        <v>1</v>
      </c>
      <c r="S313" s="136">
        <v>1006623485</v>
      </c>
      <c r="T313" s="137"/>
      <c r="U313" s="128" t="s">
        <v>723</v>
      </c>
      <c r="V313" s="138" t="s">
        <v>724</v>
      </c>
      <c r="W313" s="147">
        <v>4</v>
      </c>
      <c r="X313" s="133">
        <v>126</v>
      </c>
      <c r="Y313" s="81">
        <v>43252</v>
      </c>
      <c r="Z313" s="136">
        <v>1006623485</v>
      </c>
      <c r="AA313" s="140"/>
      <c r="AB313" s="141">
        <v>880</v>
      </c>
      <c r="AC313" s="150">
        <v>43252</v>
      </c>
      <c r="AD313" s="143">
        <v>1006623485</v>
      </c>
      <c r="AE313" s="143">
        <f t="shared" si="28"/>
        <v>0</v>
      </c>
      <c r="AF313" s="133">
        <v>2905</v>
      </c>
      <c r="AG313" s="81">
        <v>43362</v>
      </c>
      <c r="AH313" s="143">
        <v>992427976</v>
      </c>
      <c r="AI313" s="63" t="s">
        <v>846</v>
      </c>
      <c r="AJ313" s="63">
        <v>584</v>
      </c>
      <c r="AK313" s="143">
        <f t="shared" si="26"/>
        <v>14195509</v>
      </c>
      <c r="AL313" s="143"/>
      <c r="AM313" s="143">
        <f t="shared" si="21"/>
        <v>992427976</v>
      </c>
      <c r="AN313" s="133"/>
      <c r="AO313" s="144">
        <f t="shared" ref="AO313:AO350" si="32">S313-AH313</f>
        <v>14195509</v>
      </c>
      <c r="AP313" s="133"/>
      <c r="AQ313" s="133"/>
      <c r="AR313" s="133"/>
      <c r="AS313" s="133"/>
      <c r="AT313" s="133"/>
      <c r="AU313" s="220"/>
      <c r="AV313" s="220"/>
      <c r="AW313" s="220"/>
    </row>
    <row r="314" spans="1:49" s="221" customFormat="1" ht="370.5" x14ac:dyDescent="0.25">
      <c r="A314" s="63">
        <f t="shared" si="29"/>
        <v>128</v>
      </c>
      <c r="B314" s="128" t="str">
        <f t="shared" si="30"/>
        <v>208-128</v>
      </c>
      <c r="C314" s="129" t="s">
        <v>713</v>
      </c>
      <c r="D314" s="130" t="s">
        <v>714</v>
      </c>
      <c r="E314" s="145" t="s">
        <v>725</v>
      </c>
      <c r="F314" s="132" t="s">
        <v>577</v>
      </c>
      <c r="G314" s="131" t="s">
        <v>716</v>
      </c>
      <c r="H314" s="132" t="s">
        <v>717</v>
      </c>
      <c r="I314" s="111" t="s">
        <v>55</v>
      </c>
      <c r="J314" s="111" t="s">
        <v>56</v>
      </c>
      <c r="K314" s="133"/>
      <c r="L314" s="111" t="s">
        <v>720</v>
      </c>
      <c r="M314" s="111" t="s">
        <v>58</v>
      </c>
      <c r="N314" s="111" t="s">
        <v>59</v>
      </c>
      <c r="O314" s="111" t="s">
        <v>721</v>
      </c>
      <c r="P314" s="227" t="s">
        <v>843</v>
      </c>
      <c r="Q314" s="134">
        <f t="shared" si="31"/>
        <v>106013619.25</v>
      </c>
      <c r="R314" s="146">
        <v>1</v>
      </c>
      <c r="S314" s="136">
        <v>424054477</v>
      </c>
      <c r="T314" s="137" t="s">
        <v>613</v>
      </c>
      <c r="U314" s="128" t="s">
        <v>723</v>
      </c>
      <c r="V314" s="138" t="s">
        <v>844</v>
      </c>
      <c r="W314" s="147">
        <v>4</v>
      </c>
      <c r="X314" s="133">
        <v>127</v>
      </c>
      <c r="Y314" s="81">
        <v>43263</v>
      </c>
      <c r="Z314" s="136">
        <v>424054477</v>
      </c>
      <c r="AA314" s="140"/>
      <c r="AB314" s="141">
        <v>887</v>
      </c>
      <c r="AC314" s="150">
        <v>43263</v>
      </c>
      <c r="AD314" s="143">
        <v>419159248</v>
      </c>
      <c r="AE314" s="143">
        <f t="shared" si="28"/>
        <v>4895229</v>
      </c>
      <c r="AF314" s="133">
        <v>2899</v>
      </c>
      <c r="AG314" s="81">
        <v>43362</v>
      </c>
      <c r="AH314" s="143">
        <v>419159248</v>
      </c>
      <c r="AI314" s="63" t="s">
        <v>847</v>
      </c>
      <c r="AJ314" s="63">
        <v>583</v>
      </c>
      <c r="AK314" s="143">
        <f t="shared" si="26"/>
        <v>0</v>
      </c>
      <c r="AL314" s="143"/>
      <c r="AM314" s="143">
        <f t="shared" si="21"/>
        <v>419159248</v>
      </c>
      <c r="AN314" s="133"/>
      <c r="AO314" s="144">
        <f t="shared" si="32"/>
        <v>4895229</v>
      </c>
      <c r="AP314" s="133"/>
      <c r="AQ314" s="133"/>
      <c r="AR314" s="133"/>
      <c r="AS314" s="133"/>
      <c r="AT314" s="133"/>
      <c r="AU314" s="220"/>
      <c r="AV314" s="220"/>
      <c r="AW314" s="220"/>
    </row>
    <row r="315" spans="1:49" s="221" customFormat="1" ht="370.5" x14ac:dyDescent="0.25">
      <c r="A315" s="63">
        <f t="shared" si="29"/>
        <v>129</v>
      </c>
      <c r="B315" s="128" t="str">
        <f t="shared" si="30"/>
        <v>208-129</v>
      </c>
      <c r="C315" s="129" t="s">
        <v>713</v>
      </c>
      <c r="D315" s="130" t="s">
        <v>714</v>
      </c>
      <c r="E315" s="145" t="s">
        <v>725</v>
      </c>
      <c r="F315" s="132" t="s">
        <v>577</v>
      </c>
      <c r="G315" s="131" t="s">
        <v>716</v>
      </c>
      <c r="H315" s="132" t="s">
        <v>717</v>
      </c>
      <c r="I315" s="133" t="s">
        <v>718</v>
      </c>
      <c r="J315" s="111" t="s">
        <v>719</v>
      </c>
      <c r="K315" s="133"/>
      <c r="L315" s="111" t="s">
        <v>720</v>
      </c>
      <c r="M315" s="111" t="s">
        <v>58</v>
      </c>
      <c r="N315" s="111" t="s">
        <v>59</v>
      </c>
      <c r="O315" s="111" t="s">
        <v>721</v>
      </c>
      <c r="P315" s="227" t="s">
        <v>726</v>
      </c>
      <c r="Q315" s="134">
        <f t="shared" si="31"/>
        <v>47424162.5</v>
      </c>
      <c r="R315" s="146">
        <v>1</v>
      </c>
      <c r="S315" s="136">
        <v>189696650</v>
      </c>
      <c r="T315" s="137" t="s">
        <v>613</v>
      </c>
      <c r="U315" s="128" t="s">
        <v>723</v>
      </c>
      <c r="V315" s="138" t="s">
        <v>844</v>
      </c>
      <c r="W315" s="147">
        <v>4</v>
      </c>
      <c r="X315" s="133">
        <v>128</v>
      </c>
      <c r="Y315" s="81">
        <v>43263</v>
      </c>
      <c r="Z315" s="136">
        <v>189696650</v>
      </c>
      <c r="AA315" s="140"/>
      <c r="AB315" s="141">
        <v>886</v>
      </c>
      <c r="AC315" s="150">
        <v>43263</v>
      </c>
      <c r="AD315" s="143">
        <v>189696650</v>
      </c>
      <c r="AE315" s="143">
        <f t="shared" si="28"/>
        <v>0</v>
      </c>
      <c r="AF315" s="133">
        <v>2898</v>
      </c>
      <c r="AG315" s="81">
        <v>43362</v>
      </c>
      <c r="AH315" s="143">
        <v>189696650</v>
      </c>
      <c r="AI315" s="63" t="s">
        <v>847</v>
      </c>
      <c r="AJ315" s="63">
        <v>583</v>
      </c>
      <c r="AK315" s="143">
        <f t="shared" si="26"/>
        <v>0</v>
      </c>
      <c r="AL315" s="143"/>
      <c r="AM315" s="143">
        <f t="shared" si="21"/>
        <v>189696650</v>
      </c>
      <c r="AN315" s="133"/>
      <c r="AO315" s="144">
        <f t="shared" si="32"/>
        <v>0</v>
      </c>
      <c r="AP315" s="133"/>
      <c r="AQ315" s="133"/>
      <c r="AR315" s="133"/>
      <c r="AS315" s="133"/>
      <c r="AT315" s="133"/>
      <c r="AU315" s="220"/>
      <c r="AV315" s="220"/>
      <c r="AW315" s="220"/>
    </row>
    <row r="316" spans="1:49" s="221" customFormat="1" ht="370.5" x14ac:dyDescent="0.25">
      <c r="A316" s="63">
        <f>A315+1</f>
        <v>130</v>
      </c>
      <c r="B316" s="128" t="str">
        <f>+CONCATENATE("208-",A316)</f>
        <v>208-130</v>
      </c>
      <c r="C316" s="129" t="s">
        <v>713</v>
      </c>
      <c r="D316" s="130" t="s">
        <v>714</v>
      </c>
      <c r="E316" s="145" t="s">
        <v>725</v>
      </c>
      <c r="F316" s="132" t="s">
        <v>577</v>
      </c>
      <c r="G316" s="131" t="s">
        <v>716</v>
      </c>
      <c r="H316" s="132" t="s">
        <v>717</v>
      </c>
      <c r="I316" s="133" t="s">
        <v>718</v>
      </c>
      <c r="J316" s="111" t="s">
        <v>719</v>
      </c>
      <c r="K316" s="133"/>
      <c r="L316" s="111" t="s">
        <v>720</v>
      </c>
      <c r="M316" s="111" t="s">
        <v>58</v>
      </c>
      <c r="N316" s="111" t="s">
        <v>59</v>
      </c>
      <c r="O316" s="111" t="s">
        <v>721</v>
      </c>
      <c r="P316" s="227" t="s">
        <v>726</v>
      </c>
      <c r="Q316" s="172">
        <f>(S316/W316)/R316</f>
        <v>35492090.909090906</v>
      </c>
      <c r="R316" s="146">
        <v>1</v>
      </c>
      <c r="S316" s="136">
        <f>3500000000-209779000-398616000-2167606000-333586000</f>
        <v>390413000</v>
      </c>
      <c r="T316" s="137" t="s">
        <v>613</v>
      </c>
      <c r="U316" s="128" t="s">
        <v>723</v>
      </c>
      <c r="V316" s="148" t="s">
        <v>431</v>
      </c>
      <c r="W316" s="147">
        <v>11</v>
      </c>
      <c r="X316" s="133"/>
      <c r="Y316" s="63"/>
      <c r="Z316" s="150"/>
      <c r="AA316" s="140"/>
      <c r="AB316" s="141"/>
      <c r="AC316" s="142"/>
      <c r="AD316" s="143"/>
      <c r="AE316" s="143">
        <f t="shared" si="28"/>
        <v>390413000</v>
      </c>
      <c r="AF316" s="133"/>
      <c r="AG316" s="85"/>
      <c r="AH316" s="143"/>
      <c r="AI316" s="63"/>
      <c r="AJ316" s="63"/>
      <c r="AK316" s="143">
        <f t="shared" si="26"/>
        <v>0</v>
      </c>
      <c r="AL316" s="143"/>
      <c r="AM316" s="143">
        <f t="shared" ref="AM316:AM350" si="33">AH316-AL316</f>
        <v>0</v>
      </c>
      <c r="AN316" s="133"/>
      <c r="AO316" s="144">
        <f t="shared" si="32"/>
        <v>390413000</v>
      </c>
      <c r="AP316" s="133"/>
      <c r="AQ316" s="133"/>
      <c r="AR316" s="133"/>
      <c r="AS316" s="133"/>
      <c r="AT316" s="133"/>
      <c r="AU316" s="220"/>
      <c r="AV316" s="220"/>
      <c r="AW316" s="220"/>
    </row>
    <row r="317" spans="1:49" s="221" customFormat="1" ht="399" x14ac:dyDescent="0.25">
      <c r="A317" s="63">
        <f>A316+1</f>
        <v>131</v>
      </c>
      <c r="B317" s="128" t="str">
        <f t="shared" si="30"/>
        <v>208-131</v>
      </c>
      <c r="C317" s="129" t="s">
        <v>713</v>
      </c>
      <c r="D317" s="130" t="s">
        <v>714</v>
      </c>
      <c r="E317" s="145" t="s">
        <v>725</v>
      </c>
      <c r="F317" s="132" t="s">
        <v>577</v>
      </c>
      <c r="G317" s="131" t="s">
        <v>716</v>
      </c>
      <c r="H317" s="132" t="s">
        <v>717</v>
      </c>
      <c r="I317" s="111" t="s">
        <v>55</v>
      </c>
      <c r="J317" s="111" t="s">
        <v>56</v>
      </c>
      <c r="K317" s="133"/>
      <c r="L317" s="111" t="s">
        <v>720</v>
      </c>
      <c r="M317" s="111" t="s">
        <v>58</v>
      </c>
      <c r="N317" s="111" t="s">
        <v>59</v>
      </c>
      <c r="O317" s="111" t="s">
        <v>721</v>
      </c>
      <c r="P317" s="227" t="s">
        <v>848</v>
      </c>
      <c r="Q317" s="134">
        <f t="shared" si="31"/>
        <v>124268654.5</v>
      </c>
      <c r="R317" s="146">
        <v>1</v>
      </c>
      <c r="S317" s="136">
        <v>497074618</v>
      </c>
      <c r="T317" s="137" t="s">
        <v>849</v>
      </c>
      <c r="U317" s="128" t="s">
        <v>730</v>
      </c>
      <c r="V317" s="138" t="s">
        <v>844</v>
      </c>
      <c r="W317" s="147">
        <v>4</v>
      </c>
      <c r="X317" s="133">
        <v>129</v>
      </c>
      <c r="Y317" s="81">
        <v>43287</v>
      </c>
      <c r="Z317" s="143">
        <v>497074618</v>
      </c>
      <c r="AA317" s="140"/>
      <c r="AB317" s="141">
        <v>945</v>
      </c>
      <c r="AC317" s="150">
        <v>43291</v>
      </c>
      <c r="AD317" s="143">
        <v>497074618</v>
      </c>
      <c r="AE317" s="143">
        <f t="shared" si="28"/>
        <v>0</v>
      </c>
      <c r="AF317" s="133"/>
      <c r="AG317" s="85"/>
      <c r="AH317" s="143"/>
      <c r="AI317" s="63"/>
      <c r="AJ317" s="63"/>
      <c r="AK317" s="143">
        <f t="shared" si="26"/>
        <v>497074618</v>
      </c>
      <c r="AL317" s="143"/>
      <c r="AM317" s="143">
        <f t="shared" si="33"/>
        <v>0</v>
      </c>
      <c r="AN317" s="133"/>
      <c r="AO317" s="144">
        <f t="shared" si="32"/>
        <v>497074618</v>
      </c>
      <c r="AP317" s="133"/>
      <c r="AQ317" s="133"/>
      <c r="AR317" s="133"/>
      <c r="AS317" s="133"/>
      <c r="AT317" s="133"/>
      <c r="AU317" s="220"/>
      <c r="AV317" s="220"/>
      <c r="AW317" s="220"/>
    </row>
    <row r="318" spans="1:49" s="221" customFormat="1" ht="399" x14ac:dyDescent="0.25">
      <c r="A318" s="63">
        <f t="shared" si="29"/>
        <v>132</v>
      </c>
      <c r="B318" s="128" t="str">
        <f t="shared" si="30"/>
        <v>208-132</v>
      </c>
      <c r="C318" s="129" t="s">
        <v>713</v>
      </c>
      <c r="D318" s="130" t="s">
        <v>714</v>
      </c>
      <c r="E318" s="131" t="s">
        <v>715</v>
      </c>
      <c r="F318" s="111" t="s">
        <v>52</v>
      </c>
      <c r="G318" s="145" t="s">
        <v>53</v>
      </c>
      <c r="H318" s="111" t="s">
        <v>733</v>
      </c>
      <c r="I318" s="111" t="s">
        <v>55</v>
      </c>
      <c r="J318" s="111" t="s">
        <v>56</v>
      </c>
      <c r="K318" s="63">
        <v>801116</v>
      </c>
      <c r="L318" s="111" t="s">
        <v>720</v>
      </c>
      <c r="M318" s="111" t="s">
        <v>58</v>
      </c>
      <c r="N318" s="111" t="s">
        <v>59</v>
      </c>
      <c r="O318" s="111" t="s">
        <v>728</v>
      </c>
      <c r="P318" s="227" t="s">
        <v>774</v>
      </c>
      <c r="Q318" s="134">
        <f t="shared" si="31"/>
        <v>463500</v>
      </c>
      <c r="R318" s="146">
        <v>1</v>
      </c>
      <c r="S318" s="136">
        <v>2549250</v>
      </c>
      <c r="T318" s="137" t="s">
        <v>747</v>
      </c>
      <c r="U318" s="148" t="s">
        <v>445</v>
      </c>
      <c r="V318" s="148" t="s">
        <v>431</v>
      </c>
      <c r="W318" s="153">
        <v>5.5</v>
      </c>
      <c r="X318" s="133">
        <v>130</v>
      </c>
      <c r="Y318" s="81">
        <v>43290</v>
      </c>
      <c r="Z318" s="136">
        <v>2549250</v>
      </c>
      <c r="AA318" s="140"/>
      <c r="AB318" s="141">
        <v>948</v>
      </c>
      <c r="AC318" s="150">
        <v>43291</v>
      </c>
      <c r="AD318" s="143">
        <v>2472000</v>
      </c>
      <c r="AE318" s="143">
        <f t="shared" si="28"/>
        <v>77250</v>
      </c>
      <c r="AF318" s="133">
        <v>2534</v>
      </c>
      <c r="AG318" s="150">
        <v>43305</v>
      </c>
      <c r="AH318" s="143">
        <v>2472000</v>
      </c>
      <c r="AI318" s="63" t="s">
        <v>850</v>
      </c>
      <c r="AJ318" s="63">
        <v>452</v>
      </c>
      <c r="AK318" s="143">
        <f t="shared" si="26"/>
        <v>0</v>
      </c>
      <c r="AL318" s="143">
        <v>540750</v>
      </c>
      <c r="AM318" s="143">
        <f t="shared" si="33"/>
        <v>1931250</v>
      </c>
      <c r="AN318" s="133"/>
      <c r="AO318" s="144">
        <f t="shared" si="32"/>
        <v>77250</v>
      </c>
      <c r="AP318" s="133"/>
      <c r="AQ318" s="133"/>
      <c r="AR318" s="133"/>
      <c r="AS318" s="133"/>
      <c r="AT318" s="133"/>
      <c r="AU318" s="220"/>
      <c r="AV318" s="220"/>
      <c r="AW318" s="220"/>
    </row>
    <row r="319" spans="1:49" s="221" customFormat="1" ht="370.5" x14ac:dyDescent="0.25">
      <c r="A319" s="63">
        <f t="shared" si="29"/>
        <v>133</v>
      </c>
      <c r="B319" s="128" t="str">
        <f t="shared" si="30"/>
        <v>208-133</v>
      </c>
      <c r="C319" s="129" t="s">
        <v>713</v>
      </c>
      <c r="D319" s="130" t="s">
        <v>714</v>
      </c>
      <c r="E319" s="145" t="s">
        <v>725</v>
      </c>
      <c r="F319" s="111" t="s">
        <v>52</v>
      </c>
      <c r="G319" s="145" t="s">
        <v>53</v>
      </c>
      <c r="H319" s="111" t="s">
        <v>733</v>
      </c>
      <c r="I319" s="111" t="s">
        <v>55</v>
      </c>
      <c r="J319" s="111" t="s">
        <v>56</v>
      </c>
      <c r="K319" s="63">
        <v>801116</v>
      </c>
      <c r="L319" s="111" t="s">
        <v>720</v>
      </c>
      <c r="M319" s="111" t="s">
        <v>58</v>
      </c>
      <c r="N319" s="111" t="s">
        <v>59</v>
      </c>
      <c r="O319" s="111" t="s">
        <v>728</v>
      </c>
      <c r="P319" s="227" t="s">
        <v>774</v>
      </c>
      <c r="Q319" s="134">
        <f t="shared" si="31"/>
        <v>1081500</v>
      </c>
      <c r="R319" s="146">
        <v>1</v>
      </c>
      <c r="S319" s="136">
        <v>5948250</v>
      </c>
      <c r="T319" s="137" t="s">
        <v>747</v>
      </c>
      <c r="U319" s="148" t="s">
        <v>445</v>
      </c>
      <c r="V319" s="148" t="s">
        <v>431</v>
      </c>
      <c r="W319" s="153">
        <v>5.5</v>
      </c>
      <c r="X319" s="133">
        <v>131</v>
      </c>
      <c r="Y319" s="81">
        <v>43290</v>
      </c>
      <c r="Z319" s="136">
        <v>5948250</v>
      </c>
      <c r="AA319" s="140"/>
      <c r="AB319" s="141">
        <v>948</v>
      </c>
      <c r="AC319" s="150">
        <v>43291</v>
      </c>
      <c r="AD319" s="143">
        <v>5768000</v>
      </c>
      <c r="AE319" s="143">
        <f t="shared" si="28"/>
        <v>180250</v>
      </c>
      <c r="AF319" s="133">
        <v>2534</v>
      </c>
      <c r="AG319" s="150">
        <v>43305</v>
      </c>
      <c r="AH319" s="143">
        <v>5768000</v>
      </c>
      <c r="AI319" s="63" t="s">
        <v>850</v>
      </c>
      <c r="AJ319" s="63">
        <v>452</v>
      </c>
      <c r="AK319" s="143">
        <f t="shared" si="26"/>
        <v>0</v>
      </c>
      <c r="AL319" s="143">
        <v>1261750</v>
      </c>
      <c r="AM319" s="143">
        <f t="shared" si="33"/>
        <v>4506250</v>
      </c>
      <c r="AN319" s="133"/>
      <c r="AO319" s="144">
        <f t="shared" si="32"/>
        <v>180250</v>
      </c>
      <c r="AP319" s="133"/>
      <c r="AQ319" s="133"/>
      <c r="AR319" s="133"/>
      <c r="AS319" s="133"/>
      <c r="AT319" s="133"/>
      <c r="AU319" s="220"/>
      <c r="AV319" s="220"/>
      <c r="AW319" s="220"/>
    </row>
    <row r="320" spans="1:49" s="221" customFormat="1" ht="399" x14ac:dyDescent="0.25">
      <c r="A320" s="63">
        <f t="shared" si="29"/>
        <v>134</v>
      </c>
      <c r="B320" s="128" t="str">
        <f t="shared" si="30"/>
        <v>208-134</v>
      </c>
      <c r="C320" s="129" t="s">
        <v>713</v>
      </c>
      <c r="D320" s="130" t="s">
        <v>714</v>
      </c>
      <c r="E320" s="131" t="s">
        <v>715</v>
      </c>
      <c r="F320" s="111" t="s">
        <v>52</v>
      </c>
      <c r="G320" s="145" t="s">
        <v>53</v>
      </c>
      <c r="H320" s="111" t="s">
        <v>733</v>
      </c>
      <c r="I320" s="111" t="s">
        <v>55</v>
      </c>
      <c r="J320" s="111" t="s">
        <v>56</v>
      </c>
      <c r="K320" s="63">
        <v>801116</v>
      </c>
      <c r="L320" s="111" t="s">
        <v>720</v>
      </c>
      <c r="M320" s="111" t="s">
        <v>58</v>
      </c>
      <c r="N320" s="111" t="s">
        <v>59</v>
      </c>
      <c r="O320" s="111" t="s">
        <v>728</v>
      </c>
      <c r="P320" s="227" t="s">
        <v>774</v>
      </c>
      <c r="Q320" s="134">
        <f t="shared" si="31"/>
        <v>463500</v>
      </c>
      <c r="R320" s="146">
        <v>1</v>
      </c>
      <c r="S320" s="136">
        <v>2549250</v>
      </c>
      <c r="T320" s="137" t="s">
        <v>747</v>
      </c>
      <c r="U320" s="148" t="s">
        <v>445</v>
      </c>
      <c r="V320" s="148" t="s">
        <v>431</v>
      </c>
      <c r="W320" s="153">
        <v>5.5</v>
      </c>
      <c r="X320" s="133">
        <v>132</v>
      </c>
      <c r="Y320" s="81">
        <v>43290</v>
      </c>
      <c r="Z320" s="136">
        <v>2549250</v>
      </c>
      <c r="AA320" s="140"/>
      <c r="AB320" s="141">
        <v>949</v>
      </c>
      <c r="AC320" s="150">
        <v>43291</v>
      </c>
      <c r="AD320" s="143">
        <v>2472000</v>
      </c>
      <c r="AE320" s="143">
        <f t="shared" si="28"/>
        <v>77250</v>
      </c>
      <c r="AF320" s="133">
        <v>2541</v>
      </c>
      <c r="AG320" s="150">
        <v>43305</v>
      </c>
      <c r="AH320" s="143">
        <v>2472000</v>
      </c>
      <c r="AI320" s="64" t="s">
        <v>851</v>
      </c>
      <c r="AJ320" s="63">
        <v>455</v>
      </c>
      <c r="AK320" s="143">
        <f t="shared" si="26"/>
        <v>0</v>
      </c>
      <c r="AL320" s="143">
        <v>556200</v>
      </c>
      <c r="AM320" s="143">
        <f t="shared" si="33"/>
        <v>1915800</v>
      </c>
      <c r="AN320" s="133"/>
      <c r="AO320" s="144">
        <f t="shared" si="32"/>
        <v>77250</v>
      </c>
      <c r="AP320" s="133"/>
      <c r="AQ320" s="133"/>
      <c r="AR320" s="133"/>
      <c r="AS320" s="133"/>
      <c r="AT320" s="133"/>
      <c r="AU320" s="220"/>
      <c r="AV320" s="220"/>
      <c r="AW320" s="220"/>
    </row>
    <row r="321" spans="1:49" s="221" customFormat="1" ht="370.5" x14ac:dyDescent="0.25">
      <c r="A321" s="63">
        <f t="shared" si="29"/>
        <v>135</v>
      </c>
      <c r="B321" s="128" t="str">
        <f t="shared" si="30"/>
        <v>208-135</v>
      </c>
      <c r="C321" s="129" t="s">
        <v>713</v>
      </c>
      <c r="D321" s="130" t="s">
        <v>714</v>
      </c>
      <c r="E321" s="145" t="s">
        <v>725</v>
      </c>
      <c r="F321" s="111" t="s">
        <v>52</v>
      </c>
      <c r="G321" s="145" t="s">
        <v>53</v>
      </c>
      <c r="H321" s="111" t="s">
        <v>733</v>
      </c>
      <c r="I321" s="111" t="s">
        <v>55</v>
      </c>
      <c r="J321" s="111" t="s">
        <v>56</v>
      </c>
      <c r="K321" s="63">
        <v>801116</v>
      </c>
      <c r="L321" s="111" t="s">
        <v>720</v>
      </c>
      <c r="M321" s="111" t="s">
        <v>58</v>
      </c>
      <c r="N321" s="111" t="s">
        <v>59</v>
      </c>
      <c r="O321" s="111" t="s">
        <v>728</v>
      </c>
      <c r="P321" s="227" t="s">
        <v>774</v>
      </c>
      <c r="Q321" s="134">
        <f t="shared" si="31"/>
        <v>1081500</v>
      </c>
      <c r="R321" s="146">
        <v>1</v>
      </c>
      <c r="S321" s="136">
        <v>5948250</v>
      </c>
      <c r="T321" s="137" t="s">
        <v>747</v>
      </c>
      <c r="U321" s="148" t="s">
        <v>445</v>
      </c>
      <c r="V321" s="148" t="s">
        <v>431</v>
      </c>
      <c r="W321" s="153">
        <v>5.5</v>
      </c>
      <c r="X321" s="133">
        <v>133</v>
      </c>
      <c r="Y321" s="81">
        <v>43290</v>
      </c>
      <c r="Z321" s="136">
        <v>5948250</v>
      </c>
      <c r="AA321" s="140"/>
      <c r="AB321" s="141">
        <v>949</v>
      </c>
      <c r="AC321" s="150">
        <v>43291</v>
      </c>
      <c r="AD321" s="143">
        <v>5768000</v>
      </c>
      <c r="AE321" s="143">
        <f t="shared" si="28"/>
        <v>180250</v>
      </c>
      <c r="AF321" s="133">
        <v>2541</v>
      </c>
      <c r="AG321" s="150">
        <v>43305</v>
      </c>
      <c r="AH321" s="143">
        <v>5768000</v>
      </c>
      <c r="AI321" s="64" t="s">
        <v>851</v>
      </c>
      <c r="AJ321" s="63">
        <v>455</v>
      </c>
      <c r="AK321" s="143">
        <f t="shared" si="26"/>
        <v>0</v>
      </c>
      <c r="AL321" s="143">
        <v>1297800</v>
      </c>
      <c r="AM321" s="143">
        <f t="shared" si="33"/>
        <v>4470200</v>
      </c>
      <c r="AN321" s="133"/>
      <c r="AO321" s="144">
        <f t="shared" si="32"/>
        <v>180250</v>
      </c>
      <c r="AP321" s="133"/>
      <c r="AQ321" s="133"/>
      <c r="AR321" s="133"/>
      <c r="AS321" s="133"/>
      <c r="AT321" s="133"/>
      <c r="AU321" s="220"/>
      <c r="AV321" s="220"/>
      <c r="AW321" s="220"/>
    </row>
    <row r="322" spans="1:49" s="221" customFormat="1" ht="399" x14ac:dyDescent="0.25">
      <c r="A322" s="63">
        <f t="shared" si="29"/>
        <v>136</v>
      </c>
      <c r="B322" s="128" t="str">
        <f t="shared" si="30"/>
        <v>208-136</v>
      </c>
      <c r="C322" s="129" t="s">
        <v>713</v>
      </c>
      <c r="D322" s="130" t="s">
        <v>714</v>
      </c>
      <c r="E322" s="131" t="s">
        <v>715</v>
      </c>
      <c r="F322" s="111" t="s">
        <v>52</v>
      </c>
      <c r="G322" s="145" t="s">
        <v>53</v>
      </c>
      <c r="H322" s="111" t="s">
        <v>733</v>
      </c>
      <c r="I322" s="111" t="s">
        <v>55</v>
      </c>
      <c r="J322" s="111" t="s">
        <v>56</v>
      </c>
      <c r="K322" s="63">
        <v>801116</v>
      </c>
      <c r="L322" s="111" t="s">
        <v>720</v>
      </c>
      <c r="M322" s="111" t="s">
        <v>58</v>
      </c>
      <c r="N322" s="111" t="s">
        <v>59</v>
      </c>
      <c r="O322" s="111" t="s">
        <v>728</v>
      </c>
      <c r="P322" s="227" t="s">
        <v>774</v>
      </c>
      <c r="Q322" s="134">
        <f t="shared" si="31"/>
        <v>463500</v>
      </c>
      <c r="R322" s="146">
        <v>1</v>
      </c>
      <c r="S322" s="136">
        <v>2317500</v>
      </c>
      <c r="T322" s="137" t="s">
        <v>747</v>
      </c>
      <c r="U322" s="148" t="s">
        <v>445</v>
      </c>
      <c r="V322" s="148" t="s">
        <v>844</v>
      </c>
      <c r="W322" s="153">
        <v>5</v>
      </c>
      <c r="X322" s="133">
        <v>134</v>
      </c>
      <c r="Y322" s="81">
        <v>43293</v>
      </c>
      <c r="Z322" s="136">
        <v>2317500</v>
      </c>
      <c r="AA322" s="140"/>
      <c r="AB322" s="141">
        <v>979</v>
      </c>
      <c r="AC322" s="150">
        <v>43297</v>
      </c>
      <c r="AD322" s="143">
        <v>2317500</v>
      </c>
      <c r="AE322" s="143">
        <f t="shared" si="28"/>
        <v>0</v>
      </c>
      <c r="AF322" s="133">
        <v>2561</v>
      </c>
      <c r="AG322" s="85">
        <v>43313</v>
      </c>
      <c r="AH322" s="143">
        <v>2317500</v>
      </c>
      <c r="AI322" s="63" t="s">
        <v>852</v>
      </c>
      <c r="AJ322" s="63">
        <v>465</v>
      </c>
      <c r="AK322" s="143">
        <f t="shared" si="26"/>
        <v>0</v>
      </c>
      <c r="AL322" s="143">
        <v>463500</v>
      </c>
      <c r="AM322" s="143">
        <f t="shared" si="33"/>
        <v>1854000</v>
      </c>
      <c r="AN322" s="133"/>
      <c r="AO322" s="144">
        <f t="shared" si="32"/>
        <v>0</v>
      </c>
      <c r="AP322" s="133"/>
      <c r="AQ322" s="133"/>
      <c r="AR322" s="133"/>
      <c r="AS322" s="133"/>
      <c r="AT322" s="133"/>
      <c r="AU322" s="220"/>
      <c r="AV322" s="220"/>
      <c r="AW322" s="220"/>
    </row>
    <row r="323" spans="1:49" s="221" customFormat="1" ht="370.5" x14ac:dyDescent="0.25">
      <c r="A323" s="63">
        <f t="shared" si="29"/>
        <v>137</v>
      </c>
      <c r="B323" s="128" t="str">
        <f t="shared" si="30"/>
        <v>208-137</v>
      </c>
      <c r="C323" s="129" t="s">
        <v>713</v>
      </c>
      <c r="D323" s="130" t="s">
        <v>714</v>
      </c>
      <c r="E323" s="145" t="s">
        <v>725</v>
      </c>
      <c r="F323" s="111" t="s">
        <v>52</v>
      </c>
      <c r="G323" s="145" t="s">
        <v>53</v>
      </c>
      <c r="H323" s="111" t="s">
        <v>733</v>
      </c>
      <c r="I323" s="111" t="s">
        <v>55</v>
      </c>
      <c r="J323" s="111" t="s">
        <v>56</v>
      </c>
      <c r="K323" s="63">
        <v>801116</v>
      </c>
      <c r="L323" s="111" t="s">
        <v>720</v>
      </c>
      <c r="M323" s="111" t="s">
        <v>58</v>
      </c>
      <c r="N323" s="111" t="s">
        <v>59</v>
      </c>
      <c r="O323" s="111" t="s">
        <v>728</v>
      </c>
      <c r="P323" s="227" t="s">
        <v>774</v>
      </c>
      <c r="Q323" s="134">
        <f t="shared" si="31"/>
        <v>1081500</v>
      </c>
      <c r="R323" s="146">
        <v>1</v>
      </c>
      <c r="S323" s="136">
        <v>5407500</v>
      </c>
      <c r="T323" s="137" t="s">
        <v>747</v>
      </c>
      <c r="U323" s="148" t="s">
        <v>445</v>
      </c>
      <c r="V323" s="148" t="s">
        <v>844</v>
      </c>
      <c r="W323" s="153">
        <v>5</v>
      </c>
      <c r="X323" s="133">
        <v>135</v>
      </c>
      <c r="Y323" s="81">
        <v>43293</v>
      </c>
      <c r="Z323" s="136">
        <v>5407500</v>
      </c>
      <c r="AA323" s="140"/>
      <c r="AB323" s="141">
        <v>979</v>
      </c>
      <c r="AC323" s="150">
        <v>43297</v>
      </c>
      <c r="AD323" s="143">
        <v>5407500</v>
      </c>
      <c r="AE323" s="143">
        <f t="shared" si="28"/>
        <v>0</v>
      </c>
      <c r="AF323" s="133">
        <v>2561</v>
      </c>
      <c r="AG323" s="85">
        <v>43313</v>
      </c>
      <c r="AH323" s="143">
        <v>5407500</v>
      </c>
      <c r="AI323" s="63" t="s">
        <v>852</v>
      </c>
      <c r="AJ323" s="63">
        <v>465</v>
      </c>
      <c r="AK323" s="143">
        <f t="shared" si="26"/>
        <v>0</v>
      </c>
      <c r="AL323" s="143">
        <v>1081500</v>
      </c>
      <c r="AM323" s="143">
        <f t="shared" si="33"/>
        <v>4326000</v>
      </c>
      <c r="AN323" s="133"/>
      <c r="AO323" s="144">
        <f t="shared" si="32"/>
        <v>0</v>
      </c>
      <c r="AP323" s="133"/>
      <c r="AQ323" s="133"/>
      <c r="AR323" s="133"/>
      <c r="AS323" s="133"/>
      <c r="AT323" s="133"/>
      <c r="AU323" s="220"/>
      <c r="AV323" s="220"/>
      <c r="AW323" s="220"/>
    </row>
    <row r="324" spans="1:49" s="221" customFormat="1" ht="399" x14ac:dyDescent="0.25">
      <c r="A324" s="63">
        <f t="shared" si="29"/>
        <v>138</v>
      </c>
      <c r="B324" s="128" t="str">
        <f t="shared" si="30"/>
        <v>208-138</v>
      </c>
      <c r="C324" s="129" t="s">
        <v>713</v>
      </c>
      <c r="D324" s="130" t="s">
        <v>714</v>
      </c>
      <c r="E324" s="131" t="s">
        <v>715</v>
      </c>
      <c r="F324" s="111" t="s">
        <v>52</v>
      </c>
      <c r="G324" s="145" t="s">
        <v>53</v>
      </c>
      <c r="H324" s="111" t="s">
        <v>733</v>
      </c>
      <c r="I324" s="111" t="s">
        <v>55</v>
      </c>
      <c r="J324" s="111" t="s">
        <v>56</v>
      </c>
      <c r="K324" s="63">
        <v>801116</v>
      </c>
      <c r="L324" s="111" t="s">
        <v>720</v>
      </c>
      <c r="M324" s="111" t="s">
        <v>58</v>
      </c>
      <c r="N324" s="111" t="s">
        <v>59</v>
      </c>
      <c r="O324" s="111" t="s">
        <v>728</v>
      </c>
      <c r="P324" s="227" t="s">
        <v>774</v>
      </c>
      <c r="Q324" s="134">
        <f t="shared" si="31"/>
        <v>463500</v>
      </c>
      <c r="R324" s="146">
        <v>1</v>
      </c>
      <c r="S324" s="136">
        <v>2317500</v>
      </c>
      <c r="T324" s="137" t="s">
        <v>747</v>
      </c>
      <c r="U324" s="148" t="s">
        <v>445</v>
      </c>
      <c r="V324" s="148" t="s">
        <v>844</v>
      </c>
      <c r="W324" s="153">
        <v>5</v>
      </c>
      <c r="X324" s="133">
        <v>136</v>
      </c>
      <c r="Y324" s="81">
        <v>43293</v>
      </c>
      <c r="Z324" s="136">
        <v>2317500</v>
      </c>
      <c r="AA324" s="140"/>
      <c r="AB324" s="141">
        <v>980</v>
      </c>
      <c r="AC324" s="150">
        <v>43297</v>
      </c>
      <c r="AD324" s="151">
        <v>2317500</v>
      </c>
      <c r="AE324" s="143">
        <f t="shared" si="28"/>
        <v>0</v>
      </c>
      <c r="AF324" s="133">
        <v>2548</v>
      </c>
      <c r="AG324" s="150">
        <v>43311</v>
      </c>
      <c r="AH324" s="151">
        <v>2317500</v>
      </c>
      <c r="AI324" s="63" t="s">
        <v>853</v>
      </c>
      <c r="AJ324" s="63">
        <v>466</v>
      </c>
      <c r="AK324" s="143">
        <f t="shared" si="26"/>
        <v>0</v>
      </c>
      <c r="AL324" s="143">
        <v>463500</v>
      </c>
      <c r="AM324" s="143">
        <f t="shared" si="33"/>
        <v>1854000</v>
      </c>
      <c r="AN324" s="133"/>
      <c r="AO324" s="144">
        <f t="shared" si="32"/>
        <v>0</v>
      </c>
      <c r="AP324" s="133"/>
      <c r="AQ324" s="133"/>
      <c r="AR324" s="133"/>
      <c r="AS324" s="133"/>
      <c r="AT324" s="133"/>
      <c r="AU324" s="220"/>
      <c r="AV324" s="220"/>
      <c r="AW324" s="220"/>
    </row>
    <row r="325" spans="1:49" s="221" customFormat="1" ht="370.5" x14ac:dyDescent="0.25">
      <c r="A325" s="63">
        <f t="shared" si="29"/>
        <v>139</v>
      </c>
      <c r="B325" s="128" t="str">
        <f t="shared" si="30"/>
        <v>208-139</v>
      </c>
      <c r="C325" s="129" t="s">
        <v>713</v>
      </c>
      <c r="D325" s="130" t="s">
        <v>714</v>
      </c>
      <c r="E325" s="145" t="s">
        <v>725</v>
      </c>
      <c r="F325" s="111" t="s">
        <v>52</v>
      </c>
      <c r="G325" s="145" t="s">
        <v>53</v>
      </c>
      <c r="H325" s="111" t="s">
        <v>733</v>
      </c>
      <c r="I325" s="111" t="s">
        <v>55</v>
      </c>
      <c r="J325" s="111" t="s">
        <v>56</v>
      </c>
      <c r="K325" s="63">
        <v>801116</v>
      </c>
      <c r="L325" s="111" t="s">
        <v>720</v>
      </c>
      <c r="M325" s="111" t="s">
        <v>58</v>
      </c>
      <c r="N325" s="111" t="s">
        <v>59</v>
      </c>
      <c r="O325" s="111" t="s">
        <v>728</v>
      </c>
      <c r="P325" s="227" t="s">
        <v>774</v>
      </c>
      <c r="Q325" s="134">
        <f t="shared" si="31"/>
        <v>1081500</v>
      </c>
      <c r="R325" s="146">
        <v>1</v>
      </c>
      <c r="S325" s="136">
        <v>5407500</v>
      </c>
      <c r="T325" s="137" t="s">
        <v>747</v>
      </c>
      <c r="U325" s="148" t="s">
        <v>445</v>
      </c>
      <c r="V325" s="148" t="s">
        <v>844</v>
      </c>
      <c r="W325" s="153">
        <v>5</v>
      </c>
      <c r="X325" s="133">
        <v>137</v>
      </c>
      <c r="Y325" s="81">
        <v>43293</v>
      </c>
      <c r="Z325" s="136">
        <v>5407500</v>
      </c>
      <c r="AA325" s="140"/>
      <c r="AB325" s="141">
        <v>980</v>
      </c>
      <c r="AC325" s="150">
        <v>43297</v>
      </c>
      <c r="AD325" s="151">
        <v>5407500</v>
      </c>
      <c r="AE325" s="143">
        <f t="shared" si="28"/>
        <v>0</v>
      </c>
      <c r="AF325" s="133">
        <v>2548</v>
      </c>
      <c r="AG325" s="150">
        <v>43311</v>
      </c>
      <c r="AH325" s="151">
        <v>5407500</v>
      </c>
      <c r="AI325" s="63" t="s">
        <v>853</v>
      </c>
      <c r="AJ325" s="63">
        <v>466</v>
      </c>
      <c r="AK325" s="143">
        <f t="shared" si="26"/>
        <v>0</v>
      </c>
      <c r="AL325" s="143">
        <v>1081500</v>
      </c>
      <c r="AM325" s="143">
        <f t="shared" si="33"/>
        <v>4326000</v>
      </c>
      <c r="AN325" s="133"/>
      <c r="AO325" s="144">
        <f t="shared" si="32"/>
        <v>0</v>
      </c>
      <c r="AP325" s="133"/>
      <c r="AQ325" s="133"/>
      <c r="AR325" s="133"/>
      <c r="AS325" s="133"/>
      <c r="AT325" s="133"/>
      <c r="AU325" s="220"/>
      <c r="AV325" s="220"/>
      <c r="AW325" s="220"/>
    </row>
    <row r="326" spans="1:49" s="221" customFormat="1" ht="399" x14ac:dyDescent="0.25">
      <c r="A326" s="63">
        <f t="shared" si="29"/>
        <v>140</v>
      </c>
      <c r="B326" s="128" t="str">
        <f t="shared" si="30"/>
        <v>208-140</v>
      </c>
      <c r="C326" s="129" t="s">
        <v>713</v>
      </c>
      <c r="D326" s="130" t="s">
        <v>714</v>
      </c>
      <c r="E326" s="131" t="s">
        <v>715</v>
      </c>
      <c r="F326" s="111" t="s">
        <v>52</v>
      </c>
      <c r="G326" s="145" t="s">
        <v>53</v>
      </c>
      <c r="H326" s="111" t="s">
        <v>733</v>
      </c>
      <c r="I326" s="111" t="s">
        <v>55</v>
      </c>
      <c r="J326" s="111" t="s">
        <v>56</v>
      </c>
      <c r="K326" s="63">
        <v>801116</v>
      </c>
      <c r="L326" s="111" t="s">
        <v>720</v>
      </c>
      <c r="M326" s="111" t="s">
        <v>58</v>
      </c>
      <c r="N326" s="111" t="s">
        <v>59</v>
      </c>
      <c r="O326" s="111" t="s">
        <v>728</v>
      </c>
      <c r="P326" s="227" t="s">
        <v>854</v>
      </c>
      <c r="Q326" s="134">
        <f t="shared" si="31"/>
        <v>1359600</v>
      </c>
      <c r="R326" s="146">
        <v>1</v>
      </c>
      <c r="S326" s="136">
        <v>1359600</v>
      </c>
      <c r="T326" s="137" t="s">
        <v>747</v>
      </c>
      <c r="U326" s="148" t="s">
        <v>445</v>
      </c>
      <c r="V326" s="148" t="s">
        <v>844</v>
      </c>
      <c r="W326" s="153">
        <v>1</v>
      </c>
      <c r="X326" s="133">
        <v>138</v>
      </c>
      <c r="Y326" s="81">
        <v>43298</v>
      </c>
      <c r="Z326" s="136">
        <v>1359600</v>
      </c>
      <c r="AA326" s="140"/>
      <c r="AB326" s="141">
        <v>984</v>
      </c>
      <c r="AC326" s="150">
        <v>43299</v>
      </c>
      <c r="AD326" s="143">
        <v>1359600</v>
      </c>
      <c r="AE326" s="143">
        <f t="shared" si="28"/>
        <v>0</v>
      </c>
      <c r="AF326" s="133">
        <v>2518</v>
      </c>
      <c r="AG326" s="150">
        <v>43300</v>
      </c>
      <c r="AH326" s="143">
        <v>1359600</v>
      </c>
      <c r="AI326" s="63" t="s">
        <v>855</v>
      </c>
      <c r="AJ326" s="63">
        <v>226</v>
      </c>
      <c r="AK326" s="143">
        <f t="shared" ref="AK326:AK350" si="34">AD326-AH326</f>
        <v>0</v>
      </c>
      <c r="AL326" s="143">
        <v>1359600</v>
      </c>
      <c r="AM326" s="143">
        <f t="shared" si="33"/>
        <v>0</v>
      </c>
      <c r="AN326" s="133"/>
      <c r="AO326" s="144">
        <f t="shared" si="32"/>
        <v>0</v>
      </c>
      <c r="AP326" s="133"/>
      <c r="AQ326" s="133"/>
      <c r="AR326" s="133"/>
      <c r="AS326" s="133"/>
      <c r="AT326" s="133"/>
      <c r="AU326" s="220"/>
      <c r="AV326" s="220"/>
      <c r="AW326" s="220"/>
    </row>
    <row r="327" spans="1:49" s="221" customFormat="1" ht="384.75" x14ac:dyDescent="0.25">
      <c r="A327" s="63">
        <f t="shared" si="29"/>
        <v>141</v>
      </c>
      <c r="B327" s="128" t="str">
        <f t="shared" si="30"/>
        <v>208-141</v>
      </c>
      <c r="C327" s="129" t="s">
        <v>713</v>
      </c>
      <c r="D327" s="130" t="s">
        <v>714</v>
      </c>
      <c r="E327" s="145" t="s">
        <v>725</v>
      </c>
      <c r="F327" s="111" t="s">
        <v>52</v>
      </c>
      <c r="G327" s="145" t="s">
        <v>53</v>
      </c>
      <c r="H327" s="111" t="s">
        <v>733</v>
      </c>
      <c r="I327" s="111" t="s">
        <v>55</v>
      </c>
      <c r="J327" s="111" t="s">
        <v>56</v>
      </c>
      <c r="K327" s="63">
        <v>801116</v>
      </c>
      <c r="L327" s="111" t="s">
        <v>720</v>
      </c>
      <c r="M327" s="111" t="s">
        <v>58</v>
      </c>
      <c r="N327" s="111" t="s">
        <v>59</v>
      </c>
      <c r="O327" s="111" t="s">
        <v>728</v>
      </c>
      <c r="P327" s="227" t="s">
        <v>854</v>
      </c>
      <c r="Q327" s="134">
        <f t="shared" si="31"/>
        <v>3172400</v>
      </c>
      <c r="R327" s="146">
        <v>1</v>
      </c>
      <c r="S327" s="136">
        <v>3172400</v>
      </c>
      <c r="T327" s="137" t="s">
        <v>747</v>
      </c>
      <c r="U327" s="148" t="s">
        <v>445</v>
      </c>
      <c r="V327" s="148" t="s">
        <v>844</v>
      </c>
      <c r="W327" s="153">
        <v>1</v>
      </c>
      <c r="X327" s="133">
        <v>139</v>
      </c>
      <c r="Y327" s="81">
        <v>43298</v>
      </c>
      <c r="Z327" s="136">
        <v>3172400</v>
      </c>
      <c r="AA327" s="140"/>
      <c r="AB327" s="141">
        <v>984</v>
      </c>
      <c r="AC327" s="150">
        <v>43299</v>
      </c>
      <c r="AD327" s="143">
        <v>3172400</v>
      </c>
      <c r="AE327" s="143">
        <f t="shared" si="28"/>
        <v>0</v>
      </c>
      <c r="AF327" s="133">
        <v>2518</v>
      </c>
      <c r="AG327" s="150">
        <v>43300</v>
      </c>
      <c r="AH327" s="143">
        <v>3172400</v>
      </c>
      <c r="AI327" s="63" t="s">
        <v>855</v>
      </c>
      <c r="AJ327" s="63">
        <v>226</v>
      </c>
      <c r="AK327" s="143">
        <f t="shared" si="34"/>
        <v>0</v>
      </c>
      <c r="AL327" s="143">
        <v>3172400</v>
      </c>
      <c r="AM327" s="143">
        <f t="shared" si="33"/>
        <v>0</v>
      </c>
      <c r="AN327" s="133"/>
      <c r="AO327" s="144">
        <f t="shared" si="32"/>
        <v>0</v>
      </c>
      <c r="AP327" s="133"/>
      <c r="AQ327" s="133"/>
      <c r="AR327" s="133"/>
      <c r="AS327" s="133"/>
      <c r="AT327" s="133"/>
      <c r="AU327" s="220"/>
      <c r="AV327" s="220"/>
      <c r="AW327" s="220"/>
    </row>
    <row r="328" spans="1:49" s="221" customFormat="1" ht="399" x14ac:dyDescent="0.25">
      <c r="A328" s="63">
        <f t="shared" si="29"/>
        <v>142</v>
      </c>
      <c r="B328" s="128" t="str">
        <f t="shared" si="30"/>
        <v>208-142</v>
      </c>
      <c r="C328" s="129" t="s">
        <v>713</v>
      </c>
      <c r="D328" s="130" t="s">
        <v>714</v>
      </c>
      <c r="E328" s="131" t="s">
        <v>715</v>
      </c>
      <c r="F328" s="111" t="s">
        <v>52</v>
      </c>
      <c r="G328" s="145" t="s">
        <v>53</v>
      </c>
      <c r="H328" s="111" t="s">
        <v>733</v>
      </c>
      <c r="I328" s="111" t="s">
        <v>55</v>
      </c>
      <c r="J328" s="111" t="s">
        <v>56</v>
      </c>
      <c r="K328" s="63">
        <v>801116</v>
      </c>
      <c r="L328" s="111" t="s">
        <v>720</v>
      </c>
      <c r="M328" s="111" t="s">
        <v>58</v>
      </c>
      <c r="N328" s="111" t="s">
        <v>59</v>
      </c>
      <c r="O328" s="111" t="s">
        <v>728</v>
      </c>
      <c r="P328" s="227" t="s">
        <v>856</v>
      </c>
      <c r="Q328" s="134">
        <f t="shared" si="31"/>
        <v>1066050</v>
      </c>
      <c r="R328" s="146">
        <v>1</v>
      </c>
      <c r="S328" s="136">
        <v>5330250</v>
      </c>
      <c r="T328" s="137" t="s">
        <v>747</v>
      </c>
      <c r="U328" s="148" t="s">
        <v>445</v>
      </c>
      <c r="V328" s="148" t="s">
        <v>844</v>
      </c>
      <c r="W328" s="153">
        <v>5</v>
      </c>
      <c r="X328" s="133">
        <v>140</v>
      </c>
      <c r="Y328" s="81">
        <v>43298</v>
      </c>
      <c r="Z328" s="136">
        <v>5330250</v>
      </c>
      <c r="AA328" s="140"/>
      <c r="AB328" s="141">
        <v>987</v>
      </c>
      <c r="AC328" s="81">
        <v>43299</v>
      </c>
      <c r="AD328" s="151">
        <v>5330250</v>
      </c>
      <c r="AE328" s="143">
        <f t="shared" si="28"/>
        <v>0</v>
      </c>
      <c r="AF328" s="133">
        <v>2597</v>
      </c>
      <c r="AG328" s="81">
        <v>43315</v>
      </c>
      <c r="AH328" s="143">
        <v>5330250</v>
      </c>
      <c r="AI328" s="63" t="s">
        <v>857</v>
      </c>
      <c r="AJ328" s="63">
        <v>476</v>
      </c>
      <c r="AK328" s="143">
        <f t="shared" si="34"/>
        <v>0</v>
      </c>
      <c r="AL328" s="143">
        <v>1030515</v>
      </c>
      <c r="AM328" s="143">
        <f t="shared" si="33"/>
        <v>4299735</v>
      </c>
      <c r="AN328" s="133"/>
      <c r="AO328" s="144">
        <f t="shared" si="32"/>
        <v>0</v>
      </c>
      <c r="AP328" s="133"/>
      <c r="AQ328" s="133"/>
      <c r="AR328" s="133"/>
      <c r="AS328" s="133"/>
      <c r="AT328" s="133"/>
      <c r="AU328" s="220"/>
      <c r="AV328" s="220"/>
      <c r="AW328" s="220"/>
    </row>
    <row r="329" spans="1:49" s="221" customFormat="1" ht="370.5" x14ac:dyDescent="0.25">
      <c r="A329" s="63">
        <f t="shared" si="29"/>
        <v>143</v>
      </c>
      <c r="B329" s="128" t="str">
        <f t="shared" si="30"/>
        <v>208-143</v>
      </c>
      <c r="C329" s="129" t="s">
        <v>713</v>
      </c>
      <c r="D329" s="130" t="s">
        <v>714</v>
      </c>
      <c r="E329" s="145" t="s">
        <v>725</v>
      </c>
      <c r="F329" s="111" t="s">
        <v>52</v>
      </c>
      <c r="G329" s="145" t="s">
        <v>53</v>
      </c>
      <c r="H329" s="111" t="s">
        <v>733</v>
      </c>
      <c r="I329" s="111" t="s">
        <v>55</v>
      </c>
      <c r="J329" s="111" t="s">
        <v>56</v>
      </c>
      <c r="K329" s="63">
        <v>801116</v>
      </c>
      <c r="L329" s="111" t="s">
        <v>720</v>
      </c>
      <c r="M329" s="111" t="s">
        <v>58</v>
      </c>
      <c r="N329" s="111" t="s">
        <v>59</v>
      </c>
      <c r="O329" s="111" t="s">
        <v>728</v>
      </c>
      <c r="P329" s="227" t="s">
        <v>856</v>
      </c>
      <c r="Q329" s="134">
        <f t="shared" si="31"/>
        <v>2487450</v>
      </c>
      <c r="R329" s="146">
        <v>1</v>
      </c>
      <c r="S329" s="136">
        <v>12437250</v>
      </c>
      <c r="T329" s="137" t="s">
        <v>747</v>
      </c>
      <c r="U329" s="148" t="s">
        <v>445</v>
      </c>
      <c r="V329" s="148" t="s">
        <v>844</v>
      </c>
      <c r="W329" s="153">
        <v>5</v>
      </c>
      <c r="X329" s="133">
        <v>141</v>
      </c>
      <c r="Y329" s="81">
        <v>43298</v>
      </c>
      <c r="Z329" s="136">
        <v>12437250</v>
      </c>
      <c r="AA329" s="140"/>
      <c r="AB329" s="141">
        <v>987</v>
      </c>
      <c r="AC329" s="150">
        <v>43299</v>
      </c>
      <c r="AD329" s="151">
        <v>12437250</v>
      </c>
      <c r="AE329" s="143">
        <f t="shared" si="28"/>
        <v>0</v>
      </c>
      <c r="AF329" s="133">
        <v>2597</v>
      </c>
      <c r="AG329" s="81">
        <v>43315</v>
      </c>
      <c r="AH329" s="143">
        <v>12437250</v>
      </c>
      <c r="AI329" s="63" t="s">
        <v>857</v>
      </c>
      <c r="AJ329" s="63">
        <v>476</v>
      </c>
      <c r="AK329" s="143">
        <f t="shared" si="34"/>
        <v>0</v>
      </c>
      <c r="AL329" s="143">
        <v>2404535</v>
      </c>
      <c r="AM329" s="143">
        <f t="shared" si="33"/>
        <v>10032715</v>
      </c>
      <c r="AN329" s="133"/>
      <c r="AO329" s="144">
        <f t="shared" si="32"/>
        <v>0</v>
      </c>
      <c r="AP329" s="133"/>
      <c r="AQ329" s="133"/>
      <c r="AR329" s="133"/>
      <c r="AS329" s="133"/>
      <c r="AT329" s="133"/>
      <c r="AU329" s="220"/>
      <c r="AV329" s="220"/>
      <c r="AW329" s="220"/>
    </row>
    <row r="330" spans="1:49" s="221" customFormat="1" ht="399" x14ac:dyDescent="0.25">
      <c r="A330" s="63">
        <f t="shared" si="29"/>
        <v>144</v>
      </c>
      <c r="B330" s="128" t="str">
        <f t="shared" si="30"/>
        <v>208-144</v>
      </c>
      <c r="C330" s="129" t="s">
        <v>713</v>
      </c>
      <c r="D330" s="130" t="s">
        <v>714</v>
      </c>
      <c r="E330" s="131" t="s">
        <v>715</v>
      </c>
      <c r="F330" s="111" t="s">
        <v>52</v>
      </c>
      <c r="G330" s="145" t="s">
        <v>53</v>
      </c>
      <c r="H330" s="111" t="s">
        <v>733</v>
      </c>
      <c r="I330" s="111" t="s">
        <v>55</v>
      </c>
      <c r="J330" s="111" t="s">
        <v>56</v>
      </c>
      <c r="K330" s="63">
        <v>801116</v>
      </c>
      <c r="L330" s="111" t="s">
        <v>720</v>
      </c>
      <c r="M330" s="111" t="s">
        <v>58</v>
      </c>
      <c r="N330" s="111" t="s">
        <v>59</v>
      </c>
      <c r="O330" s="111" t="s">
        <v>728</v>
      </c>
      <c r="P330" s="227" t="s">
        <v>795</v>
      </c>
      <c r="Q330" s="134">
        <f t="shared" si="31"/>
        <v>1066050</v>
      </c>
      <c r="R330" s="146">
        <v>1</v>
      </c>
      <c r="S330" s="136">
        <v>5330250</v>
      </c>
      <c r="T330" s="137" t="s">
        <v>747</v>
      </c>
      <c r="U330" s="148" t="s">
        <v>445</v>
      </c>
      <c r="V330" s="148" t="s">
        <v>844</v>
      </c>
      <c r="W330" s="153">
        <v>5</v>
      </c>
      <c r="X330" s="133">
        <v>142</v>
      </c>
      <c r="Y330" s="81">
        <v>43298</v>
      </c>
      <c r="Z330" s="136">
        <v>5330250</v>
      </c>
      <c r="AA330" s="140"/>
      <c r="AB330" s="141">
        <v>986</v>
      </c>
      <c r="AC330" s="150">
        <v>43299</v>
      </c>
      <c r="AD330" s="143">
        <v>4974900</v>
      </c>
      <c r="AE330" s="143">
        <f t="shared" si="28"/>
        <v>355350</v>
      </c>
      <c r="AF330" s="133">
        <v>2647</v>
      </c>
      <c r="AG330" s="81">
        <v>43326</v>
      </c>
      <c r="AH330" s="143">
        <v>4974900</v>
      </c>
      <c r="AI330" s="63" t="s">
        <v>858</v>
      </c>
      <c r="AJ330" s="63">
        <v>487</v>
      </c>
      <c r="AK330" s="143">
        <f t="shared" si="34"/>
        <v>0</v>
      </c>
      <c r="AL330" s="143">
        <v>497490</v>
      </c>
      <c r="AM330" s="143">
        <f t="shared" si="33"/>
        <v>4477410</v>
      </c>
      <c r="AN330" s="133"/>
      <c r="AO330" s="144">
        <f t="shared" si="32"/>
        <v>355350</v>
      </c>
      <c r="AP330" s="133"/>
      <c r="AQ330" s="133"/>
      <c r="AR330" s="133"/>
      <c r="AS330" s="133"/>
      <c r="AT330" s="133"/>
      <c r="AU330" s="220"/>
      <c r="AV330" s="220"/>
      <c r="AW330" s="220"/>
    </row>
    <row r="331" spans="1:49" s="221" customFormat="1" ht="370.5" x14ac:dyDescent="0.25">
      <c r="A331" s="63">
        <f t="shared" si="29"/>
        <v>145</v>
      </c>
      <c r="B331" s="128" t="str">
        <f t="shared" si="30"/>
        <v>208-145</v>
      </c>
      <c r="C331" s="129" t="s">
        <v>713</v>
      </c>
      <c r="D331" s="130" t="s">
        <v>714</v>
      </c>
      <c r="E331" s="145" t="s">
        <v>725</v>
      </c>
      <c r="F331" s="111" t="s">
        <v>52</v>
      </c>
      <c r="G331" s="145" t="s">
        <v>53</v>
      </c>
      <c r="H331" s="111" t="s">
        <v>733</v>
      </c>
      <c r="I331" s="111" t="s">
        <v>55</v>
      </c>
      <c r="J331" s="111" t="s">
        <v>56</v>
      </c>
      <c r="K331" s="63">
        <v>801116</v>
      </c>
      <c r="L331" s="111" t="s">
        <v>720</v>
      </c>
      <c r="M331" s="111" t="s">
        <v>58</v>
      </c>
      <c r="N331" s="111" t="s">
        <v>59</v>
      </c>
      <c r="O331" s="111" t="s">
        <v>728</v>
      </c>
      <c r="P331" s="227" t="s">
        <v>795</v>
      </c>
      <c r="Q331" s="134">
        <f t="shared" si="31"/>
        <v>2487100</v>
      </c>
      <c r="R331" s="146">
        <v>1</v>
      </c>
      <c r="S331" s="136">
        <v>12435500</v>
      </c>
      <c r="T331" s="137" t="s">
        <v>747</v>
      </c>
      <c r="U331" s="148" t="s">
        <v>445</v>
      </c>
      <c r="V331" s="148" t="s">
        <v>844</v>
      </c>
      <c r="W331" s="153">
        <v>5</v>
      </c>
      <c r="X331" s="133">
        <v>143</v>
      </c>
      <c r="Y331" s="81">
        <v>43298</v>
      </c>
      <c r="Z331" s="136">
        <v>12435500</v>
      </c>
      <c r="AA331" s="140"/>
      <c r="AB331" s="141">
        <v>986</v>
      </c>
      <c r="AC331" s="150">
        <v>43299</v>
      </c>
      <c r="AD331" s="143">
        <v>11608100</v>
      </c>
      <c r="AE331" s="143">
        <f t="shared" si="28"/>
        <v>827400</v>
      </c>
      <c r="AF331" s="133">
        <v>2647</v>
      </c>
      <c r="AG331" s="81">
        <v>43326</v>
      </c>
      <c r="AH331" s="143">
        <v>11608100</v>
      </c>
      <c r="AI331" s="63" t="s">
        <v>858</v>
      </c>
      <c r="AJ331" s="63">
        <v>487</v>
      </c>
      <c r="AK331" s="143">
        <f t="shared" si="34"/>
        <v>0</v>
      </c>
      <c r="AL331" s="143">
        <v>1160810</v>
      </c>
      <c r="AM331" s="143">
        <f t="shared" si="33"/>
        <v>10447290</v>
      </c>
      <c r="AN331" s="133"/>
      <c r="AO331" s="144">
        <f t="shared" si="32"/>
        <v>827400</v>
      </c>
      <c r="AP331" s="133"/>
      <c r="AQ331" s="133"/>
      <c r="AR331" s="133"/>
      <c r="AS331" s="133"/>
      <c r="AT331" s="133"/>
      <c r="AU331" s="220"/>
      <c r="AV331" s="220"/>
      <c r="AW331" s="220"/>
    </row>
    <row r="332" spans="1:49" s="221" customFormat="1" ht="399" x14ac:dyDescent="0.25">
      <c r="A332" s="63">
        <f t="shared" si="29"/>
        <v>146</v>
      </c>
      <c r="B332" s="128" t="str">
        <f t="shared" si="30"/>
        <v>208-146</v>
      </c>
      <c r="C332" s="129" t="s">
        <v>713</v>
      </c>
      <c r="D332" s="130" t="s">
        <v>714</v>
      </c>
      <c r="E332" s="131" t="s">
        <v>715</v>
      </c>
      <c r="F332" s="111" t="s">
        <v>52</v>
      </c>
      <c r="G332" s="145" t="s">
        <v>53</v>
      </c>
      <c r="H332" s="111" t="s">
        <v>733</v>
      </c>
      <c r="I332" s="111" t="s">
        <v>55</v>
      </c>
      <c r="J332" s="111" t="s">
        <v>56</v>
      </c>
      <c r="K332" s="63">
        <v>801116</v>
      </c>
      <c r="L332" s="111" t="s">
        <v>720</v>
      </c>
      <c r="M332" s="111" t="s">
        <v>58</v>
      </c>
      <c r="N332" s="111" t="s">
        <v>59</v>
      </c>
      <c r="O332" s="111" t="s">
        <v>728</v>
      </c>
      <c r="P332" s="227" t="s">
        <v>774</v>
      </c>
      <c r="Q332" s="134">
        <f t="shared" si="31"/>
        <v>463500</v>
      </c>
      <c r="R332" s="146">
        <v>1</v>
      </c>
      <c r="S332" s="136">
        <v>2317500</v>
      </c>
      <c r="T332" s="137" t="s">
        <v>747</v>
      </c>
      <c r="U332" s="148" t="s">
        <v>445</v>
      </c>
      <c r="V332" s="148" t="s">
        <v>844</v>
      </c>
      <c r="W332" s="153">
        <v>5</v>
      </c>
      <c r="X332" s="133">
        <v>144</v>
      </c>
      <c r="Y332" s="81">
        <v>43298</v>
      </c>
      <c r="Z332" s="136">
        <v>2317500</v>
      </c>
      <c r="AA332" s="140"/>
      <c r="AB332" s="141">
        <v>989</v>
      </c>
      <c r="AC332" s="81">
        <v>43299</v>
      </c>
      <c r="AD332" s="143">
        <v>2023950</v>
      </c>
      <c r="AE332" s="143">
        <f t="shared" si="28"/>
        <v>293550</v>
      </c>
      <c r="AF332" s="133">
        <v>2723</v>
      </c>
      <c r="AG332" s="74">
        <v>43335</v>
      </c>
      <c r="AH332" s="143">
        <v>2023950</v>
      </c>
      <c r="AI332" s="63" t="s">
        <v>859</v>
      </c>
      <c r="AJ332" s="63">
        <v>518</v>
      </c>
      <c r="AK332" s="143">
        <f t="shared" si="34"/>
        <v>0</v>
      </c>
      <c r="AL332" s="143">
        <v>108150</v>
      </c>
      <c r="AM332" s="143">
        <f t="shared" si="33"/>
        <v>1915800</v>
      </c>
      <c r="AN332" s="133"/>
      <c r="AO332" s="144">
        <f t="shared" si="32"/>
        <v>293550</v>
      </c>
      <c r="AP332" s="133"/>
      <c r="AQ332" s="133"/>
      <c r="AR332" s="133"/>
      <c r="AS332" s="133"/>
      <c r="AT332" s="133"/>
      <c r="AU332" s="220"/>
      <c r="AV332" s="220"/>
      <c r="AW332" s="220"/>
    </row>
    <row r="333" spans="1:49" s="221" customFormat="1" ht="370.5" x14ac:dyDescent="0.25">
      <c r="A333" s="63">
        <f t="shared" si="29"/>
        <v>147</v>
      </c>
      <c r="B333" s="128" t="str">
        <f t="shared" si="30"/>
        <v>208-147</v>
      </c>
      <c r="C333" s="129" t="s">
        <v>713</v>
      </c>
      <c r="D333" s="130" t="s">
        <v>714</v>
      </c>
      <c r="E333" s="145" t="s">
        <v>725</v>
      </c>
      <c r="F333" s="111" t="s">
        <v>52</v>
      </c>
      <c r="G333" s="145" t="s">
        <v>53</v>
      </c>
      <c r="H333" s="111" t="s">
        <v>733</v>
      </c>
      <c r="I333" s="111" t="s">
        <v>55</v>
      </c>
      <c r="J333" s="111" t="s">
        <v>56</v>
      </c>
      <c r="K333" s="63">
        <v>801116</v>
      </c>
      <c r="L333" s="111" t="s">
        <v>720</v>
      </c>
      <c r="M333" s="111" t="s">
        <v>58</v>
      </c>
      <c r="N333" s="111" t="s">
        <v>59</v>
      </c>
      <c r="O333" s="111" t="s">
        <v>728</v>
      </c>
      <c r="P333" s="227" t="s">
        <v>774</v>
      </c>
      <c r="Q333" s="134">
        <f t="shared" si="31"/>
        <v>1081500</v>
      </c>
      <c r="R333" s="146">
        <v>1</v>
      </c>
      <c r="S333" s="136">
        <v>5407500</v>
      </c>
      <c r="T333" s="137" t="s">
        <v>747</v>
      </c>
      <c r="U333" s="148" t="s">
        <v>445</v>
      </c>
      <c r="V333" s="148" t="s">
        <v>844</v>
      </c>
      <c r="W333" s="153">
        <v>5</v>
      </c>
      <c r="X333" s="133">
        <v>145</v>
      </c>
      <c r="Y333" s="81">
        <v>43298</v>
      </c>
      <c r="Z333" s="136">
        <v>5407500</v>
      </c>
      <c r="AA333" s="140"/>
      <c r="AB333" s="141">
        <v>989</v>
      </c>
      <c r="AC333" s="81">
        <v>43299</v>
      </c>
      <c r="AD333" s="143">
        <v>4722550</v>
      </c>
      <c r="AE333" s="143">
        <f t="shared" si="28"/>
        <v>684950</v>
      </c>
      <c r="AF333" s="133">
        <v>2723</v>
      </c>
      <c r="AG333" s="74">
        <v>43335</v>
      </c>
      <c r="AH333" s="143">
        <v>4722550</v>
      </c>
      <c r="AI333" s="63" t="s">
        <v>859</v>
      </c>
      <c r="AJ333" s="63">
        <v>518</v>
      </c>
      <c r="AK333" s="143">
        <f t="shared" si="34"/>
        <v>0</v>
      </c>
      <c r="AL333" s="143">
        <v>252349.99999999997</v>
      </c>
      <c r="AM333" s="143">
        <f t="shared" si="33"/>
        <v>4470200</v>
      </c>
      <c r="AN333" s="133"/>
      <c r="AO333" s="144">
        <f t="shared" si="32"/>
        <v>684950</v>
      </c>
      <c r="AP333" s="133"/>
      <c r="AQ333" s="133"/>
      <c r="AR333" s="133"/>
      <c r="AS333" s="133"/>
      <c r="AT333" s="133"/>
      <c r="AU333" s="220"/>
      <c r="AV333" s="220"/>
      <c r="AW333" s="220"/>
    </row>
    <row r="334" spans="1:49" s="221" customFormat="1" ht="399" x14ac:dyDescent="0.25">
      <c r="A334" s="63">
        <f t="shared" si="29"/>
        <v>148</v>
      </c>
      <c r="B334" s="128" t="str">
        <f t="shared" si="30"/>
        <v>208-148</v>
      </c>
      <c r="C334" s="129" t="s">
        <v>713</v>
      </c>
      <c r="D334" s="130" t="s">
        <v>714</v>
      </c>
      <c r="E334" s="131" t="s">
        <v>715</v>
      </c>
      <c r="F334" s="111" t="s">
        <v>52</v>
      </c>
      <c r="G334" s="145" t="s">
        <v>53</v>
      </c>
      <c r="H334" s="111" t="s">
        <v>733</v>
      </c>
      <c r="I334" s="111" t="s">
        <v>55</v>
      </c>
      <c r="J334" s="111" t="s">
        <v>56</v>
      </c>
      <c r="K334" s="63">
        <v>801116</v>
      </c>
      <c r="L334" s="111" t="s">
        <v>720</v>
      </c>
      <c r="M334" s="111" t="s">
        <v>58</v>
      </c>
      <c r="N334" s="111" t="s">
        <v>59</v>
      </c>
      <c r="O334" s="111" t="s">
        <v>728</v>
      </c>
      <c r="P334" s="227" t="s">
        <v>860</v>
      </c>
      <c r="Q334" s="134">
        <f t="shared" si="31"/>
        <v>1854000</v>
      </c>
      <c r="R334" s="146">
        <v>1</v>
      </c>
      <c r="S334" s="136">
        <v>9270000</v>
      </c>
      <c r="T334" s="137" t="s">
        <v>747</v>
      </c>
      <c r="U334" s="148" t="s">
        <v>445</v>
      </c>
      <c r="V334" s="148" t="s">
        <v>431</v>
      </c>
      <c r="W334" s="153">
        <v>5</v>
      </c>
      <c r="X334" s="133">
        <v>146</v>
      </c>
      <c r="Y334" s="81">
        <v>43306</v>
      </c>
      <c r="Z334" s="136">
        <v>9270000</v>
      </c>
      <c r="AA334" s="140"/>
      <c r="AB334" s="141">
        <v>1004</v>
      </c>
      <c r="AC334" s="81">
        <v>43308</v>
      </c>
      <c r="AD334" s="151">
        <v>9270000</v>
      </c>
      <c r="AE334" s="143">
        <f t="shared" si="28"/>
        <v>0</v>
      </c>
      <c r="AF334" s="133">
        <v>2652</v>
      </c>
      <c r="AG334" s="81">
        <v>43326</v>
      </c>
      <c r="AH334" s="143">
        <v>9270000</v>
      </c>
      <c r="AI334" s="63" t="s">
        <v>861</v>
      </c>
      <c r="AJ334" s="63">
        <v>1004</v>
      </c>
      <c r="AK334" s="143">
        <f t="shared" si="34"/>
        <v>0</v>
      </c>
      <c r="AL334" s="143">
        <v>927000</v>
      </c>
      <c r="AM334" s="143">
        <f t="shared" si="33"/>
        <v>8343000</v>
      </c>
      <c r="AN334" s="133"/>
      <c r="AO334" s="144">
        <f t="shared" si="32"/>
        <v>0</v>
      </c>
      <c r="AP334" s="133"/>
      <c r="AQ334" s="133"/>
      <c r="AR334" s="133"/>
      <c r="AS334" s="133"/>
      <c r="AT334" s="133"/>
      <c r="AU334" s="220"/>
      <c r="AV334" s="220"/>
      <c r="AW334" s="220"/>
    </row>
    <row r="335" spans="1:49" s="221" customFormat="1" ht="370.5" x14ac:dyDescent="0.25">
      <c r="A335" s="63">
        <f t="shared" si="29"/>
        <v>149</v>
      </c>
      <c r="B335" s="128" t="str">
        <f t="shared" si="30"/>
        <v>208-149</v>
      </c>
      <c r="C335" s="129" t="s">
        <v>713</v>
      </c>
      <c r="D335" s="130" t="s">
        <v>714</v>
      </c>
      <c r="E335" s="145" t="s">
        <v>725</v>
      </c>
      <c r="F335" s="111" t="s">
        <v>52</v>
      </c>
      <c r="G335" s="145" t="s">
        <v>53</v>
      </c>
      <c r="H335" s="111" t="s">
        <v>733</v>
      </c>
      <c r="I335" s="111" t="s">
        <v>55</v>
      </c>
      <c r="J335" s="111" t="s">
        <v>56</v>
      </c>
      <c r="K335" s="63">
        <v>801116</v>
      </c>
      <c r="L335" s="111" t="s">
        <v>720</v>
      </c>
      <c r="M335" s="111" t="s">
        <v>58</v>
      </c>
      <c r="N335" s="111" t="s">
        <v>59</v>
      </c>
      <c r="O335" s="111" t="s">
        <v>728</v>
      </c>
      <c r="P335" s="227" t="s">
        <v>860</v>
      </c>
      <c r="Q335" s="134">
        <f t="shared" si="31"/>
        <v>4326000</v>
      </c>
      <c r="R335" s="146">
        <v>1</v>
      </c>
      <c r="S335" s="136">
        <v>21630000</v>
      </c>
      <c r="T335" s="137" t="s">
        <v>747</v>
      </c>
      <c r="U335" s="148" t="s">
        <v>445</v>
      </c>
      <c r="V335" s="148" t="s">
        <v>431</v>
      </c>
      <c r="W335" s="153">
        <v>5</v>
      </c>
      <c r="X335" s="133">
        <v>147</v>
      </c>
      <c r="Y335" s="81">
        <v>43306</v>
      </c>
      <c r="Z335" s="136">
        <v>21630000</v>
      </c>
      <c r="AA335" s="140"/>
      <c r="AB335" s="141">
        <v>1004</v>
      </c>
      <c r="AC335" s="81">
        <v>43308</v>
      </c>
      <c r="AD335" s="151">
        <v>21630000</v>
      </c>
      <c r="AE335" s="143">
        <f t="shared" si="28"/>
        <v>0</v>
      </c>
      <c r="AF335" s="133">
        <v>2652</v>
      </c>
      <c r="AG335" s="81">
        <v>43326</v>
      </c>
      <c r="AH335" s="143">
        <v>21630000</v>
      </c>
      <c r="AI335" s="63" t="s">
        <v>861</v>
      </c>
      <c r="AJ335" s="63">
        <v>1004</v>
      </c>
      <c r="AK335" s="143">
        <f t="shared" si="34"/>
        <v>0</v>
      </c>
      <c r="AL335" s="143">
        <v>2163000</v>
      </c>
      <c r="AM335" s="143">
        <f t="shared" si="33"/>
        <v>19467000</v>
      </c>
      <c r="AN335" s="133"/>
      <c r="AO335" s="144">
        <f t="shared" si="32"/>
        <v>0</v>
      </c>
      <c r="AP335" s="133"/>
      <c r="AQ335" s="133"/>
      <c r="AR335" s="133"/>
      <c r="AS335" s="133"/>
      <c r="AT335" s="133"/>
      <c r="AU335" s="220"/>
      <c r="AV335" s="220"/>
      <c r="AW335" s="220"/>
    </row>
    <row r="336" spans="1:49" s="221" customFormat="1" ht="370.5" x14ac:dyDescent="0.25">
      <c r="A336" s="63">
        <f t="shared" si="29"/>
        <v>150</v>
      </c>
      <c r="B336" s="128" t="str">
        <f t="shared" si="30"/>
        <v>208-150</v>
      </c>
      <c r="C336" s="129" t="s">
        <v>713</v>
      </c>
      <c r="D336" s="130" t="s">
        <v>714</v>
      </c>
      <c r="E336" s="145" t="s">
        <v>725</v>
      </c>
      <c r="F336" s="132" t="s">
        <v>577</v>
      </c>
      <c r="G336" s="131" t="s">
        <v>716</v>
      </c>
      <c r="H336" s="132" t="s">
        <v>717</v>
      </c>
      <c r="I336" s="111" t="s">
        <v>55</v>
      </c>
      <c r="J336" s="111" t="s">
        <v>56</v>
      </c>
      <c r="K336" s="133"/>
      <c r="L336" s="111" t="s">
        <v>720</v>
      </c>
      <c r="M336" s="111" t="s">
        <v>58</v>
      </c>
      <c r="N336" s="111" t="s">
        <v>59</v>
      </c>
      <c r="O336" s="111" t="s">
        <v>721</v>
      </c>
      <c r="P336" s="227" t="s">
        <v>862</v>
      </c>
      <c r="Q336" s="134">
        <f t="shared" si="31"/>
        <v>625000</v>
      </c>
      <c r="R336" s="146">
        <v>1</v>
      </c>
      <c r="S336" s="136">
        <v>2500000</v>
      </c>
      <c r="T336" s="137" t="s">
        <v>613</v>
      </c>
      <c r="U336" s="128" t="s">
        <v>723</v>
      </c>
      <c r="V336" s="138" t="s">
        <v>431</v>
      </c>
      <c r="W336" s="147">
        <v>4</v>
      </c>
      <c r="X336" s="133">
        <v>148</v>
      </c>
      <c r="Y336" s="81">
        <v>43312</v>
      </c>
      <c r="Z336" s="136">
        <v>2500000</v>
      </c>
      <c r="AA336" s="140"/>
      <c r="AB336" s="141">
        <v>1016</v>
      </c>
      <c r="AC336" s="81">
        <v>43312</v>
      </c>
      <c r="AD336" s="151">
        <v>2500000</v>
      </c>
      <c r="AE336" s="143">
        <f t="shared" si="28"/>
        <v>0</v>
      </c>
      <c r="AF336" s="133"/>
      <c r="AG336" s="85"/>
      <c r="AH336" s="143"/>
      <c r="AI336" s="63"/>
      <c r="AJ336" s="63"/>
      <c r="AK336" s="143">
        <f t="shared" si="34"/>
        <v>2500000</v>
      </c>
      <c r="AL336" s="143"/>
      <c r="AM336" s="143">
        <f t="shared" si="33"/>
        <v>0</v>
      </c>
      <c r="AN336" s="133"/>
      <c r="AO336" s="144">
        <f t="shared" si="32"/>
        <v>2500000</v>
      </c>
      <c r="AP336" s="133"/>
      <c r="AQ336" s="133"/>
      <c r="AR336" s="133"/>
      <c r="AS336" s="133"/>
      <c r="AT336" s="133"/>
      <c r="AU336" s="220"/>
      <c r="AV336" s="220"/>
      <c r="AW336" s="220"/>
    </row>
    <row r="337" spans="1:49" s="221" customFormat="1" ht="409.5" x14ac:dyDescent="0.25">
      <c r="A337" s="63">
        <f t="shared" si="29"/>
        <v>151</v>
      </c>
      <c r="B337" s="128" t="str">
        <f t="shared" si="30"/>
        <v>208-151</v>
      </c>
      <c r="C337" s="129" t="s">
        <v>713</v>
      </c>
      <c r="D337" s="130" t="s">
        <v>714</v>
      </c>
      <c r="E337" s="145" t="s">
        <v>725</v>
      </c>
      <c r="F337" s="132" t="s">
        <v>577</v>
      </c>
      <c r="G337" s="131" t="s">
        <v>716</v>
      </c>
      <c r="H337" s="132" t="s">
        <v>717</v>
      </c>
      <c r="I337" s="111" t="s">
        <v>55</v>
      </c>
      <c r="J337" s="111" t="s">
        <v>56</v>
      </c>
      <c r="K337" s="133"/>
      <c r="L337" s="111" t="s">
        <v>720</v>
      </c>
      <c r="M337" s="111" t="s">
        <v>58</v>
      </c>
      <c r="N337" s="111" t="s">
        <v>59</v>
      </c>
      <c r="O337" s="111" t="s">
        <v>721</v>
      </c>
      <c r="P337" s="227" t="s">
        <v>863</v>
      </c>
      <c r="Q337" s="134">
        <f t="shared" si="31"/>
        <v>108476445</v>
      </c>
      <c r="R337" s="146">
        <v>1</v>
      </c>
      <c r="S337" s="136">
        <v>108476445</v>
      </c>
      <c r="T337" s="137" t="s">
        <v>864</v>
      </c>
      <c r="U337" s="128"/>
      <c r="V337" s="138" t="s">
        <v>431</v>
      </c>
      <c r="W337" s="147">
        <v>1</v>
      </c>
      <c r="X337" s="133">
        <v>149</v>
      </c>
      <c r="Y337" s="81">
        <v>43315</v>
      </c>
      <c r="Z337" s="136">
        <v>108476445</v>
      </c>
      <c r="AA337" s="140"/>
      <c r="AB337" s="141">
        <v>1030</v>
      </c>
      <c r="AC337" s="150">
        <v>43315</v>
      </c>
      <c r="AD337" s="143">
        <v>108476445</v>
      </c>
      <c r="AE337" s="143">
        <f t="shared" si="28"/>
        <v>0</v>
      </c>
      <c r="AF337" s="133">
        <v>2626</v>
      </c>
      <c r="AG337" s="81">
        <v>43325</v>
      </c>
      <c r="AH337" s="143">
        <v>108476445</v>
      </c>
      <c r="AI337" s="63" t="s">
        <v>865</v>
      </c>
      <c r="AJ337" s="63">
        <v>690</v>
      </c>
      <c r="AK337" s="143">
        <f t="shared" si="34"/>
        <v>0</v>
      </c>
      <c r="AL337" s="143"/>
      <c r="AM337" s="143">
        <f t="shared" si="33"/>
        <v>108476445</v>
      </c>
      <c r="AN337" s="133"/>
      <c r="AO337" s="144">
        <f t="shared" si="32"/>
        <v>0</v>
      </c>
      <c r="AP337" s="133"/>
      <c r="AQ337" s="133"/>
      <c r="AR337" s="133"/>
      <c r="AS337" s="133"/>
      <c r="AT337" s="133"/>
      <c r="AU337" s="220"/>
      <c r="AV337" s="220"/>
      <c r="AW337" s="220"/>
    </row>
    <row r="338" spans="1:49" s="221" customFormat="1" ht="409.5" x14ac:dyDescent="0.25">
      <c r="A338" s="63">
        <f t="shared" si="29"/>
        <v>152</v>
      </c>
      <c r="B338" s="128" t="str">
        <f t="shared" si="30"/>
        <v>208-152</v>
      </c>
      <c r="C338" s="129" t="s">
        <v>713</v>
      </c>
      <c r="D338" s="130" t="s">
        <v>714</v>
      </c>
      <c r="E338" s="145" t="s">
        <v>725</v>
      </c>
      <c r="F338" s="132" t="s">
        <v>577</v>
      </c>
      <c r="G338" s="131" t="s">
        <v>716</v>
      </c>
      <c r="H338" s="132" t="s">
        <v>717</v>
      </c>
      <c r="I338" s="111" t="s">
        <v>55</v>
      </c>
      <c r="J338" s="111" t="s">
        <v>56</v>
      </c>
      <c r="K338" s="133"/>
      <c r="L338" s="111" t="s">
        <v>720</v>
      </c>
      <c r="M338" s="111" t="s">
        <v>58</v>
      </c>
      <c r="N338" s="111" t="s">
        <v>59</v>
      </c>
      <c r="O338" s="111" t="s">
        <v>721</v>
      </c>
      <c r="P338" s="227" t="s">
        <v>866</v>
      </c>
      <c r="Q338" s="134">
        <f t="shared" si="31"/>
        <v>140048757</v>
      </c>
      <c r="R338" s="146">
        <v>1</v>
      </c>
      <c r="S338" s="136">
        <v>140048757</v>
      </c>
      <c r="T338" s="137" t="s">
        <v>864</v>
      </c>
      <c r="U338" s="128"/>
      <c r="V338" s="138" t="s">
        <v>431</v>
      </c>
      <c r="W338" s="147">
        <v>1</v>
      </c>
      <c r="X338" s="133">
        <v>150</v>
      </c>
      <c r="Y338" s="81">
        <v>43315</v>
      </c>
      <c r="Z338" s="136">
        <v>140048757</v>
      </c>
      <c r="AA338" s="140"/>
      <c r="AB338" s="141">
        <v>1031</v>
      </c>
      <c r="AC338" s="150">
        <v>43315</v>
      </c>
      <c r="AD338" s="143">
        <v>140048757</v>
      </c>
      <c r="AE338" s="143">
        <f t="shared" si="28"/>
        <v>0</v>
      </c>
      <c r="AF338" s="133">
        <v>2625</v>
      </c>
      <c r="AG338" s="81">
        <v>43325</v>
      </c>
      <c r="AH338" s="143">
        <v>140048757</v>
      </c>
      <c r="AI338" s="63" t="s">
        <v>867</v>
      </c>
      <c r="AJ338" s="63">
        <v>700</v>
      </c>
      <c r="AK338" s="143">
        <f t="shared" si="34"/>
        <v>0</v>
      </c>
      <c r="AL338" s="143"/>
      <c r="AM338" s="143">
        <f t="shared" si="33"/>
        <v>140048757</v>
      </c>
      <c r="AN338" s="133"/>
      <c r="AO338" s="144">
        <f t="shared" si="32"/>
        <v>0</v>
      </c>
      <c r="AP338" s="133"/>
      <c r="AQ338" s="133"/>
      <c r="AR338" s="133"/>
      <c r="AS338" s="133"/>
      <c r="AT338" s="133"/>
      <c r="AU338" s="220"/>
      <c r="AV338" s="220"/>
      <c r="AW338" s="220"/>
    </row>
    <row r="339" spans="1:49" s="221" customFormat="1" ht="409.5" x14ac:dyDescent="0.25">
      <c r="A339" s="63">
        <f t="shared" si="29"/>
        <v>153</v>
      </c>
      <c r="B339" s="128" t="str">
        <f t="shared" si="30"/>
        <v>208-153</v>
      </c>
      <c r="C339" s="129" t="s">
        <v>713</v>
      </c>
      <c r="D339" s="130" t="s">
        <v>714</v>
      </c>
      <c r="E339" s="145" t="s">
        <v>725</v>
      </c>
      <c r="F339" s="132" t="s">
        <v>577</v>
      </c>
      <c r="G339" s="131" t="s">
        <v>716</v>
      </c>
      <c r="H339" s="132" t="s">
        <v>717</v>
      </c>
      <c r="I339" s="111" t="s">
        <v>55</v>
      </c>
      <c r="J339" s="111" t="s">
        <v>56</v>
      </c>
      <c r="K339" s="133"/>
      <c r="L339" s="111" t="s">
        <v>720</v>
      </c>
      <c r="M339" s="111" t="s">
        <v>58</v>
      </c>
      <c r="N339" s="111" t="s">
        <v>59</v>
      </c>
      <c r="O339" s="111" t="s">
        <v>721</v>
      </c>
      <c r="P339" s="227" t="s">
        <v>868</v>
      </c>
      <c r="Q339" s="134">
        <f t="shared" si="31"/>
        <v>45018176</v>
      </c>
      <c r="R339" s="146">
        <v>1</v>
      </c>
      <c r="S339" s="136">
        <v>45018176</v>
      </c>
      <c r="T339" s="137" t="s">
        <v>864</v>
      </c>
      <c r="U339" s="128"/>
      <c r="V339" s="148" t="s">
        <v>431</v>
      </c>
      <c r="W339" s="147">
        <v>1</v>
      </c>
      <c r="X339" s="133">
        <v>151</v>
      </c>
      <c r="Y339" s="81">
        <v>43325</v>
      </c>
      <c r="Z339" s="136">
        <v>45018176</v>
      </c>
      <c r="AA339" s="140"/>
      <c r="AB339" s="141">
        <v>1061</v>
      </c>
      <c r="AC339" s="150">
        <v>43325</v>
      </c>
      <c r="AD339" s="143">
        <v>45018176</v>
      </c>
      <c r="AE339" s="143">
        <f t="shared" si="28"/>
        <v>0</v>
      </c>
      <c r="AF339" s="133">
        <v>2783</v>
      </c>
      <c r="AG339" s="81">
        <v>43346</v>
      </c>
      <c r="AH339" s="143">
        <v>45018176</v>
      </c>
      <c r="AI339" s="63" t="s">
        <v>869</v>
      </c>
      <c r="AJ339" s="63">
        <v>707</v>
      </c>
      <c r="AK339" s="143">
        <f t="shared" si="34"/>
        <v>0</v>
      </c>
      <c r="AL339" s="143"/>
      <c r="AM339" s="143">
        <f t="shared" si="33"/>
        <v>45018176</v>
      </c>
      <c r="AN339" s="133"/>
      <c r="AO339" s="144">
        <f t="shared" si="32"/>
        <v>0</v>
      </c>
      <c r="AP339" s="133"/>
      <c r="AQ339" s="133"/>
      <c r="AR339" s="133"/>
      <c r="AS339" s="133"/>
      <c r="AT339" s="133"/>
      <c r="AU339" s="220"/>
      <c r="AV339" s="220"/>
      <c r="AW339" s="220"/>
    </row>
    <row r="340" spans="1:49" s="221" customFormat="1" ht="409.5" x14ac:dyDescent="0.25">
      <c r="A340" s="63">
        <f t="shared" si="29"/>
        <v>154</v>
      </c>
      <c r="B340" s="128" t="str">
        <f t="shared" si="30"/>
        <v>208-154</v>
      </c>
      <c r="C340" s="129" t="s">
        <v>713</v>
      </c>
      <c r="D340" s="130" t="s">
        <v>714</v>
      </c>
      <c r="E340" s="145" t="s">
        <v>725</v>
      </c>
      <c r="F340" s="132" t="s">
        <v>577</v>
      </c>
      <c r="G340" s="131" t="s">
        <v>716</v>
      </c>
      <c r="H340" s="132" t="s">
        <v>717</v>
      </c>
      <c r="I340" s="111" t="s">
        <v>55</v>
      </c>
      <c r="J340" s="111" t="s">
        <v>56</v>
      </c>
      <c r="K340" s="133"/>
      <c r="L340" s="111" t="s">
        <v>720</v>
      </c>
      <c r="M340" s="111" t="s">
        <v>58</v>
      </c>
      <c r="N340" s="111" t="s">
        <v>59</v>
      </c>
      <c r="O340" s="111" t="s">
        <v>721</v>
      </c>
      <c r="P340" s="227" t="s">
        <v>870</v>
      </c>
      <c r="Q340" s="172">
        <f t="shared" si="31"/>
        <v>65605525</v>
      </c>
      <c r="R340" s="146">
        <v>1</v>
      </c>
      <c r="S340" s="136">
        <v>65605525</v>
      </c>
      <c r="T340" s="137" t="s">
        <v>864</v>
      </c>
      <c r="U340" s="128" t="s">
        <v>723</v>
      </c>
      <c r="V340" s="148" t="s">
        <v>431</v>
      </c>
      <c r="W340" s="147">
        <v>1</v>
      </c>
      <c r="X340" s="133">
        <v>152</v>
      </c>
      <c r="Y340" s="81">
        <v>43325</v>
      </c>
      <c r="Z340" s="136">
        <v>65605525</v>
      </c>
      <c r="AA340" s="140"/>
      <c r="AB340" s="141">
        <v>1064</v>
      </c>
      <c r="AC340" s="150">
        <v>43327</v>
      </c>
      <c r="AD340" s="143">
        <v>65605525</v>
      </c>
      <c r="AE340" s="143">
        <f t="shared" si="28"/>
        <v>0</v>
      </c>
      <c r="AF340" s="133">
        <v>2823</v>
      </c>
      <c r="AG340" s="81">
        <v>43348</v>
      </c>
      <c r="AH340" s="143">
        <v>65605525</v>
      </c>
      <c r="AI340" s="63" t="s">
        <v>871</v>
      </c>
      <c r="AJ340" s="63">
        <v>629</v>
      </c>
      <c r="AK340" s="143">
        <f t="shared" si="34"/>
        <v>0</v>
      </c>
      <c r="AL340" s="143"/>
      <c r="AM340" s="143">
        <f t="shared" si="33"/>
        <v>65605525</v>
      </c>
      <c r="AN340" s="133"/>
      <c r="AO340" s="144">
        <f t="shared" si="32"/>
        <v>0</v>
      </c>
      <c r="AP340" s="133"/>
      <c r="AQ340" s="133"/>
      <c r="AR340" s="133"/>
      <c r="AS340" s="133"/>
      <c r="AT340" s="133"/>
      <c r="AU340" s="220"/>
      <c r="AV340" s="220"/>
      <c r="AW340" s="220"/>
    </row>
    <row r="341" spans="1:49" s="221" customFormat="1" ht="399" x14ac:dyDescent="0.25">
      <c r="A341" s="63">
        <f t="shared" si="29"/>
        <v>155</v>
      </c>
      <c r="B341" s="128" t="str">
        <f t="shared" si="30"/>
        <v>208-155</v>
      </c>
      <c r="C341" s="129" t="s">
        <v>713</v>
      </c>
      <c r="D341" s="130" t="s">
        <v>714</v>
      </c>
      <c r="E341" s="131" t="s">
        <v>715</v>
      </c>
      <c r="F341" s="111" t="s">
        <v>425</v>
      </c>
      <c r="G341" s="145" t="s">
        <v>727</v>
      </c>
      <c r="H341" s="111" t="s">
        <v>427</v>
      </c>
      <c r="I341" s="111" t="s">
        <v>55</v>
      </c>
      <c r="J341" s="111" t="s">
        <v>56</v>
      </c>
      <c r="K341" s="63"/>
      <c r="L341" s="111" t="s">
        <v>720</v>
      </c>
      <c r="M341" s="111" t="s">
        <v>58</v>
      </c>
      <c r="N341" s="111" t="s">
        <v>59</v>
      </c>
      <c r="O341" s="111" t="s">
        <v>728</v>
      </c>
      <c r="P341" s="227" t="s">
        <v>872</v>
      </c>
      <c r="Q341" s="134">
        <f t="shared" si="31"/>
        <v>6000000</v>
      </c>
      <c r="R341" s="146">
        <v>1</v>
      </c>
      <c r="S341" s="136">
        <v>21000000</v>
      </c>
      <c r="T341" s="137" t="s">
        <v>747</v>
      </c>
      <c r="U341" s="148" t="s">
        <v>723</v>
      </c>
      <c r="V341" s="148" t="s">
        <v>431</v>
      </c>
      <c r="W341" s="147">
        <v>3.5</v>
      </c>
      <c r="X341" s="133">
        <v>153</v>
      </c>
      <c r="Y341" s="81">
        <v>43326</v>
      </c>
      <c r="Z341" s="136">
        <v>21000000</v>
      </c>
      <c r="AA341" s="140"/>
      <c r="AB341" s="141">
        <v>1062</v>
      </c>
      <c r="AC341" s="150">
        <v>43327</v>
      </c>
      <c r="AD341" s="143">
        <v>21000000</v>
      </c>
      <c r="AE341" s="143">
        <f t="shared" si="28"/>
        <v>0</v>
      </c>
      <c r="AF341" s="133"/>
      <c r="AG341" s="85"/>
      <c r="AH341" s="143"/>
      <c r="AI341" s="63"/>
      <c r="AJ341" s="63"/>
      <c r="AK341" s="143">
        <f t="shared" si="34"/>
        <v>21000000</v>
      </c>
      <c r="AL341" s="143"/>
      <c r="AM341" s="143">
        <f t="shared" si="33"/>
        <v>0</v>
      </c>
      <c r="AN341" s="133"/>
      <c r="AO341" s="144">
        <f t="shared" si="32"/>
        <v>21000000</v>
      </c>
      <c r="AP341" s="133"/>
      <c r="AQ341" s="133"/>
      <c r="AR341" s="133"/>
      <c r="AS341" s="133"/>
      <c r="AT341" s="133"/>
      <c r="AU341" s="220"/>
      <c r="AV341" s="220"/>
      <c r="AW341" s="220"/>
    </row>
    <row r="342" spans="1:49" s="221" customFormat="1" ht="370.5" x14ac:dyDescent="0.25">
      <c r="A342" s="63">
        <f t="shared" si="29"/>
        <v>156</v>
      </c>
      <c r="B342" s="128" t="str">
        <f t="shared" si="30"/>
        <v>208-156</v>
      </c>
      <c r="C342" s="129" t="s">
        <v>713</v>
      </c>
      <c r="D342" s="130" t="s">
        <v>714</v>
      </c>
      <c r="E342" s="145" t="s">
        <v>725</v>
      </c>
      <c r="F342" s="111" t="s">
        <v>425</v>
      </c>
      <c r="G342" s="145" t="s">
        <v>727</v>
      </c>
      <c r="H342" s="111" t="s">
        <v>427</v>
      </c>
      <c r="I342" s="111" t="s">
        <v>55</v>
      </c>
      <c r="J342" s="111" t="s">
        <v>56</v>
      </c>
      <c r="K342" s="63"/>
      <c r="L342" s="111" t="s">
        <v>720</v>
      </c>
      <c r="M342" s="111" t="s">
        <v>58</v>
      </c>
      <c r="N342" s="111" t="s">
        <v>59</v>
      </c>
      <c r="O342" s="111" t="s">
        <v>728</v>
      </c>
      <c r="P342" s="227" t="s">
        <v>872</v>
      </c>
      <c r="Q342" s="172">
        <f t="shared" si="31"/>
        <v>14000000</v>
      </c>
      <c r="R342" s="146">
        <v>1</v>
      </c>
      <c r="S342" s="136">
        <v>49000000</v>
      </c>
      <c r="T342" s="137" t="s">
        <v>747</v>
      </c>
      <c r="U342" s="148" t="s">
        <v>723</v>
      </c>
      <c r="V342" s="148" t="s">
        <v>431</v>
      </c>
      <c r="W342" s="147">
        <v>3.5</v>
      </c>
      <c r="X342" s="133">
        <v>154</v>
      </c>
      <c r="Y342" s="81">
        <v>43326</v>
      </c>
      <c r="Z342" s="136">
        <v>49000000</v>
      </c>
      <c r="AA342" s="140"/>
      <c r="AB342" s="141">
        <v>1062</v>
      </c>
      <c r="AC342" s="142">
        <v>43327</v>
      </c>
      <c r="AD342" s="143">
        <v>49000000</v>
      </c>
      <c r="AE342" s="143">
        <f t="shared" si="28"/>
        <v>0</v>
      </c>
      <c r="AF342" s="133"/>
      <c r="AG342" s="85"/>
      <c r="AH342" s="143"/>
      <c r="AI342" s="63"/>
      <c r="AJ342" s="63"/>
      <c r="AK342" s="143">
        <f t="shared" si="34"/>
        <v>49000000</v>
      </c>
      <c r="AL342" s="143"/>
      <c r="AM342" s="143">
        <f t="shared" si="33"/>
        <v>0</v>
      </c>
      <c r="AN342" s="133"/>
      <c r="AO342" s="144">
        <f t="shared" si="32"/>
        <v>49000000</v>
      </c>
      <c r="AP342" s="133"/>
      <c r="AQ342" s="133"/>
      <c r="AR342" s="133"/>
      <c r="AS342" s="133"/>
      <c r="AT342" s="133"/>
      <c r="AU342" s="220"/>
      <c r="AV342" s="220"/>
      <c r="AW342" s="220"/>
    </row>
    <row r="343" spans="1:49" s="221" customFormat="1" ht="399" x14ac:dyDescent="0.25">
      <c r="A343" s="63">
        <f t="shared" si="29"/>
        <v>157</v>
      </c>
      <c r="B343" s="128" t="str">
        <f t="shared" si="30"/>
        <v>208-157</v>
      </c>
      <c r="C343" s="129" t="s">
        <v>713</v>
      </c>
      <c r="D343" s="130" t="s">
        <v>714</v>
      </c>
      <c r="E343" s="131" t="s">
        <v>715</v>
      </c>
      <c r="F343" s="111" t="s">
        <v>52</v>
      </c>
      <c r="G343" s="145" t="s">
        <v>53</v>
      </c>
      <c r="H343" s="111" t="s">
        <v>733</v>
      </c>
      <c r="I343" s="111" t="s">
        <v>55</v>
      </c>
      <c r="J343" s="111" t="s">
        <v>56</v>
      </c>
      <c r="K343" s="63"/>
      <c r="L343" s="111" t="s">
        <v>720</v>
      </c>
      <c r="M343" s="111" t="s">
        <v>58</v>
      </c>
      <c r="N343" s="111" t="s">
        <v>59</v>
      </c>
      <c r="O343" s="111" t="s">
        <v>728</v>
      </c>
      <c r="P343" s="227" t="s">
        <v>873</v>
      </c>
      <c r="Q343" s="134">
        <f t="shared" si="31"/>
        <v>1359600</v>
      </c>
      <c r="R343" s="146">
        <v>1</v>
      </c>
      <c r="S343" s="134">
        <v>2719200</v>
      </c>
      <c r="T343" s="137" t="s">
        <v>864</v>
      </c>
      <c r="U343" s="148"/>
      <c r="V343" s="148" t="s">
        <v>431</v>
      </c>
      <c r="W343" s="153">
        <v>2</v>
      </c>
      <c r="X343" s="133">
        <v>155</v>
      </c>
      <c r="Y343" s="81">
        <v>43329</v>
      </c>
      <c r="Z343" s="136">
        <v>2719200</v>
      </c>
      <c r="AA343" s="140"/>
      <c r="AB343" s="141">
        <v>1070</v>
      </c>
      <c r="AC343" s="150">
        <v>43329</v>
      </c>
      <c r="AD343" s="143">
        <v>2719200</v>
      </c>
      <c r="AE343" s="143">
        <f t="shared" si="28"/>
        <v>0</v>
      </c>
      <c r="AF343" s="133">
        <v>2686</v>
      </c>
      <c r="AG343" s="81">
        <v>43329</v>
      </c>
      <c r="AH343" s="143">
        <v>2719200</v>
      </c>
      <c r="AI343" s="63" t="s">
        <v>855</v>
      </c>
      <c r="AJ343" s="63">
        <v>226</v>
      </c>
      <c r="AK343" s="143">
        <f t="shared" si="34"/>
        <v>0</v>
      </c>
      <c r="AL343" s="143">
        <v>453200.1</v>
      </c>
      <c r="AM343" s="143">
        <f t="shared" si="33"/>
        <v>2265999.9</v>
      </c>
      <c r="AN343" s="133"/>
      <c r="AO343" s="144">
        <f t="shared" si="32"/>
        <v>0</v>
      </c>
      <c r="AP343" s="133"/>
      <c r="AQ343" s="133"/>
      <c r="AR343" s="133"/>
      <c r="AS343" s="133"/>
      <c r="AT343" s="133"/>
      <c r="AU343" s="220"/>
      <c r="AV343" s="220"/>
      <c r="AW343" s="220"/>
    </row>
    <row r="344" spans="1:49" s="221" customFormat="1" ht="384.75" x14ac:dyDescent="0.25">
      <c r="A344" s="63">
        <f t="shared" si="29"/>
        <v>158</v>
      </c>
      <c r="B344" s="128" t="str">
        <f t="shared" si="30"/>
        <v>208-158</v>
      </c>
      <c r="C344" s="129" t="s">
        <v>713</v>
      </c>
      <c r="D344" s="130" t="s">
        <v>714</v>
      </c>
      <c r="E344" s="145" t="s">
        <v>725</v>
      </c>
      <c r="F344" s="111" t="s">
        <v>52</v>
      </c>
      <c r="G344" s="145" t="s">
        <v>53</v>
      </c>
      <c r="H344" s="111" t="s">
        <v>733</v>
      </c>
      <c r="I344" s="111" t="s">
        <v>55</v>
      </c>
      <c r="J344" s="111" t="s">
        <v>56</v>
      </c>
      <c r="K344" s="63"/>
      <c r="L344" s="111" t="s">
        <v>720</v>
      </c>
      <c r="M344" s="111" t="s">
        <v>58</v>
      </c>
      <c r="N344" s="111" t="s">
        <v>59</v>
      </c>
      <c r="O344" s="111" t="s">
        <v>728</v>
      </c>
      <c r="P344" s="227" t="s">
        <v>873</v>
      </c>
      <c r="Q344" s="134">
        <f t="shared" si="31"/>
        <v>3172400</v>
      </c>
      <c r="R344" s="146">
        <v>1</v>
      </c>
      <c r="S344" s="134">
        <v>6344800</v>
      </c>
      <c r="T344" s="137" t="s">
        <v>864</v>
      </c>
      <c r="U344" s="148"/>
      <c r="V344" s="148" t="s">
        <v>431</v>
      </c>
      <c r="W344" s="153">
        <v>2</v>
      </c>
      <c r="X344" s="133">
        <v>156</v>
      </c>
      <c r="Y344" s="81">
        <v>43329</v>
      </c>
      <c r="Z344" s="136">
        <v>6344800</v>
      </c>
      <c r="AA344" s="140"/>
      <c r="AB344" s="141">
        <v>1070</v>
      </c>
      <c r="AC344" s="142">
        <v>43329</v>
      </c>
      <c r="AD344" s="143">
        <v>6344800</v>
      </c>
      <c r="AE344" s="143">
        <f t="shared" si="28"/>
        <v>0</v>
      </c>
      <c r="AF344" s="133">
        <v>2686</v>
      </c>
      <c r="AG344" s="81">
        <v>43329</v>
      </c>
      <c r="AH344" s="143">
        <v>6344800</v>
      </c>
      <c r="AI344" s="63" t="s">
        <v>855</v>
      </c>
      <c r="AJ344" s="63">
        <v>226</v>
      </c>
      <c r="AK344" s="143">
        <f t="shared" si="34"/>
        <v>0</v>
      </c>
      <c r="AL344" s="143">
        <v>1057466.8999999999</v>
      </c>
      <c r="AM344" s="143">
        <f t="shared" si="33"/>
        <v>5287333.0999999996</v>
      </c>
      <c r="AN344" s="133"/>
      <c r="AO344" s="144">
        <f t="shared" si="32"/>
        <v>0</v>
      </c>
      <c r="AP344" s="133"/>
      <c r="AQ344" s="133"/>
      <c r="AR344" s="133"/>
      <c r="AS344" s="133"/>
      <c r="AT344" s="133"/>
      <c r="AU344" s="220"/>
      <c r="AV344" s="220"/>
      <c r="AW344" s="220"/>
    </row>
    <row r="345" spans="1:49" s="221" customFormat="1" ht="409.5" x14ac:dyDescent="0.25">
      <c r="A345" s="63">
        <f>A344+1</f>
        <v>159</v>
      </c>
      <c r="B345" s="128" t="str">
        <f t="shared" si="30"/>
        <v>208-159</v>
      </c>
      <c r="C345" s="129" t="s">
        <v>713</v>
      </c>
      <c r="D345" s="130" t="s">
        <v>714</v>
      </c>
      <c r="E345" s="131" t="s">
        <v>715</v>
      </c>
      <c r="F345" s="132" t="s">
        <v>577</v>
      </c>
      <c r="G345" s="131" t="s">
        <v>716</v>
      </c>
      <c r="H345" s="132" t="s">
        <v>717</v>
      </c>
      <c r="I345" s="133" t="s">
        <v>718</v>
      </c>
      <c r="J345" s="111" t="s">
        <v>719</v>
      </c>
      <c r="K345" s="133"/>
      <c r="L345" s="111" t="s">
        <v>720</v>
      </c>
      <c r="M345" s="111" t="s">
        <v>58</v>
      </c>
      <c r="N345" s="111" t="s">
        <v>59</v>
      </c>
      <c r="O345" s="111" t="s">
        <v>721</v>
      </c>
      <c r="P345" s="227" t="s">
        <v>874</v>
      </c>
      <c r="Q345" s="134">
        <f t="shared" si="31"/>
        <v>19978952.380952381</v>
      </c>
      <c r="R345" s="146">
        <v>1</v>
      </c>
      <c r="S345" s="136">
        <v>209779000</v>
      </c>
      <c r="T345" s="137" t="s">
        <v>849</v>
      </c>
      <c r="U345" s="128" t="s">
        <v>730</v>
      </c>
      <c r="V345" s="138" t="s">
        <v>875</v>
      </c>
      <c r="W345" s="147">
        <v>10.5</v>
      </c>
      <c r="X345" s="133">
        <v>160</v>
      </c>
      <c r="Y345" s="81">
        <v>43347</v>
      </c>
      <c r="Z345" s="136">
        <v>209779000</v>
      </c>
      <c r="AA345" s="140"/>
      <c r="AB345" s="141">
        <v>1145</v>
      </c>
      <c r="AC345" s="150">
        <v>43348</v>
      </c>
      <c r="AD345" s="136">
        <v>209779000</v>
      </c>
      <c r="AE345" s="143">
        <f t="shared" si="28"/>
        <v>0</v>
      </c>
      <c r="AF345" s="133"/>
      <c r="AG345" s="85"/>
      <c r="AH345" s="143"/>
      <c r="AI345" s="63"/>
      <c r="AJ345" s="63"/>
      <c r="AK345" s="143">
        <f t="shared" si="34"/>
        <v>209779000</v>
      </c>
      <c r="AL345" s="143"/>
      <c r="AM345" s="143">
        <f t="shared" si="33"/>
        <v>0</v>
      </c>
      <c r="AN345" s="133"/>
      <c r="AO345" s="144">
        <f t="shared" si="32"/>
        <v>209779000</v>
      </c>
      <c r="AP345" s="133"/>
      <c r="AQ345" s="133"/>
      <c r="AR345" s="133"/>
      <c r="AS345" s="133"/>
      <c r="AT345" s="133"/>
      <c r="AU345" s="220"/>
      <c r="AV345" s="220"/>
      <c r="AW345" s="220"/>
    </row>
    <row r="346" spans="1:49" s="221" customFormat="1" ht="399" x14ac:dyDescent="0.25">
      <c r="A346" s="63">
        <f>A345+1</f>
        <v>160</v>
      </c>
      <c r="B346" s="128" t="str">
        <f t="shared" si="30"/>
        <v>208-160</v>
      </c>
      <c r="C346" s="129" t="s">
        <v>713</v>
      </c>
      <c r="D346" s="130" t="s">
        <v>714</v>
      </c>
      <c r="E346" s="131" t="s">
        <v>715</v>
      </c>
      <c r="F346" s="132" t="s">
        <v>577</v>
      </c>
      <c r="G346" s="131" t="s">
        <v>716</v>
      </c>
      <c r="H346" s="132" t="s">
        <v>717</v>
      </c>
      <c r="I346" s="133" t="s">
        <v>718</v>
      </c>
      <c r="J346" s="111" t="s">
        <v>719</v>
      </c>
      <c r="K346" s="133"/>
      <c r="L346" s="111" t="s">
        <v>720</v>
      </c>
      <c r="M346" s="111" t="s">
        <v>58</v>
      </c>
      <c r="N346" s="111" t="s">
        <v>59</v>
      </c>
      <c r="O346" s="111" t="s">
        <v>721</v>
      </c>
      <c r="P346" s="227" t="s">
        <v>876</v>
      </c>
      <c r="Q346" s="134">
        <f t="shared" si="31"/>
        <v>39861600</v>
      </c>
      <c r="R346" s="146">
        <v>1</v>
      </c>
      <c r="S346" s="136">
        <v>398616000</v>
      </c>
      <c r="T346" s="137" t="s">
        <v>613</v>
      </c>
      <c r="U346" s="128" t="s">
        <v>723</v>
      </c>
      <c r="V346" s="138" t="s">
        <v>875</v>
      </c>
      <c r="W346" s="147">
        <v>10</v>
      </c>
      <c r="X346" s="133">
        <v>157</v>
      </c>
      <c r="Y346" s="81">
        <v>43329</v>
      </c>
      <c r="Z346" s="136">
        <v>398616000</v>
      </c>
      <c r="AA346" s="140"/>
      <c r="AB346" s="141">
        <v>1094</v>
      </c>
      <c r="AC346" s="150">
        <v>43333</v>
      </c>
      <c r="AD346" s="143">
        <v>398616000</v>
      </c>
      <c r="AE346" s="143">
        <f t="shared" si="28"/>
        <v>0</v>
      </c>
      <c r="AF346" s="133"/>
      <c r="AG346" s="85"/>
      <c r="AH346" s="143"/>
      <c r="AI346" s="63"/>
      <c r="AJ346" s="63"/>
      <c r="AK346" s="143">
        <f t="shared" si="34"/>
        <v>398616000</v>
      </c>
      <c r="AL346" s="143"/>
      <c r="AM346" s="143">
        <f t="shared" si="33"/>
        <v>0</v>
      </c>
      <c r="AN346" s="133"/>
      <c r="AO346" s="144">
        <f t="shared" si="32"/>
        <v>398616000</v>
      </c>
      <c r="AP346" s="133"/>
      <c r="AQ346" s="133"/>
      <c r="AR346" s="133"/>
      <c r="AS346" s="133"/>
      <c r="AT346" s="133"/>
      <c r="AU346" s="220"/>
      <c r="AV346" s="220"/>
      <c r="AW346" s="220"/>
    </row>
    <row r="347" spans="1:49" s="221" customFormat="1" ht="370.5" x14ac:dyDescent="0.25">
      <c r="A347" s="63">
        <f>A346+1</f>
        <v>161</v>
      </c>
      <c r="B347" s="128" t="str">
        <f t="shared" si="30"/>
        <v>208-161</v>
      </c>
      <c r="C347" s="129" t="s">
        <v>713</v>
      </c>
      <c r="D347" s="130" t="s">
        <v>714</v>
      </c>
      <c r="E347" s="145" t="s">
        <v>725</v>
      </c>
      <c r="F347" s="132" t="s">
        <v>577</v>
      </c>
      <c r="G347" s="131" t="s">
        <v>716</v>
      </c>
      <c r="H347" s="132" t="s">
        <v>717</v>
      </c>
      <c r="I347" s="133" t="s">
        <v>718</v>
      </c>
      <c r="J347" s="111" t="s">
        <v>719</v>
      </c>
      <c r="K347" s="133"/>
      <c r="L347" s="111" t="s">
        <v>720</v>
      </c>
      <c r="M347" s="111" t="s">
        <v>58</v>
      </c>
      <c r="N347" s="111" t="s">
        <v>59</v>
      </c>
      <c r="O347" s="111" t="s">
        <v>721</v>
      </c>
      <c r="P347" s="227" t="s">
        <v>876</v>
      </c>
      <c r="Q347" s="134">
        <f t="shared" si="31"/>
        <v>216760600</v>
      </c>
      <c r="R347" s="146">
        <v>1</v>
      </c>
      <c r="S347" s="136">
        <v>2167606000</v>
      </c>
      <c r="T347" s="137" t="s">
        <v>613</v>
      </c>
      <c r="U347" s="128" t="s">
        <v>723</v>
      </c>
      <c r="V347" s="138" t="s">
        <v>875</v>
      </c>
      <c r="W347" s="147">
        <v>10</v>
      </c>
      <c r="X347" s="133">
        <v>158</v>
      </c>
      <c r="Y347" s="81">
        <v>43329</v>
      </c>
      <c r="Z347" s="136">
        <v>2167606000</v>
      </c>
      <c r="AA347" s="140"/>
      <c r="AB347" s="141">
        <v>1094</v>
      </c>
      <c r="AC347" s="150">
        <v>43333</v>
      </c>
      <c r="AD347" s="143">
        <v>2167606000</v>
      </c>
      <c r="AE347" s="143">
        <f t="shared" si="28"/>
        <v>0</v>
      </c>
      <c r="AF347" s="133"/>
      <c r="AG347" s="85"/>
      <c r="AH347" s="143"/>
      <c r="AI347" s="63"/>
      <c r="AJ347" s="63"/>
      <c r="AK347" s="143">
        <f t="shared" si="34"/>
        <v>2167606000</v>
      </c>
      <c r="AL347" s="143"/>
      <c r="AM347" s="143">
        <f t="shared" si="33"/>
        <v>0</v>
      </c>
      <c r="AN347" s="133"/>
      <c r="AO347" s="144">
        <f t="shared" si="32"/>
        <v>2167606000</v>
      </c>
      <c r="AP347" s="133"/>
      <c r="AQ347" s="133"/>
      <c r="AR347" s="133"/>
      <c r="AS347" s="133"/>
      <c r="AT347" s="133"/>
      <c r="AU347" s="220"/>
      <c r="AV347" s="220"/>
      <c r="AW347" s="220"/>
    </row>
    <row r="348" spans="1:49" s="221" customFormat="1" ht="409.5" x14ac:dyDescent="0.25">
      <c r="A348" s="63">
        <f>A347+1</f>
        <v>162</v>
      </c>
      <c r="B348" s="128" t="str">
        <f>+CONCATENATE("208-",A348)</f>
        <v>208-162</v>
      </c>
      <c r="C348" s="129" t="s">
        <v>713</v>
      </c>
      <c r="D348" s="130" t="s">
        <v>714</v>
      </c>
      <c r="E348" s="145" t="s">
        <v>725</v>
      </c>
      <c r="F348" s="132" t="s">
        <v>577</v>
      </c>
      <c r="G348" s="131" t="s">
        <v>716</v>
      </c>
      <c r="H348" s="132" t="s">
        <v>717</v>
      </c>
      <c r="I348" s="133" t="s">
        <v>718</v>
      </c>
      <c r="J348" s="111" t="s">
        <v>719</v>
      </c>
      <c r="K348" s="133"/>
      <c r="L348" s="111" t="s">
        <v>720</v>
      </c>
      <c r="M348" s="111" t="s">
        <v>58</v>
      </c>
      <c r="N348" s="111" t="s">
        <v>59</v>
      </c>
      <c r="O348" s="111" t="s">
        <v>721</v>
      </c>
      <c r="P348" s="227" t="s">
        <v>877</v>
      </c>
      <c r="Q348" s="134">
        <f>(S348/W348)/R348</f>
        <v>31770095.238095239</v>
      </c>
      <c r="R348" s="146">
        <v>1</v>
      </c>
      <c r="S348" s="136">
        <v>333586000</v>
      </c>
      <c r="T348" s="137" t="s">
        <v>849</v>
      </c>
      <c r="U348" s="128" t="s">
        <v>730</v>
      </c>
      <c r="V348" s="138" t="s">
        <v>875</v>
      </c>
      <c r="W348" s="147">
        <v>10.5</v>
      </c>
      <c r="X348" s="133">
        <v>159</v>
      </c>
      <c r="Y348" s="81">
        <v>43347</v>
      </c>
      <c r="Z348" s="136">
        <v>333586000</v>
      </c>
      <c r="AA348" s="140"/>
      <c r="AB348" s="141">
        <v>1145</v>
      </c>
      <c r="AC348" s="150">
        <v>43348</v>
      </c>
      <c r="AD348" s="136">
        <v>333586000</v>
      </c>
      <c r="AE348" s="143">
        <f t="shared" si="28"/>
        <v>0</v>
      </c>
      <c r="AF348" s="133"/>
      <c r="AG348" s="85"/>
      <c r="AH348" s="143"/>
      <c r="AI348" s="63"/>
      <c r="AJ348" s="63"/>
      <c r="AK348" s="143">
        <f t="shared" si="34"/>
        <v>333586000</v>
      </c>
      <c r="AL348" s="143"/>
      <c r="AM348" s="143">
        <f t="shared" si="33"/>
        <v>0</v>
      </c>
      <c r="AN348" s="133"/>
      <c r="AO348" s="144">
        <f t="shared" si="32"/>
        <v>333586000</v>
      </c>
      <c r="AP348" s="133"/>
      <c r="AQ348" s="133"/>
      <c r="AR348" s="133"/>
      <c r="AS348" s="133"/>
      <c r="AT348" s="133"/>
      <c r="AU348" s="220"/>
      <c r="AV348" s="220"/>
      <c r="AW348" s="220"/>
    </row>
    <row r="349" spans="1:49" s="221" customFormat="1" ht="399" x14ac:dyDescent="0.25">
      <c r="A349" s="63">
        <f t="shared" ref="A349:A350" si="35">A348+1</f>
        <v>163</v>
      </c>
      <c r="B349" s="128" t="str">
        <f t="shared" ref="B349:B350" si="36">+CONCATENATE("208-",A349)</f>
        <v>208-163</v>
      </c>
      <c r="C349" s="129" t="s">
        <v>713</v>
      </c>
      <c r="D349" s="130" t="s">
        <v>714</v>
      </c>
      <c r="E349" s="131" t="s">
        <v>715</v>
      </c>
      <c r="F349" s="111" t="s">
        <v>52</v>
      </c>
      <c r="G349" s="145" t="s">
        <v>53</v>
      </c>
      <c r="H349" s="111" t="s">
        <v>733</v>
      </c>
      <c r="I349" s="111" t="s">
        <v>55</v>
      </c>
      <c r="J349" s="111" t="s">
        <v>56</v>
      </c>
      <c r="K349" s="63">
        <v>801116</v>
      </c>
      <c r="L349" s="111" t="s">
        <v>720</v>
      </c>
      <c r="M349" s="111" t="s">
        <v>58</v>
      </c>
      <c r="N349" s="111" t="s">
        <v>59</v>
      </c>
      <c r="O349" s="111" t="s">
        <v>728</v>
      </c>
      <c r="P349" s="227" t="s">
        <v>878</v>
      </c>
      <c r="Q349" s="134">
        <f t="shared" ref="Q349:Q350" si="37">(S349/W349)/R349</f>
        <v>3000000</v>
      </c>
      <c r="R349" s="146">
        <v>1</v>
      </c>
      <c r="S349" s="134">
        <f>10400100</f>
        <v>10400100</v>
      </c>
      <c r="T349" s="137" t="s">
        <v>747</v>
      </c>
      <c r="U349" s="148" t="s">
        <v>445</v>
      </c>
      <c r="V349" s="148" t="s">
        <v>875</v>
      </c>
      <c r="W349" s="153">
        <v>3.4666999999999999</v>
      </c>
      <c r="X349" s="133">
        <v>161</v>
      </c>
      <c r="Y349" s="81">
        <v>43357</v>
      </c>
      <c r="Z349" s="134">
        <f>10400100</f>
        <v>10400100</v>
      </c>
      <c r="AA349" s="140"/>
      <c r="AB349" s="141">
        <v>1158</v>
      </c>
      <c r="AC349" s="150">
        <v>43357</v>
      </c>
      <c r="AD349" s="134">
        <v>10000000.199999999</v>
      </c>
      <c r="AE349" s="143">
        <f t="shared" si="28"/>
        <v>400099.80000000075</v>
      </c>
      <c r="AF349" s="133">
        <v>2923</v>
      </c>
      <c r="AG349" s="81">
        <v>43364</v>
      </c>
      <c r="AH349" s="143">
        <v>10000000.199999999</v>
      </c>
      <c r="AI349" s="63" t="s">
        <v>879</v>
      </c>
      <c r="AJ349" s="63">
        <v>587</v>
      </c>
      <c r="AK349" s="143">
        <f t="shared" si="34"/>
        <v>0</v>
      </c>
      <c r="AL349" s="143"/>
      <c r="AM349" s="143">
        <f t="shared" si="33"/>
        <v>10000000.199999999</v>
      </c>
      <c r="AN349" s="133"/>
      <c r="AO349" s="144">
        <f t="shared" si="32"/>
        <v>400099.80000000075</v>
      </c>
      <c r="AP349" s="133"/>
      <c r="AQ349" s="133"/>
      <c r="AR349" s="133"/>
      <c r="AS349" s="133"/>
      <c r="AT349" s="133"/>
      <c r="AU349" s="220"/>
      <c r="AV349" s="220"/>
      <c r="AW349" s="220"/>
    </row>
    <row r="350" spans="1:49" s="221" customFormat="1" ht="370.5" x14ac:dyDescent="0.25">
      <c r="A350" s="63">
        <f t="shared" si="35"/>
        <v>164</v>
      </c>
      <c r="B350" s="128" t="str">
        <f t="shared" si="36"/>
        <v>208-164</v>
      </c>
      <c r="C350" s="129" t="s">
        <v>713</v>
      </c>
      <c r="D350" s="130" t="s">
        <v>714</v>
      </c>
      <c r="E350" s="145" t="s">
        <v>725</v>
      </c>
      <c r="F350" s="111" t="s">
        <v>52</v>
      </c>
      <c r="G350" s="145" t="s">
        <v>53</v>
      </c>
      <c r="H350" s="111" t="s">
        <v>733</v>
      </c>
      <c r="I350" s="111" t="s">
        <v>55</v>
      </c>
      <c r="J350" s="111" t="s">
        <v>56</v>
      </c>
      <c r="K350" s="63">
        <v>801116</v>
      </c>
      <c r="L350" s="111" t="s">
        <v>720</v>
      </c>
      <c r="M350" s="111" t="s">
        <v>58</v>
      </c>
      <c r="N350" s="111" t="s">
        <v>59</v>
      </c>
      <c r="O350" s="111" t="s">
        <v>728</v>
      </c>
      <c r="P350" s="227" t="s">
        <v>878</v>
      </c>
      <c r="Q350" s="134">
        <f t="shared" si="37"/>
        <v>7000000</v>
      </c>
      <c r="R350" s="146">
        <v>1</v>
      </c>
      <c r="S350" s="134">
        <f>24266900</f>
        <v>24266900</v>
      </c>
      <c r="T350" s="137" t="s">
        <v>747</v>
      </c>
      <c r="U350" s="148" t="s">
        <v>445</v>
      </c>
      <c r="V350" s="148" t="s">
        <v>875</v>
      </c>
      <c r="W350" s="153">
        <v>3.4666999999999999</v>
      </c>
      <c r="X350" s="133">
        <v>162</v>
      </c>
      <c r="Y350" s="81">
        <v>43357</v>
      </c>
      <c r="Z350" s="136">
        <v>24266900</v>
      </c>
      <c r="AA350" s="140"/>
      <c r="AB350" s="141">
        <v>1158</v>
      </c>
      <c r="AC350" s="150">
        <v>43357</v>
      </c>
      <c r="AD350" s="136">
        <v>23333333.799999997</v>
      </c>
      <c r="AE350" s="143">
        <f t="shared" si="28"/>
        <v>933566.20000000298</v>
      </c>
      <c r="AF350" s="133">
        <v>2923</v>
      </c>
      <c r="AG350" s="81">
        <v>43364</v>
      </c>
      <c r="AH350" s="143">
        <v>23333333.799999997</v>
      </c>
      <c r="AI350" s="63" t="s">
        <v>879</v>
      </c>
      <c r="AJ350" s="63">
        <v>587</v>
      </c>
      <c r="AK350" s="143">
        <f t="shared" si="34"/>
        <v>0</v>
      </c>
      <c r="AL350" s="143"/>
      <c r="AM350" s="143">
        <f t="shared" si="33"/>
        <v>23333333.799999997</v>
      </c>
      <c r="AN350" s="133"/>
      <c r="AO350" s="144">
        <f t="shared" si="32"/>
        <v>933566.20000000298</v>
      </c>
      <c r="AP350" s="133"/>
      <c r="AQ350" s="133"/>
      <c r="AR350" s="133"/>
      <c r="AS350" s="133"/>
      <c r="AT350" s="133"/>
      <c r="AU350" s="220"/>
      <c r="AV350" s="220"/>
      <c r="AW350" s="220"/>
    </row>
    <row r="351" spans="1:49" s="221" customFormat="1" x14ac:dyDescent="0.25">
      <c r="A351" s="220"/>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row>
    <row r="352" spans="1:49" s="221" customFormat="1" ht="327.75" x14ac:dyDescent="0.25">
      <c r="A352" s="173">
        <v>1</v>
      </c>
      <c r="B352" s="173" t="s">
        <v>880</v>
      </c>
      <c r="C352" s="173" t="s">
        <v>881</v>
      </c>
      <c r="D352" s="173" t="s">
        <v>882</v>
      </c>
      <c r="E352" s="174" t="s">
        <v>883</v>
      </c>
      <c r="F352" s="173" t="s">
        <v>52</v>
      </c>
      <c r="G352" s="173" t="s">
        <v>53</v>
      </c>
      <c r="H352" s="175" t="s">
        <v>884</v>
      </c>
      <c r="I352" s="173" t="s">
        <v>55</v>
      </c>
      <c r="J352" s="173" t="s">
        <v>56</v>
      </c>
      <c r="K352" s="63">
        <v>80111600</v>
      </c>
      <c r="L352" s="63" t="s">
        <v>885</v>
      </c>
      <c r="M352" s="63" t="s">
        <v>58</v>
      </c>
      <c r="N352" s="63" t="s">
        <v>59</v>
      </c>
      <c r="O352" s="64" t="s">
        <v>886</v>
      </c>
      <c r="P352" s="133" t="s">
        <v>887</v>
      </c>
      <c r="Q352" s="133">
        <v>7210000</v>
      </c>
      <c r="R352" s="133">
        <v>1</v>
      </c>
      <c r="S352" s="143">
        <v>82915000</v>
      </c>
      <c r="T352" s="133" t="s">
        <v>888</v>
      </c>
      <c r="U352" s="173" t="s">
        <v>445</v>
      </c>
      <c r="V352" s="176" t="s">
        <v>64</v>
      </c>
      <c r="W352" s="177">
        <v>11.5</v>
      </c>
      <c r="X352" s="85" t="s">
        <v>889</v>
      </c>
      <c r="Y352" s="150">
        <v>43102</v>
      </c>
      <c r="Z352" s="229">
        <v>82915000</v>
      </c>
      <c r="AA352" s="140"/>
      <c r="AB352" s="85">
        <v>102</v>
      </c>
      <c r="AC352" s="51">
        <v>43103</v>
      </c>
      <c r="AD352" s="230">
        <v>82915000</v>
      </c>
      <c r="AE352" s="231">
        <f t="shared" ref="AE352:AE360" si="38">S352-AD352</f>
        <v>0</v>
      </c>
      <c r="AF352" s="85">
        <v>82</v>
      </c>
      <c r="AG352" s="51">
        <v>43116</v>
      </c>
      <c r="AH352" s="230">
        <v>82915000</v>
      </c>
      <c r="AI352" s="64" t="s">
        <v>890</v>
      </c>
      <c r="AJ352" s="85">
        <v>68</v>
      </c>
      <c r="AK352" s="85"/>
      <c r="AL352" s="230">
        <v>50229666</v>
      </c>
      <c r="AM352" s="230" t="e">
        <f>VLOOKUP(AF352,'[1]SEPTIEMBRE 2018'!$N$4:$Y$18,11,FALSE)</f>
        <v>#N/A</v>
      </c>
      <c r="AN352" s="230">
        <f t="shared" ref="AN352:AN364" si="39">AH352-AL352</f>
        <v>32685334</v>
      </c>
      <c r="AO352" s="133"/>
      <c r="AP352" s="178">
        <f>S352-AH352</f>
        <v>0</v>
      </c>
      <c r="AQ352" s="133"/>
      <c r="AR352" s="133"/>
      <c r="AS352" s="133"/>
      <c r="AT352" s="133"/>
      <c r="AU352" s="133"/>
      <c r="AV352" s="179" t="s">
        <v>890</v>
      </c>
      <c r="AW352" s="220"/>
    </row>
    <row r="353" spans="1:49" s="221" customFormat="1" ht="356.25" x14ac:dyDescent="0.25">
      <c r="A353" s="173">
        <v>2</v>
      </c>
      <c r="B353" s="173" t="s">
        <v>891</v>
      </c>
      <c r="C353" s="173" t="s">
        <v>881</v>
      </c>
      <c r="D353" s="173" t="s">
        <v>882</v>
      </c>
      <c r="E353" s="174" t="s">
        <v>883</v>
      </c>
      <c r="F353" s="173" t="s">
        <v>52</v>
      </c>
      <c r="G353" s="173" t="s">
        <v>53</v>
      </c>
      <c r="H353" s="175" t="s">
        <v>884</v>
      </c>
      <c r="I353" s="173" t="s">
        <v>55</v>
      </c>
      <c r="J353" s="173" t="s">
        <v>56</v>
      </c>
      <c r="K353" s="63">
        <v>80111600</v>
      </c>
      <c r="L353" s="63" t="s">
        <v>885</v>
      </c>
      <c r="M353" s="63" t="s">
        <v>58</v>
      </c>
      <c r="N353" s="63" t="s">
        <v>59</v>
      </c>
      <c r="O353" s="64" t="s">
        <v>886</v>
      </c>
      <c r="P353" s="133" t="s">
        <v>892</v>
      </c>
      <c r="Q353" s="133">
        <v>5036700</v>
      </c>
      <c r="R353" s="133">
        <v>1</v>
      </c>
      <c r="S353" s="143">
        <v>57922050</v>
      </c>
      <c r="T353" s="133" t="s">
        <v>888</v>
      </c>
      <c r="U353" s="173" t="s">
        <v>445</v>
      </c>
      <c r="V353" s="176" t="s">
        <v>64</v>
      </c>
      <c r="W353" s="177">
        <v>11.5</v>
      </c>
      <c r="X353" s="85" t="s">
        <v>893</v>
      </c>
      <c r="Y353" s="150">
        <v>43102</v>
      </c>
      <c r="Z353" s="229">
        <v>57922050</v>
      </c>
      <c r="AA353" s="140"/>
      <c r="AB353" s="85">
        <v>56</v>
      </c>
      <c r="AC353" s="51">
        <v>43103</v>
      </c>
      <c r="AD353" s="230">
        <v>57922050</v>
      </c>
      <c r="AE353" s="231">
        <f t="shared" si="38"/>
        <v>0</v>
      </c>
      <c r="AF353" s="85">
        <v>99</v>
      </c>
      <c r="AG353" s="51">
        <v>43116</v>
      </c>
      <c r="AH353" s="230">
        <v>57922050</v>
      </c>
      <c r="AI353" s="64" t="s">
        <v>894</v>
      </c>
      <c r="AJ353" s="85">
        <v>85</v>
      </c>
      <c r="AK353" s="85"/>
      <c r="AL353" s="230">
        <v>37607360</v>
      </c>
      <c r="AM353" s="230" t="e">
        <f>VLOOKUP(AF353,'[1]SEPTIEMBRE 2018'!$N$4:$Y$18,11,FALSE)</f>
        <v>#N/A</v>
      </c>
      <c r="AN353" s="230">
        <f t="shared" si="39"/>
        <v>20314690</v>
      </c>
      <c r="AO353" s="133"/>
      <c r="AP353" s="178">
        <f t="shared" ref="AP353:AP364" si="40">S353-AH353</f>
        <v>0</v>
      </c>
      <c r="AQ353" s="133"/>
      <c r="AR353" s="133"/>
      <c r="AS353" s="133"/>
      <c r="AT353" s="133"/>
      <c r="AU353" s="133"/>
      <c r="AV353" s="180" t="s">
        <v>895</v>
      </c>
      <c r="AW353" s="220"/>
    </row>
    <row r="354" spans="1:49" s="221" customFormat="1" ht="409.5" x14ac:dyDescent="0.25">
      <c r="A354" s="173">
        <v>3</v>
      </c>
      <c r="B354" s="173" t="s">
        <v>896</v>
      </c>
      <c r="C354" s="173" t="s">
        <v>881</v>
      </c>
      <c r="D354" s="173" t="s">
        <v>882</v>
      </c>
      <c r="E354" s="174" t="s">
        <v>883</v>
      </c>
      <c r="F354" s="173" t="s">
        <v>52</v>
      </c>
      <c r="G354" s="173" t="s">
        <v>53</v>
      </c>
      <c r="H354" s="175" t="s">
        <v>884</v>
      </c>
      <c r="I354" s="173" t="s">
        <v>55</v>
      </c>
      <c r="J354" s="173" t="s">
        <v>56</v>
      </c>
      <c r="K354" s="63">
        <v>80111600</v>
      </c>
      <c r="L354" s="63" t="s">
        <v>885</v>
      </c>
      <c r="M354" s="63" t="s">
        <v>58</v>
      </c>
      <c r="N354" s="63" t="s">
        <v>59</v>
      </c>
      <c r="O354" s="64" t="s">
        <v>886</v>
      </c>
      <c r="P354" s="133" t="s">
        <v>897</v>
      </c>
      <c r="Q354" s="133">
        <v>4120000</v>
      </c>
      <c r="R354" s="133">
        <v>1</v>
      </c>
      <c r="S354" s="143">
        <f>47045250-77250</f>
        <v>46968000</v>
      </c>
      <c r="T354" s="133" t="s">
        <v>888</v>
      </c>
      <c r="U354" s="173" t="s">
        <v>445</v>
      </c>
      <c r="V354" s="176" t="s">
        <v>64</v>
      </c>
      <c r="W354" s="177">
        <v>11.5</v>
      </c>
      <c r="X354" s="85" t="s">
        <v>898</v>
      </c>
      <c r="Y354" s="150">
        <v>43102</v>
      </c>
      <c r="Z354" s="229">
        <v>47045250</v>
      </c>
      <c r="AA354" s="140"/>
      <c r="AB354" s="85">
        <v>57</v>
      </c>
      <c r="AC354" s="51">
        <v>43103</v>
      </c>
      <c r="AD354" s="230">
        <v>46968000</v>
      </c>
      <c r="AE354" s="231">
        <f t="shared" si="38"/>
        <v>0</v>
      </c>
      <c r="AF354" s="85">
        <v>219</v>
      </c>
      <c r="AG354" s="51">
        <v>43118</v>
      </c>
      <c r="AH354" s="230">
        <v>46968000</v>
      </c>
      <c r="AI354" s="64" t="s">
        <v>899</v>
      </c>
      <c r="AJ354" s="85">
        <v>187</v>
      </c>
      <c r="AK354" s="85"/>
      <c r="AL354" s="230">
        <v>30488000</v>
      </c>
      <c r="AM354" s="230" t="e">
        <f>VLOOKUP(AF354,'[1]SEPTIEMBRE 2018'!$N$4:$Y$18,11,FALSE)</f>
        <v>#N/A</v>
      </c>
      <c r="AN354" s="230">
        <f t="shared" si="39"/>
        <v>16480000</v>
      </c>
      <c r="AO354" s="133"/>
      <c r="AP354" s="178">
        <f t="shared" si="40"/>
        <v>0</v>
      </c>
      <c r="AQ354" s="133"/>
      <c r="AR354" s="133"/>
      <c r="AS354" s="133"/>
      <c r="AT354" s="133"/>
      <c r="AU354" s="133"/>
      <c r="AV354" s="179" t="s">
        <v>900</v>
      </c>
      <c r="AW354" s="220"/>
    </row>
    <row r="355" spans="1:49" s="221" customFormat="1" ht="342" x14ac:dyDescent="0.25">
      <c r="A355" s="173">
        <v>4</v>
      </c>
      <c r="B355" s="173" t="s">
        <v>901</v>
      </c>
      <c r="C355" s="173" t="s">
        <v>881</v>
      </c>
      <c r="D355" s="173" t="s">
        <v>882</v>
      </c>
      <c r="E355" s="174" t="s">
        <v>902</v>
      </c>
      <c r="F355" s="173" t="s">
        <v>52</v>
      </c>
      <c r="G355" s="173" t="s">
        <v>53</v>
      </c>
      <c r="H355" s="175" t="s">
        <v>884</v>
      </c>
      <c r="I355" s="173" t="s">
        <v>55</v>
      </c>
      <c r="J355" s="173" t="s">
        <v>56</v>
      </c>
      <c r="K355" s="63">
        <v>80111600</v>
      </c>
      <c r="L355" s="63" t="s">
        <v>885</v>
      </c>
      <c r="M355" s="63" t="s">
        <v>58</v>
      </c>
      <c r="N355" s="63" t="s">
        <v>59</v>
      </c>
      <c r="O355" s="64" t="s">
        <v>886</v>
      </c>
      <c r="P355" s="133" t="s">
        <v>903</v>
      </c>
      <c r="Q355" s="133">
        <v>5036700</v>
      </c>
      <c r="R355" s="133">
        <v>1</v>
      </c>
      <c r="S355" s="143">
        <v>57922050</v>
      </c>
      <c r="T355" s="133" t="s">
        <v>888</v>
      </c>
      <c r="U355" s="173" t="s">
        <v>445</v>
      </c>
      <c r="V355" s="176" t="s">
        <v>64</v>
      </c>
      <c r="W355" s="177">
        <v>11.5</v>
      </c>
      <c r="X355" s="85" t="s">
        <v>904</v>
      </c>
      <c r="Y355" s="150">
        <v>43102</v>
      </c>
      <c r="Z355" s="229">
        <v>57922050</v>
      </c>
      <c r="AA355" s="140"/>
      <c r="AB355" s="85">
        <v>58</v>
      </c>
      <c r="AC355" s="51">
        <v>43103</v>
      </c>
      <c r="AD355" s="230">
        <v>57922050</v>
      </c>
      <c r="AE355" s="231">
        <f t="shared" si="38"/>
        <v>0</v>
      </c>
      <c r="AF355" s="85">
        <v>94</v>
      </c>
      <c r="AG355" s="51">
        <v>43116</v>
      </c>
      <c r="AH355" s="230">
        <v>57922050</v>
      </c>
      <c r="AI355" s="64" t="s">
        <v>905</v>
      </c>
      <c r="AJ355" s="85">
        <v>90</v>
      </c>
      <c r="AK355" s="85"/>
      <c r="AL355" s="230">
        <v>37607360</v>
      </c>
      <c r="AM355" s="230" t="e">
        <f>VLOOKUP(AF355,'[1]SEPTIEMBRE 2018'!$N$4:$Y$18,11,FALSE)</f>
        <v>#N/A</v>
      </c>
      <c r="AN355" s="230">
        <f t="shared" si="39"/>
        <v>20314690</v>
      </c>
      <c r="AO355" s="133"/>
      <c r="AP355" s="178">
        <f t="shared" si="40"/>
        <v>0</v>
      </c>
      <c r="AQ355" s="133"/>
      <c r="AR355" s="133"/>
      <c r="AS355" s="133"/>
      <c r="AT355" s="133"/>
      <c r="AU355" s="133"/>
      <c r="AV355" s="181" t="s">
        <v>906</v>
      </c>
      <c r="AW355" s="220"/>
    </row>
    <row r="356" spans="1:49" s="221" customFormat="1" ht="356.25" x14ac:dyDescent="0.25">
      <c r="A356" s="173">
        <v>5</v>
      </c>
      <c r="B356" s="173" t="s">
        <v>907</v>
      </c>
      <c r="C356" s="173" t="s">
        <v>881</v>
      </c>
      <c r="D356" s="173" t="s">
        <v>882</v>
      </c>
      <c r="E356" s="174" t="s">
        <v>883</v>
      </c>
      <c r="F356" s="173" t="s">
        <v>52</v>
      </c>
      <c r="G356" s="173" t="s">
        <v>53</v>
      </c>
      <c r="H356" s="175" t="s">
        <v>884</v>
      </c>
      <c r="I356" s="173" t="s">
        <v>55</v>
      </c>
      <c r="J356" s="173" t="s">
        <v>56</v>
      </c>
      <c r="K356" s="63">
        <v>80111600</v>
      </c>
      <c r="L356" s="63" t="s">
        <v>885</v>
      </c>
      <c r="M356" s="63" t="s">
        <v>58</v>
      </c>
      <c r="N356" s="63" t="s">
        <v>59</v>
      </c>
      <c r="O356" s="64" t="s">
        <v>886</v>
      </c>
      <c r="P356" s="133" t="s">
        <v>908</v>
      </c>
      <c r="Q356" s="133">
        <v>6180000</v>
      </c>
      <c r="R356" s="133">
        <v>1</v>
      </c>
      <c r="S356" s="143">
        <v>71070000</v>
      </c>
      <c r="T356" s="133" t="s">
        <v>888</v>
      </c>
      <c r="U356" s="173" t="s">
        <v>445</v>
      </c>
      <c r="V356" s="176" t="s">
        <v>64</v>
      </c>
      <c r="W356" s="177">
        <v>11.5</v>
      </c>
      <c r="X356" s="85" t="s">
        <v>909</v>
      </c>
      <c r="Y356" s="150">
        <v>43102</v>
      </c>
      <c r="Z356" s="229">
        <v>71070000</v>
      </c>
      <c r="AA356" s="140"/>
      <c r="AB356" s="85">
        <v>59</v>
      </c>
      <c r="AC356" s="51">
        <v>43103</v>
      </c>
      <c r="AD356" s="230">
        <v>71070000</v>
      </c>
      <c r="AE356" s="231">
        <f t="shared" si="38"/>
        <v>0</v>
      </c>
      <c r="AF356" s="85">
        <v>224</v>
      </c>
      <c r="AG356" s="51">
        <v>43118</v>
      </c>
      <c r="AH356" s="230">
        <v>71070000</v>
      </c>
      <c r="AI356" s="64" t="s">
        <v>910</v>
      </c>
      <c r="AJ356" s="85">
        <v>198</v>
      </c>
      <c r="AK356" s="85"/>
      <c r="AL356" s="230">
        <v>45732000</v>
      </c>
      <c r="AM356" s="230" t="e">
        <f>VLOOKUP(AF356,'[1]SEPTIEMBRE 2018'!$N$4:$Y$18,11,FALSE)</f>
        <v>#N/A</v>
      </c>
      <c r="AN356" s="230">
        <f t="shared" si="39"/>
        <v>25338000</v>
      </c>
      <c r="AO356" s="133"/>
      <c r="AP356" s="178">
        <f t="shared" si="40"/>
        <v>0</v>
      </c>
      <c r="AQ356" s="133"/>
      <c r="AR356" s="133"/>
      <c r="AS356" s="133"/>
      <c r="AT356" s="133"/>
      <c r="AU356" s="133"/>
      <c r="AV356" s="179" t="s">
        <v>911</v>
      </c>
      <c r="AW356" s="220"/>
    </row>
    <row r="357" spans="1:49" s="221" customFormat="1" ht="342" x14ac:dyDescent="0.25">
      <c r="A357" s="173">
        <v>6</v>
      </c>
      <c r="B357" s="173" t="s">
        <v>912</v>
      </c>
      <c r="C357" s="173" t="s">
        <v>881</v>
      </c>
      <c r="D357" s="173" t="s">
        <v>882</v>
      </c>
      <c r="E357" s="174" t="s">
        <v>883</v>
      </c>
      <c r="F357" s="173" t="s">
        <v>52</v>
      </c>
      <c r="G357" s="173" t="s">
        <v>53</v>
      </c>
      <c r="H357" s="175" t="s">
        <v>884</v>
      </c>
      <c r="I357" s="173" t="s">
        <v>55</v>
      </c>
      <c r="J357" s="173" t="s">
        <v>56</v>
      </c>
      <c r="K357" s="63">
        <v>80111600</v>
      </c>
      <c r="L357" s="63" t="s">
        <v>885</v>
      </c>
      <c r="M357" s="63" t="s">
        <v>58</v>
      </c>
      <c r="N357" s="63" t="s">
        <v>59</v>
      </c>
      <c r="O357" s="64" t="s">
        <v>886</v>
      </c>
      <c r="P357" s="133" t="s">
        <v>913</v>
      </c>
      <c r="Q357" s="133">
        <v>5036700</v>
      </c>
      <c r="R357" s="133">
        <v>1</v>
      </c>
      <c r="S357" s="143">
        <v>57922050</v>
      </c>
      <c r="T357" s="133" t="s">
        <v>888</v>
      </c>
      <c r="U357" s="173" t="s">
        <v>445</v>
      </c>
      <c r="V357" s="176" t="s">
        <v>64</v>
      </c>
      <c r="W357" s="177">
        <v>11.5</v>
      </c>
      <c r="X357" s="85" t="s">
        <v>914</v>
      </c>
      <c r="Y357" s="150">
        <v>43102</v>
      </c>
      <c r="Z357" s="229">
        <v>57922050</v>
      </c>
      <c r="AA357" s="140"/>
      <c r="AB357" s="85">
        <v>64</v>
      </c>
      <c r="AC357" s="51">
        <v>43103</v>
      </c>
      <c r="AD357" s="230">
        <v>57922050</v>
      </c>
      <c r="AE357" s="231">
        <f t="shared" si="38"/>
        <v>0</v>
      </c>
      <c r="AF357" s="85">
        <v>101</v>
      </c>
      <c r="AG357" s="51">
        <v>43116</v>
      </c>
      <c r="AH357" s="230">
        <v>57922050</v>
      </c>
      <c r="AI357" s="64" t="s">
        <v>915</v>
      </c>
      <c r="AJ357" s="85">
        <v>86</v>
      </c>
      <c r="AK357" s="85"/>
      <c r="AL357" s="230">
        <v>37607360</v>
      </c>
      <c r="AM357" s="230" t="e">
        <f>VLOOKUP(AF357,'[1]SEPTIEMBRE 2018'!$N$4:$Y$18,11,FALSE)</f>
        <v>#N/A</v>
      </c>
      <c r="AN357" s="230">
        <f t="shared" si="39"/>
        <v>20314690</v>
      </c>
      <c r="AO357" s="133"/>
      <c r="AP357" s="178">
        <f t="shared" si="40"/>
        <v>0</v>
      </c>
      <c r="AQ357" s="133"/>
      <c r="AR357" s="133"/>
      <c r="AS357" s="133"/>
      <c r="AT357" s="133"/>
      <c r="AU357" s="133"/>
      <c r="AV357" s="179" t="s">
        <v>916</v>
      </c>
      <c r="AW357" s="220"/>
    </row>
    <row r="358" spans="1:49" s="221" customFormat="1" ht="299.25" x14ac:dyDescent="0.25">
      <c r="A358" s="173">
        <v>7</v>
      </c>
      <c r="B358" s="173" t="s">
        <v>917</v>
      </c>
      <c r="C358" s="173" t="s">
        <v>881</v>
      </c>
      <c r="D358" s="173" t="s">
        <v>882</v>
      </c>
      <c r="E358" s="174" t="s">
        <v>883</v>
      </c>
      <c r="F358" s="173" t="s">
        <v>52</v>
      </c>
      <c r="G358" s="173" t="s">
        <v>53</v>
      </c>
      <c r="H358" s="175" t="s">
        <v>884</v>
      </c>
      <c r="I358" s="173" t="s">
        <v>55</v>
      </c>
      <c r="J358" s="173" t="s">
        <v>56</v>
      </c>
      <c r="K358" s="63">
        <v>80111600</v>
      </c>
      <c r="L358" s="63" t="s">
        <v>885</v>
      </c>
      <c r="M358" s="63" t="s">
        <v>58</v>
      </c>
      <c r="N358" s="63" t="s">
        <v>59</v>
      </c>
      <c r="O358" s="64" t="s">
        <v>886</v>
      </c>
      <c r="P358" s="133" t="s">
        <v>918</v>
      </c>
      <c r="Q358" s="133">
        <v>12360000</v>
      </c>
      <c r="R358" s="133">
        <v>1</v>
      </c>
      <c r="S358" s="143">
        <v>135960000</v>
      </c>
      <c r="T358" s="133" t="s">
        <v>888</v>
      </c>
      <c r="U358" s="173" t="s">
        <v>445</v>
      </c>
      <c r="V358" s="176" t="s">
        <v>64</v>
      </c>
      <c r="W358" s="177">
        <v>11</v>
      </c>
      <c r="X358" s="85" t="s">
        <v>919</v>
      </c>
      <c r="Y358" s="150">
        <v>43102</v>
      </c>
      <c r="Z358" s="229">
        <v>135960000</v>
      </c>
      <c r="AA358" s="140"/>
      <c r="AB358" s="85">
        <v>66</v>
      </c>
      <c r="AC358" s="51">
        <v>43103</v>
      </c>
      <c r="AD358" s="230">
        <v>135960000</v>
      </c>
      <c r="AE358" s="231">
        <f t="shared" si="38"/>
        <v>0</v>
      </c>
      <c r="AF358" s="85">
        <v>460</v>
      </c>
      <c r="AG358" s="51">
        <v>43126</v>
      </c>
      <c r="AH358" s="230">
        <v>135960000</v>
      </c>
      <c r="AI358" s="64" t="s">
        <v>920</v>
      </c>
      <c r="AJ358" s="85">
        <v>387</v>
      </c>
      <c r="AK358" s="85"/>
      <c r="AL358" s="230">
        <v>88580000</v>
      </c>
      <c r="AM358" s="230" t="e">
        <f>VLOOKUP(AF358,'[1]SEPTIEMBRE 2018'!$N$4:$Y$18,11,FALSE)</f>
        <v>#N/A</v>
      </c>
      <c r="AN358" s="230">
        <f t="shared" si="39"/>
        <v>47380000</v>
      </c>
      <c r="AO358" s="133"/>
      <c r="AP358" s="178">
        <f t="shared" si="40"/>
        <v>0</v>
      </c>
      <c r="AQ358" s="133"/>
      <c r="AR358" s="133"/>
      <c r="AS358" s="133"/>
      <c r="AT358" s="133"/>
      <c r="AU358" s="133"/>
      <c r="AV358" s="179" t="s">
        <v>921</v>
      </c>
      <c r="AW358" s="220"/>
    </row>
    <row r="359" spans="1:49" s="221" customFormat="1" ht="409.5" x14ac:dyDescent="0.25">
      <c r="A359" s="173">
        <v>8</v>
      </c>
      <c r="B359" s="173" t="s">
        <v>922</v>
      </c>
      <c r="C359" s="173" t="s">
        <v>881</v>
      </c>
      <c r="D359" s="173" t="s">
        <v>882</v>
      </c>
      <c r="E359" s="174" t="s">
        <v>883</v>
      </c>
      <c r="F359" s="173" t="s">
        <v>52</v>
      </c>
      <c r="G359" s="173" t="s">
        <v>53</v>
      </c>
      <c r="H359" s="175" t="s">
        <v>884</v>
      </c>
      <c r="I359" s="173" t="s">
        <v>55</v>
      </c>
      <c r="J359" s="173" t="s">
        <v>56</v>
      </c>
      <c r="K359" s="63">
        <v>80111600</v>
      </c>
      <c r="L359" s="63" t="s">
        <v>885</v>
      </c>
      <c r="M359" s="63" t="s">
        <v>58</v>
      </c>
      <c r="N359" s="63" t="s">
        <v>59</v>
      </c>
      <c r="O359" s="64" t="s">
        <v>886</v>
      </c>
      <c r="P359" s="133" t="s">
        <v>923</v>
      </c>
      <c r="Q359" s="133">
        <v>3399139.1304347827</v>
      </c>
      <c r="R359" s="133">
        <v>1</v>
      </c>
      <c r="S359" s="143">
        <f>39090100-1600</f>
        <v>39088500</v>
      </c>
      <c r="T359" s="133" t="s">
        <v>888</v>
      </c>
      <c r="U359" s="173" t="s">
        <v>445</v>
      </c>
      <c r="V359" s="176" t="s">
        <v>64</v>
      </c>
      <c r="W359" s="177">
        <v>11.5</v>
      </c>
      <c r="X359" s="85" t="s">
        <v>924</v>
      </c>
      <c r="Y359" s="150">
        <v>43102</v>
      </c>
      <c r="Z359" s="229">
        <v>39090100</v>
      </c>
      <c r="AA359" s="140"/>
      <c r="AB359" s="85">
        <v>103</v>
      </c>
      <c r="AC359" s="51">
        <v>43103</v>
      </c>
      <c r="AD359" s="230">
        <v>39088500</v>
      </c>
      <c r="AE359" s="231">
        <f t="shared" si="38"/>
        <v>0</v>
      </c>
      <c r="AF359" s="85">
        <v>111</v>
      </c>
      <c r="AG359" s="51">
        <v>43117</v>
      </c>
      <c r="AH359" s="230">
        <v>39088500</v>
      </c>
      <c r="AI359" s="64" t="s">
        <v>925</v>
      </c>
      <c r="AJ359" s="85">
        <v>104</v>
      </c>
      <c r="AK359" s="85"/>
      <c r="AL359" s="230">
        <v>25379200</v>
      </c>
      <c r="AM359" s="230" t="e">
        <f>VLOOKUP(AF359,'[1]SEPTIEMBRE 2018'!$N$4:$Y$18,11,FALSE)</f>
        <v>#N/A</v>
      </c>
      <c r="AN359" s="230">
        <f t="shared" si="39"/>
        <v>13709300</v>
      </c>
      <c r="AO359" s="133"/>
      <c r="AP359" s="178">
        <f t="shared" si="40"/>
        <v>0</v>
      </c>
      <c r="AQ359" s="133"/>
      <c r="AR359" s="133"/>
      <c r="AS359" s="133"/>
      <c r="AT359" s="133"/>
      <c r="AU359" s="133"/>
      <c r="AV359" s="179" t="s">
        <v>925</v>
      </c>
      <c r="AW359" s="220"/>
    </row>
    <row r="360" spans="1:49" s="221" customFormat="1" ht="256.5" x14ac:dyDescent="0.25">
      <c r="A360" s="173">
        <v>9</v>
      </c>
      <c r="B360" s="173" t="s">
        <v>926</v>
      </c>
      <c r="C360" s="173" t="s">
        <v>881</v>
      </c>
      <c r="D360" s="173" t="s">
        <v>882</v>
      </c>
      <c r="E360" s="174" t="s">
        <v>902</v>
      </c>
      <c r="F360" s="173" t="s">
        <v>52</v>
      </c>
      <c r="G360" s="173" t="s">
        <v>53</v>
      </c>
      <c r="H360" s="175" t="s">
        <v>884</v>
      </c>
      <c r="I360" s="173" t="s">
        <v>55</v>
      </c>
      <c r="J360" s="173" t="s">
        <v>56</v>
      </c>
      <c r="K360" s="63">
        <v>80111600</v>
      </c>
      <c r="L360" s="63" t="s">
        <v>885</v>
      </c>
      <c r="M360" s="63" t="s">
        <v>58</v>
      </c>
      <c r="N360" s="63" t="s">
        <v>59</v>
      </c>
      <c r="O360" s="64" t="s">
        <v>886</v>
      </c>
      <c r="P360" s="133" t="s">
        <v>927</v>
      </c>
      <c r="Q360" s="182">
        <v>3038500</v>
      </c>
      <c r="R360" s="133">
        <v>1</v>
      </c>
      <c r="S360" s="143">
        <f>+Q360*W360</f>
        <v>34942750</v>
      </c>
      <c r="T360" s="133" t="s">
        <v>928</v>
      </c>
      <c r="U360" s="173" t="s">
        <v>445</v>
      </c>
      <c r="V360" s="176" t="s">
        <v>64</v>
      </c>
      <c r="W360" s="177">
        <v>11.5</v>
      </c>
      <c r="X360" s="85" t="s">
        <v>929</v>
      </c>
      <c r="Y360" s="150">
        <v>43102</v>
      </c>
      <c r="Z360" s="229">
        <v>34942750</v>
      </c>
      <c r="AA360" s="140"/>
      <c r="AB360" s="85">
        <v>104</v>
      </c>
      <c r="AC360" s="51">
        <v>43103</v>
      </c>
      <c r="AD360" s="230">
        <v>34942750</v>
      </c>
      <c r="AE360" s="231">
        <f t="shared" si="38"/>
        <v>0</v>
      </c>
      <c r="AF360" s="85">
        <v>46</v>
      </c>
      <c r="AG360" s="51">
        <v>43116</v>
      </c>
      <c r="AH360" s="230">
        <v>34942750</v>
      </c>
      <c r="AI360" s="220" t="s">
        <v>930</v>
      </c>
      <c r="AJ360" s="85">
        <v>51</v>
      </c>
      <c r="AK360" s="85"/>
      <c r="AL360" s="230">
        <v>22687467</v>
      </c>
      <c r="AM360" s="230" t="e">
        <f>VLOOKUP(AF360,'[1]SEPTIEMBRE 2018'!$N$4:$Y$18,11,FALSE)</f>
        <v>#N/A</v>
      </c>
      <c r="AN360" s="230">
        <f t="shared" si="39"/>
        <v>12255283</v>
      </c>
      <c r="AO360" s="133"/>
      <c r="AP360" s="178">
        <f t="shared" si="40"/>
        <v>0</v>
      </c>
      <c r="AQ360" s="133"/>
      <c r="AR360" s="133"/>
      <c r="AS360" s="133"/>
      <c r="AT360" s="133"/>
      <c r="AU360" s="133"/>
      <c r="AV360" s="179" t="s">
        <v>930</v>
      </c>
      <c r="AW360" s="220"/>
    </row>
    <row r="361" spans="1:49" s="221" customFormat="1" ht="342" x14ac:dyDescent="0.25">
      <c r="A361" s="173">
        <v>10</v>
      </c>
      <c r="B361" s="173" t="s">
        <v>931</v>
      </c>
      <c r="C361" s="173" t="s">
        <v>881</v>
      </c>
      <c r="D361" s="173" t="s">
        <v>882</v>
      </c>
      <c r="E361" s="174" t="s">
        <v>883</v>
      </c>
      <c r="F361" s="173" t="s">
        <v>425</v>
      </c>
      <c r="G361" s="173" t="s">
        <v>932</v>
      </c>
      <c r="H361" s="183" t="s">
        <v>933</v>
      </c>
      <c r="I361" s="173" t="s">
        <v>55</v>
      </c>
      <c r="J361" s="173" t="s">
        <v>56</v>
      </c>
      <c r="K361" s="173">
        <v>82101600</v>
      </c>
      <c r="L361" s="63" t="s">
        <v>885</v>
      </c>
      <c r="M361" s="63" t="s">
        <v>58</v>
      </c>
      <c r="N361" s="63" t="s">
        <v>59</v>
      </c>
      <c r="O361" s="64" t="s">
        <v>886</v>
      </c>
      <c r="P361" s="133" t="s">
        <v>934</v>
      </c>
      <c r="Q361" s="178">
        <f>S361/W361</f>
        <v>68748362</v>
      </c>
      <c r="R361" s="133">
        <v>1</v>
      </c>
      <c r="S361" s="143">
        <f>333688400-57506733-35562400</f>
        <v>240619267</v>
      </c>
      <c r="T361" s="63" t="s">
        <v>935</v>
      </c>
      <c r="U361" s="173" t="s">
        <v>936</v>
      </c>
      <c r="V361" s="176">
        <v>43314</v>
      </c>
      <c r="W361" s="184">
        <v>3.5</v>
      </c>
      <c r="X361" s="85" t="s">
        <v>937</v>
      </c>
      <c r="Y361" s="150">
        <v>43321</v>
      </c>
      <c r="Z361" s="140">
        <v>240619267</v>
      </c>
      <c r="AA361" s="140"/>
      <c r="AB361" s="142">
        <v>1058</v>
      </c>
      <c r="AC361" s="51">
        <v>43325</v>
      </c>
      <c r="AD361" s="230">
        <v>240619267</v>
      </c>
      <c r="AE361" s="133"/>
      <c r="AF361" s="85"/>
      <c r="AG361" s="63"/>
      <c r="AH361" s="115"/>
      <c r="AI361" s="63"/>
      <c r="AJ361" s="133"/>
      <c r="AK361" s="133"/>
      <c r="AL361" s="232"/>
      <c r="AM361" s="230"/>
      <c r="AN361" s="230">
        <f t="shared" si="39"/>
        <v>0</v>
      </c>
      <c r="AO361" s="133"/>
      <c r="AP361" s="178">
        <f t="shared" si="40"/>
        <v>240619267</v>
      </c>
      <c r="AQ361" s="133"/>
      <c r="AR361" s="133"/>
      <c r="AS361" s="133"/>
      <c r="AT361" s="133"/>
      <c r="AU361" s="133"/>
      <c r="AV361" s="179"/>
      <c r="AW361" s="220"/>
    </row>
    <row r="362" spans="1:49" s="221" customFormat="1" ht="356.25" x14ac:dyDescent="0.25">
      <c r="A362" s="173">
        <v>11</v>
      </c>
      <c r="B362" s="173" t="s">
        <v>938</v>
      </c>
      <c r="C362" s="173" t="s">
        <v>881</v>
      </c>
      <c r="D362" s="173" t="s">
        <v>882</v>
      </c>
      <c r="E362" s="174" t="s">
        <v>883</v>
      </c>
      <c r="F362" s="173" t="s">
        <v>425</v>
      </c>
      <c r="G362" s="173" t="s">
        <v>932</v>
      </c>
      <c r="H362" s="183" t="s">
        <v>933</v>
      </c>
      <c r="I362" s="173" t="s">
        <v>55</v>
      </c>
      <c r="J362" s="173" t="s">
        <v>56</v>
      </c>
      <c r="K362" s="173">
        <v>82101600</v>
      </c>
      <c r="L362" s="63" t="s">
        <v>885</v>
      </c>
      <c r="M362" s="63" t="s">
        <v>58</v>
      </c>
      <c r="N362" s="63" t="s">
        <v>59</v>
      </c>
      <c r="O362" s="64" t="s">
        <v>886</v>
      </c>
      <c r="P362" s="133" t="s">
        <v>939</v>
      </c>
      <c r="Q362" s="178">
        <f>S362/W362</f>
        <v>33333333.333333332</v>
      </c>
      <c r="R362" s="133">
        <v>1</v>
      </c>
      <c r="S362" s="143">
        <f>64437600+35562400</f>
        <v>100000000</v>
      </c>
      <c r="T362" s="63" t="s">
        <v>935</v>
      </c>
      <c r="U362" s="173" t="s">
        <v>445</v>
      </c>
      <c r="V362" s="176">
        <v>43357</v>
      </c>
      <c r="W362" s="184">
        <v>3</v>
      </c>
      <c r="X362" s="85" t="s">
        <v>940</v>
      </c>
      <c r="Y362" s="150">
        <v>43357</v>
      </c>
      <c r="Z362" s="140">
        <v>100000000</v>
      </c>
      <c r="AA362" s="140"/>
      <c r="AB362" s="142">
        <v>1166</v>
      </c>
      <c r="AC362" s="133" t="s">
        <v>941</v>
      </c>
      <c r="AD362" s="230">
        <v>100000000</v>
      </c>
      <c r="AE362" s="133"/>
      <c r="AF362" s="85"/>
      <c r="AG362" s="63"/>
      <c r="AH362" s="63"/>
      <c r="AI362" s="63"/>
      <c r="AJ362" s="133"/>
      <c r="AK362" s="133"/>
      <c r="AL362" s="232"/>
      <c r="AM362" s="230"/>
      <c r="AN362" s="230">
        <f t="shared" si="39"/>
        <v>0</v>
      </c>
      <c r="AO362" s="133"/>
      <c r="AP362" s="178">
        <f t="shared" si="40"/>
        <v>100000000</v>
      </c>
      <c r="AQ362" s="133"/>
      <c r="AR362" s="133"/>
      <c r="AS362" s="133"/>
      <c r="AT362" s="133"/>
      <c r="AU362" s="133"/>
      <c r="AV362" s="179"/>
      <c r="AW362" s="220"/>
    </row>
    <row r="363" spans="1:49" s="221" customFormat="1" ht="256.5" x14ac:dyDescent="0.25">
      <c r="A363" s="173">
        <v>12</v>
      </c>
      <c r="B363" s="173" t="s">
        <v>942</v>
      </c>
      <c r="C363" s="173" t="s">
        <v>881</v>
      </c>
      <c r="D363" s="173" t="s">
        <v>882</v>
      </c>
      <c r="E363" s="174" t="s">
        <v>883</v>
      </c>
      <c r="F363" s="173" t="s">
        <v>52</v>
      </c>
      <c r="G363" s="173" t="s">
        <v>53</v>
      </c>
      <c r="H363" s="175" t="s">
        <v>884</v>
      </c>
      <c r="I363" s="173" t="s">
        <v>55</v>
      </c>
      <c r="J363" s="173" t="s">
        <v>56</v>
      </c>
      <c r="K363" s="63">
        <v>80111600</v>
      </c>
      <c r="L363" s="63" t="s">
        <v>885</v>
      </c>
      <c r="M363" s="63" t="s">
        <v>58</v>
      </c>
      <c r="N363" s="63" t="s">
        <v>59</v>
      </c>
      <c r="O363" s="64" t="s">
        <v>886</v>
      </c>
      <c r="P363" s="133" t="s">
        <v>943</v>
      </c>
      <c r="Q363" s="182">
        <v>4532000</v>
      </c>
      <c r="R363" s="133">
        <v>1</v>
      </c>
      <c r="S363" s="143">
        <f>4145750+57506733-36122216</f>
        <v>25530267</v>
      </c>
      <c r="T363" s="133" t="s">
        <v>928</v>
      </c>
      <c r="U363" s="173" t="s">
        <v>445</v>
      </c>
      <c r="V363" s="133" t="s">
        <v>844</v>
      </c>
      <c r="W363" s="233">
        <v>5.63</v>
      </c>
      <c r="X363" s="85" t="s">
        <v>944</v>
      </c>
      <c r="Y363" s="150">
        <v>43291</v>
      </c>
      <c r="Z363" s="143">
        <f>4145750+21384517</f>
        <v>25530267</v>
      </c>
      <c r="AA363" s="140"/>
      <c r="AB363" s="142">
        <v>972</v>
      </c>
      <c r="AC363" s="51">
        <v>43293</v>
      </c>
      <c r="AD363" s="230">
        <v>24926000</v>
      </c>
      <c r="AE363" s="133"/>
      <c r="AF363" s="85">
        <v>2507</v>
      </c>
      <c r="AG363" s="81">
        <v>43299</v>
      </c>
      <c r="AH363" s="230">
        <v>24926000</v>
      </c>
      <c r="AI363" s="64" t="s">
        <v>945</v>
      </c>
      <c r="AJ363" s="85">
        <v>446</v>
      </c>
      <c r="AK363" s="85"/>
      <c r="AL363" s="232">
        <v>6344800</v>
      </c>
      <c r="AM363" s="230" t="e">
        <f>VLOOKUP(AF363,'[1]SEPTIEMBRE 2018'!$N$4:$Y$18,11,FALSE)</f>
        <v>#N/A</v>
      </c>
      <c r="AN363" s="230">
        <f t="shared" si="39"/>
        <v>18581200</v>
      </c>
      <c r="AO363" s="133"/>
      <c r="AP363" s="178">
        <f t="shared" si="40"/>
        <v>604267</v>
      </c>
      <c r="AQ363" s="133"/>
      <c r="AR363" s="133"/>
      <c r="AS363" s="133"/>
      <c r="AT363" s="133"/>
      <c r="AU363" s="133"/>
      <c r="AV363" s="179" t="s">
        <v>946</v>
      </c>
      <c r="AW363" s="220"/>
    </row>
    <row r="364" spans="1:49" s="221" customFormat="1" ht="256.5" x14ac:dyDescent="0.25">
      <c r="A364" s="173">
        <v>13</v>
      </c>
      <c r="B364" s="173" t="s">
        <v>947</v>
      </c>
      <c r="C364" s="173" t="s">
        <v>881</v>
      </c>
      <c r="D364" s="173" t="s">
        <v>882</v>
      </c>
      <c r="E364" s="174" t="s">
        <v>883</v>
      </c>
      <c r="F364" s="173" t="s">
        <v>52</v>
      </c>
      <c r="G364" s="173" t="s">
        <v>53</v>
      </c>
      <c r="H364" s="175" t="s">
        <v>884</v>
      </c>
      <c r="I364" s="173" t="s">
        <v>55</v>
      </c>
      <c r="J364" s="173" t="s">
        <v>56</v>
      </c>
      <c r="K364" s="63">
        <v>80111600</v>
      </c>
      <c r="L364" s="63" t="s">
        <v>885</v>
      </c>
      <c r="M364" s="63" t="s">
        <v>58</v>
      </c>
      <c r="N364" s="63" t="s">
        <v>59</v>
      </c>
      <c r="O364" s="64" t="s">
        <v>886</v>
      </c>
      <c r="P364" s="133" t="s">
        <v>943</v>
      </c>
      <c r="Q364" s="182"/>
      <c r="R364" s="133">
        <v>1</v>
      </c>
      <c r="S364" s="143">
        <f>36122216+77250+1600</f>
        <v>36201066</v>
      </c>
      <c r="T364" s="133" t="s">
        <v>928</v>
      </c>
      <c r="U364" s="173" t="s">
        <v>445</v>
      </c>
      <c r="V364" s="150">
        <v>43313</v>
      </c>
      <c r="W364" s="233">
        <v>5.2</v>
      </c>
      <c r="X364" s="85" t="s">
        <v>948</v>
      </c>
      <c r="Y364" s="150">
        <v>43313</v>
      </c>
      <c r="Z364" s="143">
        <v>36201066</v>
      </c>
      <c r="AA364" s="140"/>
      <c r="AB364" s="142">
        <v>1032</v>
      </c>
      <c r="AC364" s="51">
        <v>43320</v>
      </c>
      <c r="AD364" s="230">
        <v>32445000</v>
      </c>
      <c r="AE364" s="133"/>
      <c r="AF364" s="85">
        <v>2683</v>
      </c>
      <c r="AG364" s="81">
        <v>43329</v>
      </c>
      <c r="AH364" s="230">
        <v>32445000</v>
      </c>
      <c r="AI364" s="63" t="s">
        <v>949</v>
      </c>
      <c r="AJ364" s="85">
        <v>507</v>
      </c>
      <c r="AK364" s="85"/>
      <c r="AL364" s="232">
        <v>2403330</v>
      </c>
      <c r="AM364" s="230" t="e">
        <f>VLOOKUP(AF364,'[1]SEPTIEMBRE 2018'!$N$4:$Y$18,11,FALSE)</f>
        <v>#N/A</v>
      </c>
      <c r="AN364" s="230">
        <f t="shared" si="39"/>
        <v>30041670</v>
      </c>
      <c r="AO364" s="133"/>
      <c r="AP364" s="178">
        <f t="shared" si="40"/>
        <v>3756066</v>
      </c>
      <c r="AQ364" s="133"/>
      <c r="AR364" s="133"/>
      <c r="AS364" s="133"/>
      <c r="AT364" s="133"/>
      <c r="AU364" s="133"/>
      <c r="AV364" s="179" t="s">
        <v>946</v>
      </c>
      <c r="AW364" s="220"/>
    </row>
    <row r="365" spans="1:49" s="221" customFormat="1" x14ac:dyDescent="0.25">
      <c r="A365" s="220"/>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c r="AA365" s="220"/>
      <c r="AB365" s="220"/>
      <c r="AC365" s="220"/>
      <c r="AD365" s="220"/>
      <c r="AE365" s="220"/>
      <c r="AF365" s="220"/>
      <c r="AG365" s="220"/>
      <c r="AH365" s="220"/>
      <c r="AI365" s="220"/>
      <c r="AJ365" s="220"/>
      <c r="AK365" s="220"/>
      <c r="AL365" s="220"/>
      <c r="AM365" s="220"/>
      <c r="AN365" s="220"/>
      <c r="AO365" s="220"/>
      <c r="AP365" s="220"/>
      <c r="AQ365" s="220"/>
      <c r="AR365" s="220"/>
      <c r="AS365" s="220"/>
      <c r="AT365" s="220"/>
      <c r="AU365" s="220"/>
      <c r="AV365" s="220"/>
      <c r="AW365" s="220"/>
    </row>
    <row r="366" spans="1:49" s="221" customFormat="1" x14ac:dyDescent="0.25">
      <c r="A366" s="220"/>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c r="AA366" s="220"/>
      <c r="AB366" s="220"/>
      <c r="AC366" s="220"/>
      <c r="AD366" s="220"/>
      <c r="AE366" s="220"/>
      <c r="AF366" s="220"/>
      <c r="AG366" s="220"/>
      <c r="AH366" s="220"/>
      <c r="AI366" s="220"/>
      <c r="AJ366" s="220"/>
      <c r="AK366" s="220"/>
      <c r="AL366" s="220"/>
      <c r="AM366" s="220"/>
      <c r="AN366" s="220"/>
      <c r="AO366" s="220"/>
      <c r="AP366" s="220"/>
      <c r="AQ366" s="220"/>
      <c r="AR366" s="220"/>
      <c r="AS366" s="220"/>
      <c r="AT366" s="220"/>
      <c r="AU366" s="220"/>
      <c r="AV366" s="220"/>
      <c r="AW366" s="220"/>
    </row>
    <row r="367" spans="1:49" s="221" customFormat="1" ht="156.75" x14ac:dyDescent="0.25">
      <c r="A367" s="173">
        <v>1</v>
      </c>
      <c r="B367" s="173" t="s">
        <v>950</v>
      </c>
      <c r="C367" s="173" t="s">
        <v>951</v>
      </c>
      <c r="D367" s="173" t="s">
        <v>952</v>
      </c>
      <c r="E367" s="173" t="s">
        <v>953</v>
      </c>
      <c r="F367" s="173" t="s">
        <v>52</v>
      </c>
      <c r="G367" s="173" t="s">
        <v>53</v>
      </c>
      <c r="H367" s="175" t="s">
        <v>884</v>
      </c>
      <c r="I367" s="173" t="s">
        <v>55</v>
      </c>
      <c r="J367" s="173" t="s">
        <v>56</v>
      </c>
      <c r="K367" s="63">
        <v>80111600</v>
      </c>
      <c r="L367" s="63" t="s">
        <v>954</v>
      </c>
      <c r="M367" s="63" t="s">
        <v>58</v>
      </c>
      <c r="N367" s="63" t="s">
        <v>59</v>
      </c>
      <c r="O367" s="64" t="s">
        <v>886</v>
      </c>
      <c r="P367" s="63" t="s">
        <v>955</v>
      </c>
      <c r="Q367" s="185">
        <v>7210000</v>
      </c>
      <c r="R367" s="184">
        <v>1</v>
      </c>
      <c r="S367" s="185">
        <f>83636000-721000</f>
        <v>82915000</v>
      </c>
      <c r="T367" s="133" t="s">
        <v>888</v>
      </c>
      <c r="U367" s="173" t="s">
        <v>445</v>
      </c>
      <c r="V367" s="176" t="s">
        <v>493</v>
      </c>
      <c r="W367" s="177">
        <v>11.57</v>
      </c>
      <c r="X367" s="234" t="s">
        <v>956</v>
      </c>
      <c r="Y367" s="60">
        <v>43102</v>
      </c>
      <c r="Z367" s="185">
        <v>83636000</v>
      </c>
      <c r="AA367" s="64"/>
      <c r="AB367" s="186">
        <v>90</v>
      </c>
      <c r="AC367" s="60">
        <v>43103</v>
      </c>
      <c r="AD367" s="230">
        <v>82915000</v>
      </c>
      <c r="AE367" s="235">
        <f>S367-AD367</f>
        <v>0</v>
      </c>
      <c r="AF367" s="186">
        <v>166</v>
      </c>
      <c r="AG367" s="60">
        <v>43118</v>
      </c>
      <c r="AH367" s="230">
        <v>82915000</v>
      </c>
      <c r="AI367" s="64" t="s">
        <v>957</v>
      </c>
      <c r="AJ367" s="50">
        <v>124</v>
      </c>
      <c r="AK367" s="64"/>
      <c r="AL367" s="69">
        <v>53594333</v>
      </c>
      <c r="AM367" s="236">
        <f>AH367-AL367</f>
        <v>29320667</v>
      </c>
      <c r="AN367" s="64"/>
      <c r="AO367" s="237">
        <f>S367-AH367</f>
        <v>0</v>
      </c>
      <c r="AP367" s="64"/>
      <c r="AQ367" s="64"/>
      <c r="AR367" s="64"/>
      <c r="AS367" s="64"/>
      <c r="AT367" s="64"/>
      <c r="AU367" s="64"/>
      <c r="AV367" s="64"/>
      <c r="AW367" s="220"/>
    </row>
    <row r="368" spans="1:49" s="221" customFormat="1" ht="199.5" x14ac:dyDescent="0.25">
      <c r="A368" s="173">
        <f t="shared" ref="A368:A413" si="41">+A367+1</f>
        <v>2</v>
      </c>
      <c r="B368" s="173" t="s">
        <v>958</v>
      </c>
      <c r="C368" s="173" t="s">
        <v>951</v>
      </c>
      <c r="D368" s="173" t="s">
        <v>952</v>
      </c>
      <c r="E368" s="173" t="s">
        <v>953</v>
      </c>
      <c r="F368" s="173" t="s">
        <v>52</v>
      </c>
      <c r="G368" s="173" t="s">
        <v>53</v>
      </c>
      <c r="H368" s="175" t="s">
        <v>884</v>
      </c>
      <c r="I368" s="173" t="s">
        <v>55</v>
      </c>
      <c r="J368" s="173" t="s">
        <v>56</v>
      </c>
      <c r="K368" s="63">
        <v>80111600</v>
      </c>
      <c r="L368" s="63" t="s">
        <v>954</v>
      </c>
      <c r="M368" s="63" t="s">
        <v>58</v>
      </c>
      <c r="N368" s="63" t="s">
        <v>59</v>
      </c>
      <c r="O368" s="64" t="s">
        <v>886</v>
      </c>
      <c r="P368" s="63" t="s">
        <v>959</v>
      </c>
      <c r="Q368" s="185">
        <v>4532000</v>
      </c>
      <c r="R368" s="184">
        <v>1</v>
      </c>
      <c r="S368" s="185">
        <v>36256000</v>
      </c>
      <c r="T368" s="133" t="s">
        <v>888</v>
      </c>
      <c r="U368" s="173" t="s">
        <v>445</v>
      </c>
      <c r="V368" s="176" t="s">
        <v>493</v>
      </c>
      <c r="W368" s="177">
        <v>8</v>
      </c>
      <c r="X368" s="234" t="s">
        <v>960</v>
      </c>
      <c r="Y368" s="60">
        <v>43102</v>
      </c>
      <c r="Z368" s="185">
        <v>36256000</v>
      </c>
      <c r="AA368" s="64"/>
      <c r="AB368" s="186">
        <v>91</v>
      </c>
      <c r="AC368" s="60">
        <v>43103</v>
      </c>
      <c r="AD368" s="230">
        <v>36256000</v>
      </c>
      <c r="AE368" s="235">
        <f t="shared" ref="AE368:AE377" si="42">S368-AD368</f>
        <v>0</v>
      </c>
      <c r="AF368" s="186">
        <v>490</v>
      </c>
      <c r="AG368" s="60">
        <v>43126</v>
      </c>
      <c r="AH368" s="230">
        <v>36256000</v>
      </c>
      <c r="AI368" s="64" t="s">
        <v>961</v>
      </c>
      <c r="AJ368" s="50">
        <v>419</v>
      </c>
      <c r="AK368" s="64"/>
      <c r="AL368" s="69">
        <v>31724000</v>
      </c>
      <c r="AM368" s="236">
        <f t="shared" ref="AM368:AM413" si="43">AH368-AL368</f>
        <v>4532000</v>
      </c>
      <c r="AN368" s="64"/>
      <c r="AO368" s="237">
        <f t="shared" ref="AO368:AO413" si="44">S368-AH368</f>
        <v>0</v>
      </c>
      <c r="AP368" s="64"/>
      <c r="AQ368" s="64"/>
      <c r="AR368" s="64"/>
      <c r="AS368" s="64"/>
      <c r="AT368" s="64"/>
      <c r="AU368" s="64"/>
      <c r="AV368" s="64"/>
      <c r="AW368" s="220"/>
    </row>
    <row r="369" spans="1:49" s="221" customFormat="1" ht="228" x14ac:dyDescent="0.25">
      <c r="A369" s="173">
        <f t="shared" si="41"/>
        <v>3</v>
      </c>
      <c r="B369" s="173" t="s">
        <v>962</v>
      </c>
      <c r="C369" s="173" t="s">
        <v>951</v>
      </c>
      <c r="D369" s="173" t="s">
        <v>952</v>
      </c>
      <c r="E369" s="173" t="s">
        <v>953</v>
      </c>
      <c r="F369" s="173" t="s">
        <v>52</v>
      </c>
      <c r="G369" s="173" t="s">
        <v>53</v>
      </c>
      <c r="H369" s="175" t="s">
        <v>884</v>
      </c>
      <c r="I369" s="173" t="s">
        <v>55</v>
      </c>
      <c r="J369" s="173" t="s">
        <v>56</v>
      </c>
      <c r="K369" s="63">
        <v>80111600</v>
      </c>
      <c r="L369" s="63" t="s">
        <v>954</v>
      </c>
      <c r="M369" s="63" t="s">
        <v>58</v>
      </c>
      <c r="N369" s="63" t="s">
        <v>59</v>
      </c>
      <c r="O369" s="64" t="s">
        <v>886</v>
      </c>
      <c r="P369" s="63" t="s">
        <v>963</v>
      </c>
      <c r="Q369" s="185">
        <v>5253000</v>
      </c>
      <c r="R369" s="184">
        <v>1</v>
      </c>
      <c r="S369" s="185">
        <v>59709100</v>
      </c>
      <c r="T369" s="133" t="s">
        <v>888</v>
      </c>
      <c r="U369" s="173" t="s">
        <v>445</v>
      </c>
      <c r="V369" s="176" t="s">
        <v>493</v>
      </c>
      <c r="W369" s="177">
        <v>11.4</v>
      </c>
      <c r="X369" s="234" t="s">
        <v>964</v>
      </c>
      <c r="Y369" s="60">
        <v>43102</v>
      </c>
      <c r="Z369" s="185">
        <v>59709100</v>
      </c>
      <c r="AA369" s="64"/>
      <c r="AB369" s="186">
        <v>92</v>
      </c>
      <c r="AC369" s="60">
        <v>43103</v>
      </c>
      <c r="AD369" s="230">
        <v>59709100</v>
      </c>
      <c r="AE369" s="235">
        <f t="shared" si="42"/>
        <v>0</v>
      </c>
      <c r="AF369" s="186">
        <v>468</v>
      </c>
      <c r="AG369" s="60">
        <v>43126</v>
      </c>
      <c r="AH369" s="230">
        <v>59709100</v>
      </c>
      <c r="AI369" s="64" t="s">
        <v>965</v>
      </c>
      <c r="AJ369" s="50">
        <v>395</v>
      </c>
      <c r="AK369" s="64"/>
      <c r="AL369" s="69">
        <v>37646500</v>
      </c>
      <c r="AM369" s="236">
        <f t="shared" si="43"/>
        <v>22062600</v>
      </c>
      <c r="AN369" s="64"/>
      <c r="AO369" s="237">
        <f t="shared" si="44"/>
        <v>0</v>
      </c>
      <c r="AP369" s="64"/>
      <c r="AQ369" s="64"/>
      <c r="AR369" s="64"/>
      <c r="AS369" s="64"/>
      <c r="AT369" s="64"/>
      <c r="AU369" s="64"/>
      <c r="AV369" s="64"/>
      <c r="AW369" s="220"/>
    </row>
    <row r="370" spans="1:49" s="221" customFormat="1" ht="270.75" x14ac:dyDescent="0.25">
      <c r="A370" s="173">
        <f t="shared" si="41"/>
        <v>4</v>
      </c>
      <c r="B370" s="173" t="s">
        <v>966</v>
      </c>
      <c r="C370" s="173" t="s">
        <v>951</v>
      </c>
      <c r="D370" s="173" t="s">
        <v>952</v>
      </c>
      <c r="E370" s="173" t="s">
        <v>953</v>
      </c>
      <c r="F370" s="173" t="s">
        <v>52</v>
      </c>
      <c r="G370" s="173" t="s">
        <v>53</v>
      </c>
      <c r="H370" s="175" t="s">
        <v>884</v>
      </c>
      <c r="I370" s="173" t="s">
        <v>55</v>
      </c>
      <c r="J370" s="173" t="s">
        <v>56</v>
      </c>
      <c r="K370" s="63">
        <v>80111600</v>
      </c>
      <c r="L370" s="63" t="s">
        <v>954</v>
      </c>
      <c r="M370" s="63" t="s">
        <v>58</v>
      </c>
      <c r="N370" s="63" t="s">
        <v>59</v>
      </c>
      <c r="O370" s="64" t="s">
        <v>886</v>
      </c>
      <c r="P370" s="63" t="s">
        <v>967</v>
      </c>
      <c r="Q370" s="185">
        <v>4532000</v>
      </c>
      <c r="R370" s="184">
        <v>1</v>
      </c>
      <c r="S370" s="185">
        <v>51966933.329999998</v>
      </c>
      <c r="T370" s="133" t="s">
        <v>888</v>
      </c>
      <c r="U370" s="173" t="s">
        <v>445</v>
      </c>
      <c r="V370" s="176" t="s">
        <v>493</v>
      </c>
      <c r="W370" s="177">
        <v>11.5</v>
      </c>
      <c r="X370" s="234" t="s">
        <v>968</v>
      </c>
      <c r="Y370" s="60">
        <v>43102</v>
      </c>
      <c r="Z370" s="185">
        <v>51966933.329999998</v>
      </c>
      <c r="AA370" s="64"/>
      <c r="AB370" s="186">
        <v>94</v>
      </c>
      <c r="AC370" s="60">
        <v>43103</v>
      </c>
      <c r="AD370" s="230">
        <v>51966933</v>
      </c>
      <c r="AE370" s="238">
        <f t="shared" si="42"/>
        <v>0.32999999821186066</v>
      </c>
      <c r="AF370" s="186">
        <v>333</v>
      </c>
      <c r="AG370" s="60">
        <v>43123</v>
      </c>
      <c r="AH370" s="230">
        <v>51966933</v>
      </c>
      <c r="AI370" s="64" t="s">
        <v>969</v>
      </c>
      <c r="AJ370" s="50">
        <v>283</v>
      </c>
      <c r="AK370" s="64"/>
      <c r="AL370" s="69">
        <v>32932533</v>
      </c>
      <c r="AM370" s="236">
        <f t="shared" si="43"/>
        <v>19034400</v>
      </c>
      <c r="AN370" s="64"/>
      <c r="AO370" s="231">
        <f t="shared" si="44"/>
        <v>0.32999999821186066</v>
      </c>
      <c r="AP370" s="64"/>
      <c r="AQ370" s="64"/>
      <c r="AR370" s="64"/>
      <c r="AS370" s="64"/>
      <c r="AT370" s="64"/>
      <c r="AU370" s="64"/>
      <c r="AV370" s="64"/>
      <c r="AW370" s="220"/>
    </row>
    <row r="371" spans="1:49" s="221" customFormat="1" ht="242.25" x14ac:dyDescent="0.25">
      <c r="A371" s="173">
        <f t="shared" si="41"/>
        <v>5</v>
      </c>
      <c r="B371" s="173" t="s">
        <v>970</v>
      </c>
      <c r="C371" s="173" t="s">
        <v>951</v>
      </c>
      <c r="D371" s="173" t="s">
        <v>952</v>
      </c>
      <c r="E371" s="173" t="s">
        <v>953</v>
      </c>
      <c r="F371" s="173" t="s">
        <v>52</v>
      </c>
      <c r="G371" s="173" t="s">
        <v>53</v>
      </c>
      <c r="H371" s="175" t="s">
        <v>884</v>
      </c>
      <c r="I371" s="173" t="s">
        <v>55</v>
      </c>
      <c r="J371" s="173" t="s">
        <v>56</v>
      </c>
      <c r="K371" s="63">
        <v>80111600</v>
      </c>
      <c r="L371" s="63" t="s">
        <v>954</v>
      </c>
      <c r="M371" s="63" t="s">
        <v>58</v>
      </c>
      <c r="N371" s="63" t="s">
        <v>59</v>
      </c>
      <c r="O371" s="64" t="s">
        <v>886</v>
      </c>
      <c r="P371" s="63" t="s">
        <v>971</v>
      </c>
      <c r="Q371" s="185">
        <v>3326900</v>
      </c>
      <c r="R371" s="184">
        <v>1</v>
      </c>
      <c r="S371" s="185">
        <f>18297950+18297950</f>
        <v>36595900</v>
      </c>
      <c r="T371" s="133" t="s">
        <v>972</v>
      </c>
      <c r="U371" s="173" t="s">
        <v>445</v>
      </c>
      <c r="V371" s="176" t="s">
        <v>493</v>
      </c>
      <c r="W371" s="177">
        <v>5.5</v>
      </c>
      <c r="X371" s="234" t="s">
        <v>973</v>
      </c>
      <c r="Y371" s="60">
        <v>43116</v>
      </c>
      <c r="Z371" s="185">
        <v>36595900</v>
      </c>
      <c r="AA371" s="64" t="s">
        <v>974</v>
      </c>
      <c r="AB371" s="186">
        <v>515</v>
      </c>
      <c r="AC371" s="60">
        <v>43117</v>
      </c>
      <c r="AD371" s="230">
        <v>36595900</v>
      </c>
      <c r="AE371" s="238">
        <f t="shared" si="42"/>
        <v>0</v>
      </c>
      <c r="AF371" s="186">
        <v>251</v>
      </c>
      <c r="AG371" s="60">
        <v>43119</v>
      </c>
      <c r="AH371" s="230">
        <v>36595900</v>
      </c>
      <c r="AI371" s="64" t="s">
        <v>975</v>
      </c>
      <c r="AJ371" s="50">
        <v>204</v>
      </c>
      <c r="AK371" s="50"/>
      <c r="AL371" s="69">
        <v>24619060</v>
      </c>
      <c r="AM371" s="236">
        <f t="shared" si="43"/>
        <v>11976840</v>
      </c>
      <c r="AN371" s="64"/>
      <c r="AO371" s="231">
        <f t="shared" si="44"/>
        <v>0</v>
      </c>
      <c r="AP371" s="64"/>
      <c r="AQ371" s="64"/>
      <c r="AR371" s="64"/>
      <c r="AS371" s="64"/>
      <c r="AT371" s="64"/>
      <c r="AU371" s="64"/>
      <c r="AV371" s="64"/>
      <c r="AW371" s="220"/>
    </row>
    <row r="372" spans="1:49" s="221" customFormat="1" ht="342" x14ac:dyDescent="0.25">
      <c r="A372" s="173">
        <f t="shared" si="41"/>
        <v>6</v>
      </c>
      <c r="B372" s="173" t="s">
        <v>976</v>
      </c>
      <c r="C372" s="173" t="s">
        <v>951</v>
      </c>
      <c r="D372" s="173" t="s">
        <v>952</v>
      </c>
      <c r="E372" s="173" t="s">
        <v>953</v>
      </c>
      <c r="F372" s="173" t="s">
        <v>52</v>
      </c>
      <c r="G372" s="173" t="s">
        <v>53</v>
      </c>
      <c r="H372" s="175" t="s">
        <v>884</v>
      </c>
      <c r="I372" s="173" t="s">
        <v>55</v>
      </c>
      <c r="J372" s="173" t="s">
        <v>56</v>
      </c>
      <c r="K372" s="63">
        <v>80111600</v>
      </c>
      <c r="L372" s="63" t="s">
        <v>954</v>
      </c>
      <c r="M372" s="63" t="s">
        <v>58</v>
      </c>
      <c r="N372" s="63" t="s">
        <v>59</v>
      </c>
      <c r="O372" s="64" t="s">
        <v>886</v>
      </c>
      <c r="P372" s="63" t="s">
        <v>977</v>
      </c>
      <c r="Q372" s="185">
        <v>6695000</v>
      </c>
      <c r="R372" s="184">
        <v>1</v>
      </c>
      <c r="S372" s="185">
        <f>77215666.6666667-223167</f>
        <v>76992499.666666701</v>
      </c>
      <c r="T372" s="133" t="s">
        <v>888</v>
      </c>
      <c r="U372" s="173" t="s">
        <v>445</v>
      </c>
      <c r="V372" s="176" t="s">
        <v>493</v>
      </c>
      <c r="W372" s="177">
        <v>11.5</v>
      </c>
      <c r="X372" s="234" t="s">
        <v>978</v>
      </c>
      <c r="Y372" s="60">
        <v>43102</v>
      </c>
      <c r="Z372" s="185">
        <v>77215666.666666657</v>
      </c>
      <c r="AA372" s="64"/>
      <c r="AB372" s="186">
        <v>96</v>
      </c>
      <c r="AC372" s="60">
        <v>43103</v>
      </c>
      <c r="AD372" s="230">
        <v>76992500</v>
      </c>
      <c r="AE372" s="238">
        <f t="shared" si="42"/>
        <v>-0.33333329856395721</v>
      </c>
      <c r="AF372" s="186">
        <v>54</v>
      </c>
      <c r="AG372" s="60">
        <v>43116</v>
      </c>
      <c r="AH372" s="230">
        <v>76992500</v>
      </c>
      <c r="AI372" s="64" t="s">
        <v>979</v>
      </c>
      <c r="AJ372" s="50">
        <v>41</v>
      </c>
      <c r="AK372" s="50"/>
      <c r="AL372" s="69">
        <v>49989333</v>
      </c>
      <c r="AM372" s="236">
        <f t="shared" si="43"/>
        <v>27003167</v>
      </c>
      <c r="AN372" s="64"/>
      <c r="AO372" s="231">
        <f t="shared" si="44"/>
        <v>-0.33333329856395721</v>
      </c>
      <c r="AP372" s="64"/>
      <c r="AQ372" s="64"/>
      <c r="AR372" s="64"/>
      <c r="AS372" s="64"/>
      <c r="AT372" s="64"/>
      <c r="AU372" s="64"/>
      <c r="AV372" s="64"/>
      <c r="AW372" s="220"/>
    </row>
    <row r="373" spans="1:49" s="221" customFormat="1" ht="242.25" x14ac:dyDescent="0.25">
      <c r="A373" s="173">
        <f t="shared" si="41"/>
        <v>7</v>
      </c>
      <c r="B373" s="173" t="s">
        <v>980</v>
      </c>
      <c r="C373" s="173" t="s">
        <v>951</v>
      </c>
      <c r="D373" s="173" t="s">
        <v>952</v>
      </c>
      <c r="E373" s="173" t="s">
        <v>953</v>
      </c>
      <c r="F373" s="173" t="s">
        <v>52</v>
      </c>
      <c r="G373" s="173" t="s">
        <v>53</v>
      </c>
      <c r="H373" s="175" t="s">
        <v>884</v>
      </c>
      <c r="I373" s="173" t="s">
        <v>55</v>
      </c>
      <c r="J373" s="173" t="s">
        <v>56</v>
      </c>
      <c r="K373" s="63">
        <v>80111600</v>
      </c>
      <c r="L373" s="63" t="s">
        <v>954</v>
      </c>
      <c r="M373" s="63" t="s">
        <v>58</v>
      </c>
      <c r="N373" s="63" t="s">
        <v>59</v>
      </c>
      <c r="O373" s="64" t="s">
        <v>886</v>
      </c>
      <c r="P373" s="63" t="s">
        <v>981</v>
      </c>
      <c r="Q373" s="185">
        <v>3553500</v>
      </c>
      <c r="R373" s="184">
        <v>1</v>
      </c>
      <c r="S373" s="185">
        <v>39799200</v>
      </c>
      <c r="T373" s="133" t="s">
        <v>888</v>
      </c>
      <c r="U373" s="173" t="s">
        <v>445</v>
      </c>
      <c r="V373" s="176" t="s">
        <v>493</v>
      </c>
      <c r="W373" s="177">
        <v>11.17</v>
      </c>
      <c r="X373" s="234" t="s">
        <v>982</v>
      </c>
      <c r="Y373" s="60">
        <v>43102</v>
      </c>
      <c r="Z373" s="185">
        <v>39799200</v>
      </c>
      <c r="AA373" s="64"/>
      <c r="AB373" s="186">
        <v>97</v>
      </c>
      <c r="AC373" s="60">
        <v>43103</v>
      </c>
      <c r="AD373" s="230">
        <v>39799200</v>
      </c>
      <c r="AE373" s="238">
        <f t="shared" si="42"/>
        <v>0</v>
      </c>
      <c r="AF373" s="186">
        <v>489</v>
      </c>
      <c r="AG373" s="60">
        <v>43126</v>
      </c>
      <c r="AH373" s="230">
        <v>39799200</v>
      </c>
      <c r="AI373" s="64" t="s">
        <v>983</v>
      </c>
      <c r="AJ373" s="50">
        <v>418</v>
      </c>
      <c r="AK373" s="50"/>
      <c r="AL373" s="69">
        <v>24992950</v>
      </c>
      <c r="AM373" s="236">
        <f t="shared" si="43"/>
        <v>14806250</v>
      </c>
      <c r="AN373" s="64"/>
      <c r="AO373" s="231">
        <f t="shared" si="44"/>
        <v>0</v>
      </c>
      <c r="AP373" s="64"/>
      <c r="AQ373" s="64"/>
      <c r="AR373" s="64"/>
      <c r="AS373" s="64"/>
      <c r="AT373" s="64"/>
      <c r="AU373" s="64"/>
      <c r="AV373" s="64"/>
      <c r="AW373" s="220"/>
    </row>
    <row r="374" spans="1:49" s="221" customFormat="1" ht="242.25" x14ac:dyDescent="0.25">
      <c r="A374" s="173">
        <f t="shared" si="41"/>
        <v>8</v>
      </c>
      <c r="B374" s="173" t="s">
        <v>984</v>
      </c>
      <c r="C374" s="173" t="s">
        <v>951</v>
      </c>
      <c r="D374" s="173" t="s">
        <v>952</v>
      </c>
      <c r="E374" s="173" t="s">
        <v>953</v>
      </c>
      <c r="F374" s="173" t="s">
        <v>52</v>
      </c>
      <c r="G374" s="173" t="s">
        <v>53</v>
      </c>
      <c r="H374" s="175" t="s">
        <v>884</v>
      </c>
      <c r="I374" s="173" t="s">
        <v>55</v>
      </c>
      <c r="J374" s="173" t="s">
        <v>56</v>
      </c>
      <c r="K374" s="63">
        <v>80111600</v>
      </c>
      <c r="L374" s="63" t="s">
        <v>954</v>
      </c>
      <c r="M374" s="63" t="s">
        <v>58</v>
      </c>
      <c r="N374" s="63" t="s">
        <v>59</v>
      </c>
      <c r="O374" s="64" t="s">
        <v>886</v>
      </c>
      <c r="P374" s="63" t="s">
        <v>985</v>
      </c>
      <c r="Q374" s="185">
        <v>3399000</v>
      </c>
      <c r="R374" s="184">
        <v>1</v>
      </c>
      <c r="S374" s="185">
        <f>39428400-339900</f>
        <v>39088500</v>
      </c>
      <c r="T374" s="133" t="s">
        <v>888</v>
      </c>
      <c r="U374" s="173" t="s">
        <v>445</v>
      </c>
      <c r="V374" s="176" t="s">
        <v>493</v>
      </c>
      <c r="W374" s="177">
        <v>11.6</v>
      </c>
      <c r="X374" s="234" t="s">
        <v>986</v>
      </c>
      <c r="Y374" s="60">
        <v>43102</v>
      </c>
      <c r="Z374" s="185">
        <v>39428400</v>
      </c>
      <c r="AA374" s="64"/>
      <c r="AB374" s="186">
        <v>98</v>
      </c>
      <c r="AC374" s="60">
        <v>43103</v>
      </c>
      <c r="AD374" s="230">
        <v>39088500</v>
      </c>
      <c r="AE374" s="238">
        <f t="shared" si="42"/>
        <v>0</v>
      </c>
      <c r="AF374" s="186">
        <v>172</v>
      </c>
      <c r="AG374" s="60">
        <v>43118</v>
      </c>
      <c r="AH374" s="230">
        <v>39088500</v>
      </c>
      <c r="AI374" s="64" t="s">
        <v>987</v>
      </c>
      <c r="AJ374" s="50">
        <v>139</v>
      </c>
      <c r="AK374" s="50"/>
      <c r="AL374" s="69">
        <v>25265900</v>
      </c>
      <c r="AM374" s="236">
        <f t="shared" si="43"/>
        <v>13822600</v>
      </c>
      <c r="AN374" s="64"/>
      <c r="AO374" s="231">
        <f t="shared" si="44"/>
        <v>0</v>
      </c>
      <c r="AP374" s="64"/>
      <c r="AQ374" s="64"/>
      <c r="AR374" s="64"/>
      <c r="AS374" s="64"/>
      <c r="AT374" s="64"/>
      <c r="AU374" s="64"/>
      <c r="AV374" s="64"/>
      <c r="AW374" s="220"/>
    </row>
    <row r="375" spans="1:49" s="221" customFormat="1" ht="256.5" x14ac:dyDescent="0.25">
      <c r="A375" s="173">
        <f t="shared" si="41"/>
        <v>9</v>
      </c>
      <c r="B375" s="173" t="s">
        <v>988</v>
      </c>
      <c r="C375" s="173" t="s">
        <v>951</v>
      </c>
      <c r="D375" s="173" t="s">
        <v>952</v>
      </c>
      <c r="E375" s="173" t="s">
        <v>953</v>
      </c>
      <c r="F375" s="173" t="s">
        <v>52</v>
      </c>
      <c r="G375" s="173" t="s">
        <v>53</v>
      </c>
      <c r="H375" s="175" t="s">
        <v>884</v>
      </c>
      <c r="I375" s="173" t="s">
        <v>55</v>
      </c>
      <c r="J375" s="173" t="s">
        <v>56</v>
      </c>
      <c r="K375" s="63">
        <v>80111600</v>
      </c>
      <c r="L375" s="63" t="s">
        <v>954</v>
      </c>
      <c r="M375" s="63" t="s">
        <v>58</v>
      </c>
      <c r="N375" s="63" t="s">
        <v>59</v>
      </c>
      <c r="O375" s="64" t="s">
        <v>886</v>
      </c>
      <c r="P375" s="63" t="s">
        <v>989</v>
      </c>
      <c r="Q375" s="185">
        <v>3326900</v>
      </c>
      <c r="R375" s="184">
        <v>1</v>
      </c>
      <c r="S375" s="185">
        <f>18297950+15858223</f>
        <v>34156173</v>
      </c>
      <c r="T375" s="133" t="s">
        <v>972</v>
      </c>
      <c r="U375" s="173" t="s">
        <v>445</v>
      </c>
      <c r="V375" s="176" t="s">
        <v>493</v>
      </c>
      <c r="W375" s="177">
        <v>5.5</v>
      </c>
      <c r="X375" s="234" t="s">
        <v>990</v>
      </c>
      <c r="Y375" s="60">
        <v>43116</v>
      </c>
      <c r="Z375" s="185">
        <v>34156173</v>
      </c>
      <c r="AA375" s="64" t="s">
        <v>991</v>
      </c>
      <c r="AB375" s="186">
        <v>516</v>
      </c>
      <c r="AC375" s="60">
        <v>43117</v>
      </c>
      <c r="AD375" s="230">
        <v>34156173</v>
      </c>
      <c r="AE375" s="238">
        <f t="shared" si="42"/>
        <v>0</v>
      </c>
      <c r="AF375" s="186">
        <v>221</v>
      </c>
      <c r="AG375" s="60">
        <v>43117</v>
      </c>
      <c r="AH375" s="230">
        <v>34156173</v>
      </c>
      <c r="AI375" s="64" t="s">
        <v>992</v>
      </c>
      <c r="AJ375" s="50">
        <v>195</v>
      </c>
      <c r="AK375" s="50"/>
      <c r="AL375" s="69">
        <v>24619060</v>
      </c>
      <c r="AM375" s="236">
        <f t="shared" si="43"/>
        <v>9537113</v>
      </c>
      <c r="AN375" s="64"/>
      <c r="AO375" s="231">
        <f t="shared" si="44"/>
        <v>0</v>
      </c>
      <c r="AP375" s="64"/>
      <c r="AQ375" s="64"/>
      <c r="AR375" s="64"/>
      <c r="AS375" s="64"/>
      <c r="AT375" s="64"/>
      <c r="AU375" s="64"/>
      <c r="AV375" s="64"/>
      <c r="AW375" s="220"/>
    </row>
    <row r="376" spans="1:49" s="221" customFormat="1" ht="299.25" x14ac:dyDescent="0.25">
      <c r="A376" s="173">
        <f t="shared" si="41"/>
        <v>10</v>
      </c>
      <c r="B376" s="173" t="s">
        <v>993</v>
      </c>
      <c r="C376" s="173" t="s">
        <v>951</v>
      </c>
      <c r="D376" s="173" t="s">
        <v>952</v>
      </c>
      <c r="E376" s="173" t="s">
        <v>953</v>
      </c>
      <c r="F376" s="173" t="s">
        <v>52</v>
      </c>
      <c r="G376" s="173" t="s">
        <v>53</v>
      </c>
      <c r="H376" s="175" t="s">
        <v>884</v>
      </c>
      <c r="I376" s="173" t="s">
        <v>55</v>
      </c>
      <c r="J376" s="173" t="s">
        <v>56</v>
      </c>
      <c r="K376" s="63">
        <v>80111600</v>
      </c>
      <c r="L376" s="63" t="s">
        <v>954</v>
      </c>
      <c r="M376" s="63" t="s">
        <v>58</v>
      </c>
      <c r="N376" s="63" t="s">
        <v>59</v>
      </c>
      <c r="O376" s="64" t="s">
        <v>886</v>
      </c>
      <c r="P376" s="63" t="s">
        <v>994</v>
      </c>
      <c r="Q376" s="185">
        <v>7210000</v>
      </c>
      <c r="R376" s="184">
        <v>1</v>
      </c>
      <c r="S376" s="185">
        <v>80511666.666666672</v>
      </c>
      <c r="T376" s="133" t="s">
        <v>888</v>
      </c>
      <c r="U376" s="173" t="s">
        <v>445</v>
      </c>
      <c r="V376" s="176" t="s">
        <v>493</v>
      </c>
      <c r="W376" s="177">
        <v>11.17</v>
      </c>
      <c r="X376" s="234" t="s">
        <v>995</v>
      </c>
      <c r="Y376" s="60">
        <v>43102</v>
      </c>
      <c r="Z376" s="185">
        <v>80511666.666666672</v>
      </c>
      <c r="AA376" s="64"/>
      <c r="AB376" s="186">
        <v>100</v>
      </c>
      <c r="AC376" s="60">
        <v>43103</v>
      </c>
      <c r="AD376" s="230">
        <v>80511667</v>
      </c>
      <c r="AE376" s="238">
        <f t="shared" si="42"/>
        <v>-0.3333333283662796</v>
      </c>
      <c r="AF376" s="186">
        <v>495</v>
      </c>
      <c r="AG376" s="60">
        <v>43126</v>
      </c>
      <c r="AH376" s="230">
        <v>80511667</v>
      </c>
      <c r="AI376" s="64" t="s">
        <v>996</v>
      </c>
      <c r="AJ376" s="50">
        <v>424</v>
      </c>
      <c r="AK376" s="50"/>
      <c r="AL376" s="69">
        <v>50950667</v>
      </c>
      <c r="AM376" s="236">
        <f t="shared" si="43"/>
        <v>29561000</v>
      </c>
      <c r="AN376" s="64"/>
      <c r="AO376" s="231">
        <f t="shared" si="44"/>
        <v>-0.3333333283662796</v>
      </c>
      <c r="AP376" s="64"/>
      <c r="AQ376" s="64"/>
      <c r="AR376" s="64"/>
      <c r="AS376" s="64"/>
      <c r="AT376" s="64"/>
      <c r="AU376" s="64"/>
      <c r="AV376" s="64"/>
      <c r="AW376" s="220"/>
    </row>
    <row r="377" spans="1:49" s="221" customFormat="1" ht="256.5" x14ac:dyDescent="0.25">
      <c r="A377" s="173">
        <f t="shared" si="41"/>
        <v>11</v>
      </c>
      <c r="B377" s="173" t="s">
        <v>997</v>
      </c>
      <c r="C377" s="173" t="s">
        <v>951</v>
      </c>
      <c r="D377" s="173" t="s">
        <v>952</v>
      </c>
      <c r="E377" s="173" t="s">
        <v>953</v>
      </c>
      <c r="F377" s="173" t="s">
        <v>52</v>
      </c>
      <c r="G377" s="173" t="s">
        <v>53</v>
      </c>
      <c r="H377" s="175" t="s">
        <v>884</v>
      </c>
      <c r="I377" s="173" t="s">
        <v>55</v>
      </c>
      <c r="J377" s="173" t="s">
        <v>56</v>
      </c>
      <c r="K377" s="63">
        <v>80111600</v>
      </c>
      <c r="L377" s="63" t="s">
        <v>954</v>
      </c>
      <c r="M377" s="63" t="s">
        <v>58</v>
      </c>
      <c r="N377" s="63" t="s">
        <v>59</v>
      </c>
      <c r="O377" s="64" t="s">
        <v>886</v>
      </c>
      <c r="P377" s="63" t="s">
        <v>989</v>
      </c>
      <c r="Q377" s="185">
        <v>12133.33</v>
      </c>
      <c r="R377" s="184">
        <v>1</v>
      </c>
      <c r="S377" s="187">
        <f>12133.33-12133.33</f>
        <v>0</v>
      </c>
      <c r="T377" s="133" t="s">
        <v>972</v>
      </c>
      <c r="U377" s="173" t="s">
        <v>445</v>
      </c>
      <c r="V377" s="176" t="s">
        <v>431</v>
      </c>
      <c r="W377" s="177">
        <v>1</v>
      </c>
      <c r="X377" s="234" t="s">
        <v>998</v>
      </c>
      <c r="Y377" s="60">
        <v>43102</v>
      </c>
      <c r="Z377" s="185">
        <v>12133.33</v>
      </c>
      <c r="AA377" s="64"/>
      <c r="AB377" s="186"/>
      <c r="AC377" s="64"/>
      <c r="AD377" s="230"/>
      <c r="AE377" s="235">
        <f t="shared" si="42"/>
        <v>0</v>
      </c>
      <c r="AF377" s="186"/>
      <c r="AG377" s="64"/>
      <c r="AH377" s="230"/>
      <c r="AI377" s="64"/>
      <c r="AJ377" s="50"/>
      <c r="AK377" s="64"/>
      <c r="AL377" s="236">
        <v>0</v>
      </c>
      <c r="AM377" s="236">
        <f t="shared" si="43"/>
        <v>0</v>
      </c>
      <c r="AN377" s="64"/>
      <c r="AO377" s="237">
        <f t="shared" si="44"/>
        <v>0</v>
      </c>
      <c r="AP377" s="64"/>
      <c r="AQ377" s="64"/>
      <c r="AR377" s="64"/>
      <c r="AS377" s="64"/>
      <c r="AT377" s="64"/>
      <c r="AU377" s="64"/>
      <c r="AV377" s="64"/>
      <c r="AW377" s="220"/>
    </row>
    <row r="378" spans="1:49" s="221" customFormat="1" ht="256.5" x14ac:dyDescent="0.25">
      <c r="A378" s="173">
        <f t="shared" si="41"/>
        <v>12</v>
      </c>
      <c r="B378" s="173" t="s">
        <v>999</v>
      </c>
      <c r="C378" s="173" t="s">
        <v>951</v>
      </c>
      <c r="D378" s="173" t="s">
        <v>952</v>
      </c>
      <c r="E378" s="173" t="s">
        <v>953</v>
      </c>
      <c r="F378" s="173" t="s">
        <v>52</v>
      </c>
      <c r="G378" s="173" t="s">
        <v>53</v>
      </c>
      <c r="H378" s="175" t="s">
        <v>884</v>
      </c>
      <c r="I378" s="173" t="s">
        <v>55</v>
      </c>
      <c r="J378" s="173" t="s">
        <v>56</v>
      </c>
      <c r="K378" s="63">
        <v>80111600</v>
      </c>
      <c r="L378" s="63" t="s">
        <v>954</v>
      </c>
      <c r="M378" s="63" t="s">
        <v>58</v>
      </c>
      <c r="N378" s="63" t="s">
        <v>59</v>
      </c>
      <c r="O378" s="64" t="s">
        <v>886</v>
      </c>
      <c r="P378" s="63" t="s">
        <v>1000</v>
      </c>
      <c r="Q378" s="185">
        <v>4120000</v>
      </c>
      <c r="R378" s="184">
        <v>1</v>
      </c>
      <c r="S378" s="187">
        <f>34196000-18297950-15858223-39827</f>
        <v>0</v>
      </c>
      <c r="T378" s="133" t="s">
        <v>888</v>
      </c>
      <c r="U378" s="173" t="s">
        <v>445</v>
      </c>
      <c r="V378" s="176" t="s">
        <v>64</v>
      </c>
      <c r="W378" s="177">
        <v>8.3000000000000007</v>
      </c>
      <c r="X378" s="234"/>
      <c r="Y378" s="60"/>
      <c r="Z378" s="185"/>
      <c r="AA378" s="64"/>
      <c r="AB378" s="186"/>
      <c r="AC378" s="64"/>
      <c r="AD378" s="230"/>
      <c r="AE378" s="235">
        <f>S378-Z378</f>
        <v>0</v>
      </c>
      <c r="AF378" s="186"/>
      <c r="AG378" s="64"/>
      <c r="AH378" s="230"/>
      <c r="AI378" s="64"/>
      <c r="AJ378" s="50"/>
      <c r="AK378" s="64"/>
      <c r="AL378" s="236"/>
      <c r="AM378" s="236">
        <f t="shared" si="43"/>
        <v>0</v>
      </c>
      <c r="AN378" s="64"/>
      <c r="AO378" s="231">
        <f t="shared" si="44"/>
        <v>0</v>
      </c>
      <c r="AP378" s="64"/>
      <c r="AQ378" s="64"/>
      <c r="AR378" s="64"/>
      <c r="AS378" s="64"/>
      <c r="AT378" s="64"/>
      <c r="AU378" s="64"/>
      <c r="AV378" s="64"/>
      <c r="AW378" s="220"/>
    </row>
    <row r="379" spans="1:49" s="221" customFormat="1" ht="327.75" x14ac:dyDescent="0.25">
      <c r="A379" s="173">
        <f t="shared" si="41"/>
        <v>13</v>
      </c>
      <c r="B379" s="173" t="s">
        <v>1001</v>
      </c>
      <c r="C379" s="173" t="s">
        <v>951</v>
      </c>
      <c r="D379" s="173" t="s">
        <v>952</v>
      </c>
      <c r="E379" s="173" t="s">
        <v>953</v>
      </c>
      <c r="F379" s="173" t="s">
        <v>1002</v>
      </c>
      <c r="G379" s="173" t="s">
        <v>1003</v>
      </c>
      <c r="H379" s="173" t="s">
        <v>1004</v>
      </c>
      <c r="I379" s="173" t="s">
        <v>55</v>
      </c>
      <c r="J379" s="173" t="s">
        <v>56</v>
      </c>
      <c r="K379" s="173" t="s">
        <v>1005</v>
      </c>
      <c r="L379" s="63" t="s">
        <v>954</v>
      </c>
      <c r="M379" s="63" t="s">
        <v>58</v>
      </c>
      <c r="N379" s="63" t="s">
        <v>59</v>
      </c>
      <c r="O379" s="64" t="s">
        <v>1006</v>
      </c>
      <c r="P379" s="63" t="s">
        <v>1007</v>
      </c>
      <c r="Q379" s="185">
        <f>S379/6</f>
        <v>47017391.5</v>
      </c>
      <c r="R379" s="63">
        <v>1</v>
      </c>
      <c r="S379" s="188">
        <f>540000000-177905000-69061438-10929213</f>
        <v>282104349</v>
      </c>
      <c r="T379" s="63" t="s">
        <v>1008</v>
      </c>
      <c r="U379" s="173" t="s">
        <v>439</v>
      </c>
      <c r="V379" s="176">
        <v>43276</v>
      </c>
      <c r="W379" s="184">
        <v>6</v>
      </c>
      <c r="X379" s="234" t="s">
        <v>1009</v>
      </c>
      <c r="Y379" s="60">
        <v>43357</v>
      </c>
      <c r="Z379" s="185">
        <v>126086295</v>
      </c>
      <c r="AA379" s="64" t="s">
        <v>1010</v>
      </c>
      <c r="AB379" s="64">
        <v>1160</v>
      </c>
      <c r="AC379" s="60">
        <v>43360</v>
      </c>
      <c r="AD379" s="230">
        <v>126086295</v>
      </c>
      <c r="AE379" s="238">
        <f>S379-AD379</f>
        <v>156018054</v>
      </c>
      <c r="AF379" s="186"/>
      <c r="AG379" s="64"/>
      <c r="AH379" s="230"/>
      <c r="AI379" s="64"/>
      <c r="AJ379" s="50"/>
      <c r="AK379" s="64"/>
      <c r="AL379" s="236"/>
      <c r="AM379" s="236">
        <f t="shared" si="43"/>
        <v>0</v>
      </c>
      <c r="AN379" s="64"/>
      <c r="AO379" s="231">
        <f t="shared" si="44"/>
        <v>282104349</v>
      </c>
      <c r="AP379" s="64"/>
      <c r="AQ379" s="64"/>
      <c r="AR379" s="64"/>
      <c r="AS379" s="64"/>
      <c r="AT379" s="64"/>
      <c r="AU379" s="64"/>
      <c r="AV379" s="64"/>
      <c r="AW379" s="220"/>
    </row>
    <row r="380" spans="1:49" s="221" customFormat="1" ht="185.25" x14ac:dyDescent="0.25">
      <c r="A380" s="173">
        <f t="shared" si="41"/>
        <v>14</v>
      </c>
      <c r="B380" s="173" t="s">
        <v>1011</v>
      </c>
      <c r="C380" s="173" t="s">
        <v>951</v>
      </c>
      <c r="D380" s="173" t="s">
        <v>952</v>
      </c>
      <c r="E380" s="173" t="s">
        <v>953</v>
      </c>
      <c r="F380" s="173" t="s">
        <v>1002</v>
      </c>
      <c r="G380" s="173" t="s">
        <v>1003</v>
      </c>
      <c r="H380" s="173" t="s">
        <v>1004</v>
      </c>
      <c r="I380" s="173" t="s">
        <v>55</v>
      </c>
      <c r="J380" s="173" t="s">
        <v>56</v>
      </c>
      <c r="K380" s="173" t="s">
        <v>1005</v>
      </c>
      <c r="L380" s="63" t="s">
        <v>954</v>
      </c>
      <c r="M380" s="63" t="s">
        <v>58</v>
      </c>
      <c r="N380" s="63" t="s">
        <v>59</v>
      </c>
      <c r="O380" s="64" t="s">
        <v>1006</v>
      </c>
      <c r="P380" s="63" t="s">
        <v>1012</v>
      </c>
      <c r="Q380" s="185">
        <f>S380/12</f>
        <v>53818536.5</v>
      </c>
      <c r="R380" s="63">
        <v>1</v>
      </c>
      <c r="S380" s="188">
        <f>1640000000-982741291-107769709+69061438+27272000</f>
        <v>645822438</v>
      </c>
      <c r="T380" s="63" t="s">
        <v>1013</v>
      </c>
      <c r="U380" s="133" t="s">
        <v>723</v>
      </c>
      <c r="V380" s="176">
        <v>43297</v>
      </c>
      <c r="W380" s="184">
        <v>12</v>
      </c>
      <c r="X380" s="234"/>
      <c r="Y380" s="60"/>
      <c r="Z380" s="185"/>
      <c r="AA380" s="64"/>
      <c r="AB380" s="186"/>
      <c r="AC380" s="64"/>
      <c r="AD380" s="230"/>
      <c r="AE380" s="238">
        <f>S380-Z380</f>
        <v>645822438</v>
      </c>
      <c r="AF380" s="186"/>
      <c r="AG380" s="64"/>
      <c r="AH380" s="230"/>
      <c r="AI380" s="64"/>
      <c r="AJ380" s="50"/>
      <c r="AK380" s="64"/>
      <c r="AL380" s="236"/>
      <c r="AM380" s="236">
        <f t="shared" si="43"/>
        <v>0</v>
      </c>
      <c r="AN380" s="64"/>
      <c r="AO380" s="231">
        <f t="shared" si="44"/>
        <v>645822438</v>
      </c>
      <c r="AP380" s="64"/>
      <c r="AQ380" s="64"/>
      <c r="AR380" s="64"/>
      <c r="AS380" s="64"/>
      <c r="AT380" s="64"/>
      <c r="AU380" s="64"/>
      <c r="AV380" s="64"/>
      <c r="AW380" s="220"/>
    </row>
    <row r="381" spans="1:49" s="221" customFormat="1" ht="285" x14ac:dyDescent="0.25">
      <c r="A381" s="173">
        <f t="shared" si="41"/>
        <v>15</v>
      </c>
      <c r="B381" s="173" t="s">
        <v>1014</v>
      </c>
      <c r="C381" s="173" t="s">
        <v>951</v>
      </c>
      <c r="D381" s="173" t="s">
        <v>952</v>
      </c>
      <c r="E381" s="173" t="s">
        <v>953</v>
      </c>
      <c r="F381" s="173" t="s">
        <v>1002</v>
      </c>
      <c r="G381" s="173" t="s">
        <v>1003</v>
      </c>
      <c r="H381" s="173" t="s">
        <v>1004</v>
      </c>
      <c r="I381" s="173" t="s">
        <v>55</v>
      </c>
      <c r="J381" s="173" t="s">
        <v>56</v>
      </c>
      <c r="K381" s="173" t="s">
        <v>1005</v>
      </c>
      <c r="L381" s="63" t="s">
        <v>954</v>
      </c>
      <c r="M381" s="63" t="s">
        <v>58</v>
      </c>
      <c r="N381" s="63" t="s">
        <v>59</v>
      </c>
      <c r="O381" s="64" t="s">
        <v>1006</v>
      </c>
      <c r="P381" s="63" t="s">
        <v>1015</v>
      </c>
      <c r="Q381" s="185">
        <v>5712000</v>
      </c>
      <c r="R381" s="63">
        <v>1</v>
      </c>
      <c r="S381" s="187">
        <f>34272000-27272000-7000000</f>
        <v>0</v>
      </c>
      <c r="T381" s="63" t="s">
        <v>1013</v>
      </c>
      <c r="U381" s="173" t="s">
        <v>445</v>
      </c>
      <c r="V381" s="176" t="s">
        <v>844</v>
      </c>
      <c r="W381" s="184">
        <v>6</v>
      </c>
      <c r="X381" s="234"/>
      <c r="Y381" s="60"/>
      <c r="Z381" s="185"/>
      <c r="AA381" s="64"/>
      <c r="AB381" s="186"/>
      <c r="AC381" s="64"/>
      <c r="AD381" s="230"/>
      <c r="AE381" s="238">
        <f>S381-Z381</f>
        <v>0</v>
      </c>
      <c r="AF381" s="186"/>
      <c r="AG381" s="64"/>
      <c r="AH381" s="230"/>
      <c r="AI381" s="64"/>
      <c r="AJ381" s="50"/>
      <c r="AK381" s="64"/>
      <c r="AL381" s="236"/>
      <c r="AM381" s="236">
        <f t="shared" si="43"/>
        <v>0</v>
      </c>
      <c r="AN381" s="64"/>
      <c r="AO381" s="231">
        <f t="shared" si="44"/>
        <v>0</v>
      </c>
      <c r="AP381" s="64"/>
      <c r="AQ381" s="64"/>
      <c r="AR381" s="64"/>
      <c r="AS381" s="64"/>
      <c r="AT381" s="64"/>
      <c r="AU381" s="64"/>
      <c r="AV381" s="64"/>
      <c r="AW381" s="220"/>
    </row>
    <row r="382" spans="1:49" s="221" customFormat="1" ht="256.5" x14ac:dyDescent="0.25">
      <c r="A382" s="173">
        <f t="shared" si="41"/>
        <v>16</v>
      </c>
      <c r="B382" s="173" t="s">
        <v>1016</v>
      </c>
      <c r="C382" s="173" t="s">
        <v>951</v>
      </c>
      <c r="D382" s="173" t="s">
        <v>952</v>
      </c>
      <c r="E382" s="173" t="s">
        <v>953</v>
      </c>
      <c r="F382" s="173" t="s">
        <v>425</v>
      </c>
      <c r="G382" s="173" t="s">
        <v>1017</v>
      </c>
      <c r="H382" s="175" t="s">
        <v>1018</v>
      </c>
      <c r="I382" s="173" t="s">
        <v>55</v>
      </c>
      <c r="J382" s="173" t="s">
        <v>56</v>
      </c>
      <c r="K382" s="173">
        <v>72154000</v>
      </c>
      <c r="L382" s="63" t="s">
        <v>954</v>
      </c>
      <c r="M382" s="63" t="s">
        <v>58</v>
      </c>
      <c r="N382" s="63" t="s">
        <v>59</v>
      </c>
      <c r="O382" s="64" t="s">
        <v>886</v>
      </c>
      <c r="P382" s="63" t="s">
        <v>1019</v>
      </c>
      <c r="Q382" s="185">
        <v>233459</v>
      </c>
      <c r="R382" s="63">
        <v>1</v>
      </c>
      <c r="S382" s="187">
        <f>700377-700377</f>
        <v>0</v>
      </c>
      <c r="T382" s="63" t="s">
        <v>1013</v>
      </c>
      <c r="U382" s="63" t="s">
        <v>1020</v>
      </c>
      <c r="V382" s="176" t="s">
        <v>875</v>
      </c>
      <c r="W382" s="189">
        <v>3</v>
      </c>
      <c r="X382" s="234"/>
      <c r="Y382" s="60"/>
      <c r="Z382" s="185"/>
      <c r="AA382" s="64"/>
      <c r="AB382" s="186"/>
      <c r="AC382" s="64"/>
      <c r="AD382" s="230"/>
      <c r="AE382" s="238">
        <f>S382-Z382</f>
        <v>0</v>
      </c>
      <c r="AF382" s="186"/>
      <c r="AG382" s="64"/>
      <c r="AH382" s="230"/>
      <c r="AI382" s="64"/>
      <c r="AJ382" s="50"/>
      <c r="AK382" s="64"/>
      <c r="AL382" s="236"/>
      <c r="AM382" s="236">
        <f t="shared" si="43"/>
        <v>0</v>
      </c>
      <c r="AN382" s="64"/>
      <c r="AO382" s="231">
        <f t="shared" si="44"/>
        <v>0</v>
      </c>
      <c r="AP382" s="64"/>
      <c r="AQ382" s="64"/>
      <c r="AR382" s="64"/>
      <c r="AS382" s="64"/>
      <c r="AT382" s="64"/>
      <c r="AU382" s="64"/>
      <c r="AV382" s="64"/>
      <c r="AW382" s="220"/>
    </row>
    <row r="383" spans="1:49" s="221" customFormat="1" ht="228" x14ac:dyDescent="0.25">
      <c r="A383" s="173">
        <f t="shared" si="41"/>
        <v>17</v>
      </c>
      <c r="B383" s="173" t="s">
        <v>1021</v>
      </c>
      <c r="C383" s="173" t="s">
        <v>951</v>
      </c>
      <c r="D383" s="173" t="s">
        <v>952</v>
      </c>
      <c r="E383" s="173" t="s">
        <v>953</v>
      </c>
      <c r="F383" s="173" t="s">
        <v>425</v>
      </c>
      <c r="G383" s="173" t="s">
        <v>1017</v>
      </c>
      <c r="H383" s="175" t="s">
        <v>1018</v>
      </c>
      <c r="I383" s="173" t="s">
        <v>55</v>
      </c>
      <c r="J383" s="173" t="s">
        <v>56</v>
      </c>
      <c r="K383" s="173">
        <v>81112200</v>
      </c>
      <c r="L383" s="63" t="s">
        <v>954</v>
      </c>
      <c r="M383" s="63" t="s">
        <v>58</v>
      </c>
      <c r="N383" s="63" t="s">
        <v>59</v>
      </c>
      <c r="O383" s="64" t="s">
        <v>886</v>
      </c>
      <c r="P383" s="63" t="s">
        <v>1022</v>
      </c>
      <c r="Q383" s="185">
        <v>565000000</v>
      </c>
      <c r="R383" s="63">
        <v>1</v>
      </c>
      <c r="S383" s="187">
        <f>565000000-565000000</f>
        <v>0</v>
      </c>
      <c r="T383" s="63" t="s">
        <v>1013</v>
      </c>
      <c r="U383" s="173" t="s">
        <v>723</v>
      </c>
      <c r="V383" s="176" t="s">
        <v>1023</v>
      </c>
      <c r="W383" s="189">
        <v>12</v>
      </c>
      <c r="X383" s="234"/>
      <c r="Y383" s="60"/>
      <c r="Z383" s="185"/>
      <c r="AA383" s="64"/>
      <c r="AB383" s="186"/>
      <c r="AC383" s="64"/>
      <c r="AD383" s="230"/>
      <c r="AE383" s="238">
        <f>S383-Z383</f>
        <v>0</v>
      </c>
      <c r="AF383" s="186"/>
      <c r="AG383" s="64"/>
      <c r="AH383" s="230"/>
      <c r="AI383" s="64"/>
      <c r="AJ383" s="50"/>
      <c r="AK383" s="64"/>
      <c r="AL383" s="236"/>
      <c r="AM383" s="236">
        <f t="shared" si="43"/>
        <v>0</v>
      </c>
      <c r="AN383" s="64"/>
      <c r="AO383" s="231">
        <f t="shared" si="44"/>
        <v>0</v>
      </c>
      <c r="AP383" s="64"/>
      <c r="AQ383" s="64"/>
      <c r="AR383" s="64"/>
      <c r="AS383" s="64"/>
      <c r="AT383" s="64"/>
      <c r="AU383" s="64"/>
      <c r="AV383" s="64"/>
      <c r="AW383" s="220"/>
    </row>
    <row r="384" spans="1:49" s="221" customFormat="1" ht="228" x14ac:dyDescent="0.25">
      <c r="A384" s="173">
        <f t="shared" si="41"/>
        <v>18</v>
      </c>
      <c r="B384" s="173" t="s">
        <v>1024</v>
      </c>
      <c r="C384" s="173" t="s">
        <v>951</v>
      </c>
      <c r="D384" s="173" t="s">
        <v>952</v>
      </c>
      <c r="E384" s="173" t="s">
        <v>953</v>
      </c>
      <c r="F384" s="173" t="s">
        <v>425</v>
      </c>
      <c r="G384" s="173" t="s">
        <v>1017</v>
      </c>
      <c r="H384" s="175" t="s">
        <v>1018</v>
      </c>
      <c r="I384" s="173" t="s">
        <v>55</v>
      </c>
      <c r="J384" s="173" t="s">
        <v>56</v>
      </c>
      <c r="K384" s="173">
        <v>39121004</v>
      </c>
      <c r="L384" s="63" t="s">
        <v>954</v>
      </c>
      <c r="M384" s="63" t="s">
        <v>58</v>
      </c>
      <c r="N384" s="63" t="s">
        <v>59</v>
      </c>
      <c r="O384" s="64" t="s">
        <v>886</v>
      </c>
      <c r="P384" s="63" t="s">
        <v>1025</v>
      </c>
      <c r="Q384" s="185">
        <v>3429000</v>
      </c>
      <c r="R384" s="63">
        <v>1</v>
      </c>
      <c r="S384" s="188">
        <v>20574000</v>
      </c>
      <c r="T384" s="63" t="s">
        <v>1013</v>
      </c>
      <c r="U384" s="173" t="s">
        <v>1026</v>
      </c>
      <c r="V384" s="176" t="s">
        <v>431</v>
      </c>
      <c r="W384" s="189">
        <v>6</v>
      </c>
      <c r="X384" s="234"/>
      <c r="Y384" s="60"/>
      <c r="Z384" s="185"/>
      <c r="AA384" s="64"/>
      <c r="AB384" s="186"/>
      <c r="AC384" s="64"/>
      <c r="AD384" s="230"/>
      <c r="AE384" s="238">
        <f>S384-Z384</f>
        <v>20574000</v>
      </c>
      <c r="AF384" s="186"/>
      <c r="AG384" s="64"/>
      <c r="AH384" s="230"/>
      <c r="AI384" s="64"/>
      <c r="AJ384" s="50"/>
      <c r="AK384" s="64"/>
      <c r="AL384" s="236"/>
      <c r="AM384" s="236">
        <f t="shared" si="43"/>
        <v>0</v>
      </c>
      <c r="AN384" s="64"/>
      <c r="AO384" s="231">
        <f t="shared" si="44"/>
        <v>20574000</v>
      </c>
      <c r="AP384" s="64"/>
      <c r="AQ384" s="64"/>
      <c r="AR384" s="64"/>
      <c r="AS384" s="64"/>
      <c r="AT384" s="64"/>
      <c r="AU384" s="64"/>
      <c r="AV384" s="64"/>
      <c r="AW384" s="220"/>
    </row>
    <row r="385" spans="1:49" s="221" customFormat="1" ht="228" x14ac:dyDescent="0.25">
      <c r="A385" s="173">
        <f t="shared" si="41"/>
        <v>19</v>
      </c>
      <c r="B385" s="173" t="s">
        <v>1027</v>
      </c>
      <c r="C385" s="173" t="s">
        <v>951</v>
      </c>
      <c r="D385" s="173" t="s">
        <v>952</v>
      </c>
      <c r="E385" s="173" t="s">
        <v>953</v>
      </c>
      <c r="F385" s="173" t="s">
        <v>425</v>
      </c>
      <c r="G385" s="173" t="s">
        <v>1017</v>
      </c>
      <c r="H385" s="175" t="s">
        <v>1018</v>
      </c>
      <c r="I385" s="173" t="s">
        <v>55</v>
      </c>
      <c r="J385" s="173" t="s">
        <v>56</v>
      </c>
      <c r="K385" s="173">
        <v>81111500</v>
      </c>
      <c r="L385" s="63" t="s">
        <v>954</v>
      </c>
      <c r="M385" s="63" t="s">
        <v>58</v>
      </c>
      <c r="N385" s="63" t="s">
        <v>59</v>
      </c>
      <c r="O385" s="64" t="s">
        <v>886</v>
      </c>
      <c r="P385" s="63" t="s">
        <v>1028</v>
      </c>
      <c r="Q385" s="185">
        <f>S385/W385</f>
        <v>150000000</v>
      </c>
      <c r="R385" s="63">
        <v>50</v>
      </c>
      <c r="S385" s="188">
        <f>60000000-32267736+52267736+948594+34098806+55640912+6495682+40020000+1100000+35061045+44672045+1962916</f>
        <v>300000000</v>
      </c>
      <c r="T385" s="133" t="s">
        <v>1029</v>
      </c>
      <c r="U385" s="173" t="s">
        <v>1030</v>
      </c>
      <c r="V385" s="176">
        <v>43355</v>
      </c>
      <c r="W385" s="189">
        <v>2</v>
      </c>
      <c r="X385" s="234" t="s">
        <v>1031</v>
      </c>
      <c r="Y385" s="60">
        <v>43355</v>
      </c>
      <c r="Z385" s="185">
        <v>300000000</v>
      </c>
      <c r="AA385" s="64" t="s">
        <v>1032</v>
      </c>
      <c r="AB385" s="186">
        <v>1163</v>
      </c>
      <c r="AC385" s="64"/>
      <c r="AD385" s="230">
        <v>300000000</v>
      </c>
      <c r="AE385" s="238">
        <f>S385-AD385</f>
        <v>0</v>
      </c>
      <c r="AF385" s="186"/>
      <c r="AG385" s="64"/>
      <c r="AH385" s="230"/>
      <c r="AI385" s="64"/>
      <c r="AJ385" s="50"/>
      <c r="AK385" s="64"/>
      <c r="AL385" s="236"/>
      <c r="AM385" s="236">
        <f t="shared" si="43"/>
        <v>0</v>
      </c>
      <c r="AN385" s="64"/>
      <c r="AO385" s="231">
        <f t="shared" si="44"/>
        <v>300000000</v>
      </c>
      <c r="AP385" s="64"/>
      <c r="AQ385" s="64"/>
      <c r="AR385" s="64"/>
      <c r="AS385" s="64"/>
      <c r="AT385" s="64"/>
      <c r="AU385" s="64"/>
      <c r="AV385" s="64"/>
      <c r="AW385" s="220"/>
    </row>
    <row r="386" spans="1:49" s="221" customFormat="1" ht="228" x14ac:dyDescent="0.25">
      <c r="A386" s="173">
        <f t="shared" si="41"/>
        <v>20</v>
      </c>
      <c r="B386" s="173" t="s">
        <v>1033</v>
      </c>
      <c r="C386" s="173" t="s">
        <v>951</v>
      </c>
      <c r="D386" s="173" t="s">
        <v>952</v>
      </c>
      <c r="E386" s="173" t="s">
        <v>953</v>
      </c>
      <c r="F386" s="173" t="s">
        <v>425</v>
      </c>
      <c r="G386" s="173" t="s">
        <v>1017</v>
      </c>
      <c r="H386" s="175" t="s">
        <v>1018</v>
      </c>
      <c r="I386" s="173" t="s">
        <v>55</v>
      </c>
      <c r="J386" s="173" t="s">
        <v>56</v>
      </c>
      <c r="K386" s="173">
        <v>43190000</v>
      </c>
      <c r="L386" s="63" t="s">
        <v>954</v>
      </c>
      <c r="M386" s="63" t="s">
        <v>58</v>
      </c>
      <c r="N386" s="63" t="s">
        <v>59</v>
      </c>
      <c r="O386" s="64" t="s">
        <v>886</v>
      </c>
      <c r="P386" s="63" t="s">
        <v>1034</v>
      </c>
      <c r="Q386" s="185">
        <v>4000000</v>
      </c>
      <c r="R386" s="63">
        <v>1</v>
      </c>
      <c r="S386" s="187">
        <f>24000000-24000000</f>
        <v>0</v>
      </c>
      <c r="T386" s="63" t="s">
        <v>1013</v>
      </c>
      <c r="U386" s="173" t="s">
        <v>1026</v>
      </c>
      <c r="V386" s="176" t="s">
        <v>431</v>
      </c>
      <c r="W386" s="189">
        <v>6</v>
      </c>
      <c r="X386" s="234"/>
      <c r="Y386" s="60"/>
      <c r="Z386" s="185"/>
      <c r="AA386" s="64"/>
      <c r="AB386" s="186"/>
      <c r="AC386" s="64"/>
      <c r="AD386" s="230"/>
      <c r="AE386" s="238">
        <f>S386-Z386</f>
        <v>0</v>
      </c>
      <c r="AF386" s="186"/>
      <c r="AG386" s="64"/>
      <c r="AH386" s="230"/>
      <c r="AI386" s="64"/>
      <c r="AJ386" s="50"/>
      <c r="AK386" s="64"/>
      <c r="AL386" s="236"/>
      <c r="AM386" s="236">
        <f t="shared" si="43"/>
        <v>0</v>
      </c>
      <c r="AN386" s="64"/>
      <c r="AO386" s="231">
        <f t="shared" si="44"/>
        <v>0</v>
      </c>
      <c r="AP386" s="64"/>
      <c r="AQ386" s="64"/>
      <c r="AR386" s="64"/>
      <c r="AS386" s="64"/>
      <c r="AT386" s="64"/>
      <c r="AU386" s="64"/>
      <c r="AV386" s="64"/>
      <c r="AW386" s="220"/>
    </row>
    <row r="387" spans="1:49" s="221" customFormat="1" ht="409.5" x14ac:dyDescent="0.25">
      <c r="A387" s="173">
        <f t="shared" si="41"/>
        <v>21</v>
      </c>
      <c r="B387" s="173" t="s">
        <v>1035</v>
      </c>
      <c r="C387" s="173" t="s">
        <v>951</v>
      </c>
      <c r="D387" s="173" t="s">
        <v>952</v>
      </c>
      <c r="E387" s="173" t="s">
        <v>953</v>
      </c>
      <c r="F387" s="173" t="s">
        <v>425</v>
      </c>
      <c r="G387" s="173" t="s">
        <v>1017</v>
      </c>
      <c r="H387" s="175" t="s">
        <v>1018</v>
      </c>
      <c r="I387" s="173" t="s">
        <v>55</v>
      </c>
      <c r="J387" s="173" t="s">
        <v>56</v>
      </c>
      <c r="K387" s="173">
        <v>81111500</v>
      </c>
      <c r="L387" s="63" t="s">
        <v>954</v>
      </c>
      <c r="M387" s="63" t="s">
        <v>58</v>
      </c>
      <c r="N387" s="63" t="s">
        <v>59</v>
      </c>
      <c r="O387" s="64" t="s">
        <v>886</v>
      </c>
      <c r="P387" s="63" t="s">
        <v>1036</v>
      </c>
      <c r="Q387" s="185">
        <v>126735256</v>
      </c>
      <c r="R387" s="63">
        <v>10</v>
      </c>
      <c r="S387" s="239">
        <f>346913623-62302353+982741291-342263852-92303874-52267736-55344464-40020000-27900000-1100000-11061045-114056996-50516069</f>
        <v>480518525</v>
      </c>
      <c r="T387" s="63" t="s">
        <v>1013</v>
      </c>
      <c r="U387" s="111" t="s">
        <v>1037</v>
      </c>
      <c r="V387" s="176" t="s">
        <v>64</v>
      </c>
      <c r="W387" s="189">
        <v>12</v>
      </c>
      <c r="X387" s="234" t="s">
        <v>1038</v>
      </c>
      <c r="Y387" s="60">
        <v>43165</v>
      </c>
      <c r="Z387" s="185">
        <v>480518525</v>
      </c>
      <c r="AA387" s="47" t="s">
        <v>1039</v>
      </c>
      <c r="AB387" s="186">
        <v>700</v>
      </c>
      <c r="AC387" s="60">
        <v>43166</v>
      </c>
      <c r="AD387" s="230">
        <v>480518525</v>
      </c>
      <c r="AE387" s="238">
        <f>S387-AD387</f>
        <v>0</v>
      </c>
      <c r="AF387" s="186">
        <v>1658</v>
      </c>
      <c r="AG387" s="60">
        <v>43126</v>
      </c>
      <c r="AH387" s="230">
        <v>480518525</v>
      </c>
      <c r="AI387" s="64" t="s">
        <v>1040</v>
      </c>
      <c r="AJ387" s="50">
        <v>430</v>
      </c>
      <c r="AK387" s="64"/>
      <c r="AL387" s="69">
        <v>249760864</v>
      </c>
      <c r="AM387" s="236">
        <f t="shared" si="43"/>
        <v>230757661</v>
      </c>
      <c r="AN387" s="64"/>
      <c r="AO387" s="231">
        <f t="shared" si="44"/>
        <v>0</v>
      </c>
      <c r="AP387" s="64"/>
      <c r="AQ387" s="64"/>
      <c r="AR387" s="64"/>
      <c r="AS387" s="64"/>
      <c r="AT387" s="64"/>
      <c r="AU387" s="64"/>
      <c r="AV387" s="64"/>
      <c r="AW387" s="220"/>
    </row>
    <row r="388" spans="1:49" s="221" customFormat="1" ht="185.25" x14ac:dyDescent="0.25">
      <c r="A388" s="173">
        <f t="shared" si="41"/>
        <v>22</v>
      </c>
      <c r="B388" s="173" t="s">
        <v>1041</v>
      </c>
      <c r="C388" s="173" t="s">
        <v>951</v>
      </c>
      <c r="D388" s="173" t="s">
        <v>952</v>
      </c>
      <c r="E388" s="173" t="s">
        <v>953</v>
      </c>
      <c r="F388" s="173" t="s">
        <v>1002</v>
      </c>
      <c r="G388" s="173" t="s">
        <v>1003</v>
      </c>
      <c r="H388" s="175" t="s">
        <v>1004</v>
      </c>
      <c r="I388" s="173" t="s">
        <v>1042</v>
      </c>
      <c r="J388" s="173" t="s">
        <v>1043</v>
      </c>
      <c r="K388" s="173">
        <v>81111500</v>
      </c>
      <c r="L388" s="63" t="s">
        <v>954</v>
      </c>
      <c r="M388" s="63" t="s">
        <v>58</v>
      </c>
      <c r="N388" s="63" t="s">
        <v>59</v>
      </c>
      <c r="O388" s="64" t="s">
        <v>886</v>
      </c>
      <c r="P388" s="63" t="s">
        <v>1012</v>
      </c>
      <c r="Q388" s="185">
        <v>29166667</v>
      </c>
      <c r="R388" s="63">
        <v>1</v>
      </c>
      <c r="S388" s="240">
        <v>350000000</v>
      </c>
      <c r="T388" s="63" t="s">
        <v>1013</v>
      </c>
      <c r="U388" s="111" t="s">
        <v>723</v>
      </c>
      <c r="V388" s="176">
        <v>43297</v>
      </c>
      <c r="W388" s="189">
        <v>12</v>
      </c>
      <c r="X388" s="234"/>
      <c r="Y388" s="60"/>
      <c r="Z388" s="185"/>
      <c r="AA388" s="64"/>
      <c r="AB388" s="186"/>
      <c r="AC388" s="64"/>
      <c r="AD388" s="230"/>
      <c r="AE388" s="238">
        <f>S388-Z388</f>
        <v>350000000</v>
      </c>
      <c r="AF388" s="186"/>
      <c r="AG388" s="64"/>
      <c r="AH388" s="230"/>
      <c r="AI388" s="64"/>
      <c r="AJ388" s="50"/>
      <c r="AK388" s="64"/>
      <c r="AL388" s="236"/>
      <c r="AM388" s="236">
        <f t="shared" si="43"/>
        <v>0</v>
      </c>
      <c r="AN388" s="64"/>
      <c r="AO388" s="231">
        <f t="shared" si="44"/>
        <v>350000000</v>
      </c>
      <c r="AP388" s="64"/>
      <c r="AQ388" s="64"/>
      <c r="AR388" s="64"/>
      <c r="AS388" s="64"/>
      <c r="AT388" s="64"/>
      <c r="AU388" s="64"/>
      <c r="AV388" s="64"/>
      <c r="AW388" s="220"/>
    </row>
    <row r="389" spans="1:49" s="221" customFormat="1" ht="185.25" x14ac:dyDescent="0.25">
      <c r="A389" s="173">
        <f t="shared" si="41"/>
        <v>23</v>
      </c>
      <c r="B389" s="173" t="s">
        <v>1044</v>
      </c>
      <c r="C389" s="173" t="s">
        <v>951</v>
      </c>
      <c r="D389" s="173" t="s">
        <v>952</v>
      </c>
      <c r="E389" s="173" t="s">
        <v>953</v>
      </c>
      <c r="F389" s="173" t="s">
        <v>1002</v>
      </c>
      <c r="G389" s="173" t="s">
        <v>1003</v>
      </c>
      <c r="H389" s="175" t="s">
        <v>1004</v>
      </c>
      <c r="I389" s="173" t="s">
        <v>1045</v>
      </c>
      <c r="J389" s="173" t="s">
        <v>1046</v>
      </c>
      <c r="K389" s="173">
        <v>81111500</v>
      </c>
      <c r="L389" s="63" t="s">
        <v>954</v>
      </c>
      <c r="M389" s="63" t="s">
        <v>58</v>
      </c>
      <c r="N389" s="63" t="s">
        <v>59</v>
      </c>
      <c r="O389" s="64" t="s">
        <v>886</v>
      </c>
      <c r="P389" s="63" t="s">
        <v>1012</v>
      </c>
      <c r="Q389" s="185">
        <f>S389/W389</f>
        <v>61709250</v>
      </c>
      <c r="R389" s="63">
        <v>1</v>
      </c>
      <c r="S389" s="240">
        <v>740511000</v>
      </c>
      <c r="T389" s="63" t="s">
        <v>1013</v>
      </c>
      <c r="U389" s="111" t="s">
        <v>723</v>
      </c>
      <c r="V389" s="176">
        <v>43297</v>
      </c>
      <c r="W389" s="189">
        <v>12</v>
      </c>
      <c r="X389" s="234"/>
      <c r="Y389" s="60"/>
      <c r="Z389" s="185"/>
      <c r="AA389" s="64"/>
      <c r="AB389" s="186"/>
      <c r="AC389" s="64"/>
      <c r="AD389" s="230"/>
      <c r="AE389" s="238">
        <f>S389-Z389</f>
        <v>740511000</v>
      </c>
      <c r="AF389" s="186"/>
      <c r="AG389" s="64"/>
      <c r="AH389" s="230"/>
      <c r="AI389" s="64"/>
      <c r="AJ389" s="50"/>
      <c r="AK389" s="64"/>
      <c r="AL389" s="236"/>
      <c r="AM389" s="236">
        <f t="shared" si="43"/>
        <v>0</v>
      </c>
      <c r="AN389" s="64"/>
      <c r="AO389" s="231">
        <f t="shared" si="44"/>
        <v>740511000</v>
      </c>
      <c r="AP389" s="64"/>
      <c r="AQ389" s="64"/>
      <c r="AR389" s="64"/>
      <c r="AS389" s="64"/>
      <c r="AT389" s="64"/>
      <c r="AU389" s="64"/>
      <c r="AV389" s="64"/>
      <c r="AW389" s="220"/>
    </row>
    <row r="390" spans="1:49" s="221" customFormat="1" ht="228" x14ac:dyDescent="0.25">
      <c r="A390" s="173">
        <f t="shared" si="41"/>
        <v>24</v>
      </c>
      <c r="B390" s="173" t="s">
        <v>1047</v>
      </c>
      <c r="C390" s="173" t="s">
        <v>951</v>
      </c>
      <c r="D390" s="173" t="s">
        <v>952</v>
      </c>
      <c r="E390" s="173" t="s">
        <v>953</v>
      </c>
      <c r="F390" s="173" t="s">
        <v>425</v>
      </c>
      <c r="G390" s="173" t="s">
        <v>1017</v>
      </c>
      <c r="H390" s="175" t="s">
        <v>1018</v>
      </c>
      <c r="I390" s="173" t="s">
        <v>55</v>
      </c>
      <c r="J390" s="173" t="s">
        <v>56</v>
      </c>
      <c r="K390" s="63">
        <v>81112204</v>
      </c>
      <c r="L390" s="63" t="s">
        <v>954</v>
      </c>
      <c r="M390" s="63" t="s">
        <v>58</v>
      </c>
      <c r="N390" s="63" t="s">
        <v>59</v>
      </c>
      <c r="O390" s="64" t="s">
        <v>886</v>
      </c>
      <c r="P390" s="63" t="s">
        <v>1048</v>
      </c>
      <c r="Q390" s="185">
        <v>2100000</v>
      </c>
      <c r="R390" s="63">
        <v>1</v>
      </c>
      <c r="S390" s="187">
        <f>25200000-7735-2511218-22681047</f>
        <v>0</v>
      </c>
      <c r="T390" s="63" t="s">
        <v>1013</v>
      </c>
      <c r="U390" s="173" t="s">
        <v>1026</v>
      </c>
      <c r="V390" s="176" t="s">
        <v>64</v>
      </c>
      <c r="W390" s="189">
        <v>12</v>
      </c>
      <c r="X390" s="234"/>
      <c r="Y390" s="60"/>
      <c r="Z390" s="185"/>
      <c r="AA390" s="64"/>
      <c r="AB390" s="186"/>
      <c r="AC390" s="64"/>
      <c r="AD390" s="230"/>
      <c r="AE390" s="238">
        <f>S390-Z390</f>
        <v>0</v>
      </c>
      <c r="AF390" s="186"/>
      <c r="AG390" s="64"/>
      <c r="AH390" s="230"/>
      <c r="AI390" s="64"/>
      <c r="AJ390" s="50"/>
      <c r="AK390" s="64"/>
      <c r="AL390" s="236"/>
      <c r="AM390" s="236">
        <f t="shared" si="43"/>
        <v>0</v>
      </c>
      <c r="AN390" s="64"/>
      <c r="AO390" s="231">
        <f t="shared" si="44"/>
        <v>0</v>
      </c>
      <c r="AP390" s="64"/>
      <c r="AQ390" s="64"/>
      <c r="AR390" s="64"/>
      <c r="AS390" s="64"/>
      <c r="AT390" s="64"/>
      <c r="AU390" s="64"/>
      <c r="AV390" s="64"/>
      <c r="AW390" s="220"/>
    </row>
    <row r="391" spans="1:49" s="221" customFormat="1" ht="270.75" x14ac:dyDescent="0.25">
      <c r="A391" s="173">
        <f t="shared" si="41"/>
        <v>25</v>
      </c>
      <c r="B391" s="173" t="s">
        <v>1049</v>
      </c>
      <c r="C391" s="173" t="s">
        <v>951</v>
      </c>
      <c r="D391" s="173" t="s">
        <v>952</v>
      </c>
      <c r="E391" s="173" t="s">
        <v>953</v>
      </c>
      <c r="F391" s="173" t="s">
        <v>425</v>
      </c>
      <c r="G391" s="173" t="s">
        <v>1017</v>
      </c>
      <c r="H391" s="175" t="s">
        <v>1018</v>
      </c>
      <c r="I391" s="173" t="s">
        <v>55</v>
      </c>
      <c r="J391" s="173" t="s">
        <v>56</v>
      </c>
      <c r="K391" s="173">
        <v>81111500</v>
      </c>
      <c r="L391" s="63" t="s">
        <v>954</v>
      </c>
      <c r="M391" s="63" t="s">
        <v>58</v>
      </c>
      <c r="N391" s="63" t="s">
        <v>59</v>
      </c>
      <c r="O391" s="64" t="s">
        <v>886</v>
      </c>
      <c r="P391" s="63" t="s">
        <v>1050</v>
      </c>
      <c r="Q391" s="185">
        <f>43500000-7589820+1174332</f>
        <v>37084512</v>
      </c>
      <c r="R391" s="63">
        <v>1</v>
      </c>
      <c r="S391" s="185">
        <f>43500000-7589820+1174332-948594</f>
        <v>36135918</v>
      </c>
      <c r="T391" s="133" t="s">
        <v>1051</v>
      </c>
      <c r="U391" s="111" t="s">
        <v>1037</v>
      </c>
      <c r="V391" s="176">
        <v>43266</v>
      </c>
      <c r="W391" s="189">
        <v>1</v>
      </c>
      <c r="X391" s="234" t="s">
        <v>1052</v>
      </c>
      <c r="Y391" s="60">
        <v>43269</v>
      </c>
      <c r="Z391" s="185">
        <f>43500000-7589820+1174332-948594</f>
        <v>36135918</v>
      </c>
      <c r="AA391" s="64"/>
      <c r="AB391" s="186">
        <v>902</v>
      </c>
      <c r="AC391" s="60">
        <v>43270</v>
      </c>
      <c r="AD391" s="230">
        <f>37084512-948594</f>
        <v>36135918</v>
      </c>
      <c r="AE391" s="238">
        <f t="shared" ref="AE391:AE396" si="45">S391-AD391</f>
        <v>0</v>
      </c>
      <c r="AF391" s="186">
        <v>2551</v>
      </c>
      <c r="AG391" s="60">
        <v>43312</v>
      </c>
      <c r="AH391" s="230">
        <v>36135918</v>
      </c>
      <c r="AI391" s="64" t="s">
        <v>1053</v>
      </c>
      <c r="AJ391" s="50">
        <v>474</v>
      </c>
      <c r="AK391" s="64"/>
      <c r="AL391" s="236">
        <v>36135918</v>
      </c>
      <c r="AM391" s="236">
        <f t="shared" si="43"/>
        <v>0</v>
      </c>
      <c r="AN391" s="64"/>
      <c r="AO391" s="231">
        <f t="shared" si="44"/>
        <v>0</v>
      </c>
      <c r="AP391" s="64"/>
      <c r="AQ391" s="64"/>
      <c r="AR391" s="64"/>
      <c r="AS391" s="64"/>
      <c r="AT391" s="64"/>
      <c r="AU391" s="64"/>
      <c r="AV391" s="64"/>
      <c r="AW391" s="220"/>
    </row>
    <row r="392" spans="1:49" s="221" customFormat="1" ht="270.75" x14ac:dyDescent="0.25">
      <c r="A392" s="173">
        <f t="shared" si="41"/>
        <v>26</v>
      </c>
      <c r="B392" s="173" t="s">
        <v>1054</v>
      </c>
      <c r="C392" s="173" t="s">
        <v>951</v>
      </c>
      <c r="D392" s="173" t="s">
        <v>952</v>
      </c>
      <c r="E392" s="173" t="s">
        <v>953</v>
      </c>
      <c r="F392" s="173" t="s">
        <v>425</v>
      </c>
      <c r="G392" s="173" t="s">
        <v>1017</v>
      </c>
      <c r="H392" s="175" t="s">
        <v>1018</v>
      </c>
      <c r="I392" s="173" t="s">
        <v>55</v>
      </c>
      <c r="J392" s="173" t="s">
        <v>56</v>
      </c>
      <c r="K392" s="173">
        <v>81111500</v>
      </c>
      <c r="L392" s="63" t="s">
        <v>954</v>
      </c>
      <c r="M392" s="63" t="s">
        <v>58</v>
      </c>
      <c r="N392" s="63" t="s">
        <v>59</v>
      </c>
      <c r="O392" s="64" t="s">
        <v>886</v>
      </c>
      <c r="P392" s="63" t="s">
        <v>1055</v>
      </c>
      <c r="Q392" s="185">
        <v>13300000</v>
      </c>
      <c r="R392" s="63">
        <v>1</v>
      </c>
      <c r="S392" s="185">
        <f>159600000+92303874-1174332-17965260-34098806</f>
        <v>198665476</v>
      </c>
      <c r="T392" s="133" t="s">
        <v>1051</v>
      </c>
      <c r="U392" s="111" t="s">
        <v>1037</v>
      </c>
      <c r="V392" s="176" t="s">
        <v>1023</v>
      </c>
      <c r="W392" s="189">
        <v>12</v>
      </c>
      <c r="X392" s="241" t="s">
        <v>1056</v>
      </c>
      <c r="Y392" s="60">
        <v>43227</v>
      </c>
      <c r="Z392" s="185">
        <v>198665476</v>
      </c>
      <c r="AA392" s="64" t="s">
        <v>1057</v>
      </c>
      <c r="AB392" s="186">
        <v>815</v>
      </c>
      <c r="AC392" s="60">
        <v>43227</v>
      </c>
      <c r="AD392" s="230">
        <v>198665476</v>
      </c>
      <c r="AE392" s="238">
        <f t="shared" si="45"/>
        <v>0</v>
      </c>
      <c r="AF392" s="186">
        <v>1991</v>
      </c>
      <c r="AG392" s="60">
        <v>43252</v>
      </c>
      <c r="AH392" s="69">
        <v>198665476</v>
      </c>
      <c r="AI392" s="64" t="s">
        <v>1058</v>
      </c>
      <c r="AJ392" s="50">
        <v>435</v>
      </c>
      <c r="AK392" s="64"/>
      <c r="AL392" s="242">
        <v>198665476</v>
      </c>
      <c r="AM392" s="236">
        <f t="shared" si="43"/>
        <v>0</v>
      </c>
      <c r="AN392" s="64"/>
      <c r="AO392" s="231">
        <f t="shared" si="44"/>
        <v>0</v>
      </c>
      <c r="AP392" s="64"/>
      <c r="AQ392" s="64"/>
      <c r="AR392" s="64"/>
      <c r="AS392" s="64"/>
      <c r="AT392" s="64"/>
      <c r="AU392" s="64"/>
      <c r="AV392" s="64"/>
      <c r="AW392" s="220"/>
    </row>
    <row r="393" spans="1:49" s="221" customFormat="1" ht="228" x14ac:dyDescent="0.25">
      <c r="A393" s="173">
        <f t="shared" si="41"/>
        <v>27</v>
      </c>
      <c r="B393" s="173" t="s">
        <v>1059</v>
      </c>
      <c r="C393" s="173" t="s">
        <v>951</v>
      </c>
      <c r="D393" s="173" t="s">
        <v>952</v>
      </c>
      <c r="E393" s="173" t="s">
        <v>953</v>
      </c>
      <c r="F393" s="173" t="s">
        <v>425</v>
      </c>
      <c r="G393" s="173" t="s">
        <v>1017</v>
      </c>
      <c r="H393" s="175" t="s">
        <v>1018</v>
      </c>
      <c r="I393" s="173" t="s">
        <v>55</v>
      </c>
      <c r="J393" s="173" t="s">
        <v>56</v>
      </c>
      <c r="K393" s="173">
        <v>81111500</v>
      </c>
      <c r="L393" s="63" t="s">
        <v>954</v>
      </c>
      <c r="M393" s="63" t="s">
        <v>58</v>
      </c>
      <c r="N393" s="63" t="s">
        <v>59</v>
      </c>
      <c r="O393" s="64" t="s">
        <v>886</v>
      </c>
      <c r="P393" s="63" t="s">
        <v>1060</v>
      </c>
      <c r="Q393" s="185">
        <v>9800000</v>
      </c>
      <c r="R393" s="63">
        <v>1</v>
      </c>
      <c r="S393" s="185">
        <f>79721000-55640912</f>
        <v>24080088</v>
      </c>
      <c r="T393" s="133" t="s">
        <v>1051</v>
      </c>
      <c r="U393" s="173" t="s">
        <v>1026</v>
      </c>
      <c r="V393" s="176">
        <v>43320</v>
      </c>
      <c r="W393" s="189">
        <v>8</v>
      </c>
      <c r="X393" s="234" t="s">
        <v>1061</v>
      </c>
      <c r="Y393" s="60">
        <v>43321</v>
      </c>
      <c r="Z393" s="185">
        <v>24080088</v>
      </c>
      <c r="AA393" s="64"/>
      <c r="AB393" s="186">
        <v>1060</v>
      </c>
      <c r="AC393" s="60">
        <v>43325</v>
      </c>
      <c r="AD393" s="230">
        <v>24080088</v>
      </c>
      <c r="AE393" s="238">
        <f t="shared" si="45"/>
        <v>0</v>
      </c>
      <c r="AF393" s="186"/>
      <c r="AG393" s="64"/>
      <c r="AH393" s="230"/>
      <c r="AI393" s="64"/>
      <c r="AJ393" s="50"/>
      <c r="AK393" s="64"/>
      <c r="AL393" s="236"/>
      <c r="AM393" s="236">
        <f t="shared" si="43"/>
        <v>0</v>
      </c>
      <c r="AN393" s="64"/>
      <c r="AO393" s="231">
        <f t="shared" si="44"/>
        <v>24080088</v>
      </c>
      <c r="AP393" s="64"/>
      <c r="AQ393" s="64"/>
      <c r="AR393" s="64"/>
      <c r="AS393" s="64"/>
      <c r="AT393" s="64"/>
      <c r="AU393" s="64"/>
      <c r="AV393" s="64"/>
      <c r="AW393" s="220"/>
    </row>
    <row r="394" spans="1:49" s="221" customFormat="1" ht="409.5" x14ac:dyDescent="0.25">
      <c r="A394" s="173">
        <f t="shared" si="41"/>
        <v>28</v>
      </c>
      <c r="B394" s="173" t="s">
        <v>1062</v>
      </c>
      <c r="C394" s="173" t="s">
        <v>951</v>
      </c>
      <c r="D394" s="173" t="s">
        <v>952</v>
      </c>
      <c r="E394" s="173" t="s">
        <v>953</v>
      </c>
      <c r="F394" s="173" t="s">
        <v>52</v>
      </c>
      <c r="G394" s="173" t="s">
        <v>53</v>
      </c>
      <c r="H394" s="175" t="s">
        <v>884</v>
      </c>
      <c r="I394" s="173" t="s">
        <v>55</v>
      </c>
      <c r="J394" s="173" t="s">
        <v>56</v>
      </c>
      <c r="K394" s="63">
        <v>80111600</v>
      </c>
      <c r="L394" s="63" t="s">
        <v>954</v>
      </c>
      <c r="M394" s="63" t="s">
        <v>58</v>
      </c>
      <c r="N394" s="63" t="s">
        <v>59</v>
      </c>
      <c r="O394" s="64" t="s">
        <v>1006</v>
      </c>
      <c r="P394" s="63" t="s">
        <v>1063</v>
      </c>
      <c r="Q394" s="185">
        <v>15470000</v>
      </c>
      <c r="R394" s="63">
        <v>1</v>
      </c>
      <c r="S394" s="185">
        <v>177905000</v>
      </c>
      <c r="T394" s="133" t="s">
        <v>888</v>
      </c>
      <c r="U394" s="63" t="s">
        <v>1064</v>
      </c>
      <c r="V394" s="176" t="s">
        <v>64</v>
      </c>
      <c r="W394" s="184">
        <v>12</v>
      </c>
      <c r="X394" s="241" t="s">
        <v>1065</v>
      </c>
      <c r="Y394" s="60">
        <v>43122</v>
      </c>
      <c r="Z394" s="185">
        <v>177905000</v>
      </c>
      <c r="AA394" s="64" t="s">
        <v>1010</v>
      </c>
      <c r="AB394" s="186">
        <v>560</v>
      </c>
      <c r="AC394" s="60">
        <v>43123</v>
      </c>
      <c r="AD394" s="230">
        <v>177905000</v>
      </c>
      <c r="AE394" s="238">
        <f t="shared" si="45"/>
        <v>0</v>
      </c>
      <c r="AF394" s="186">
        <v>486</v>
      </c>
      <c r="AG394" s="60">
        <v>43126</v>
      </c>
      <c r="AH394" s="230">
        <v>177905000</v>
      </c>
      <c r="AI394" s="64" t="s">
        <v>1066</v>
      </c>
      <c r="AJ394" s="50">
        <v>408</v>
      </c>
      <c r="AK394" s="64"/>
      <c r="AL394" s="242">
        <v>110868334</v>
      </c>
      <c r="AM394" s="236">
        <f t="shared" si="43"/>
        <v>67036666</v>
      </c>
      <c r="AN394" s="64"/>
      <c r="AO394" s="231">
        <f t="shared" si="44"/>
        <v>0</v>
      </c>
      <c r="AP394" s="64"/>
      <c r="AQ394" s="64"/>
      <c r="AR394" s="64"/>
      <c r="AS394" s="64"/>
      <c r="AT394" s="64"/>
      <c r="AU394" s="64"/>
      <c r="AV394" s="64"/>
      <c r="AW394" s="220"/>
    </row>
    <row r="395" spans="1:49" s="221" customFormat="1" ht="270.75" x14ac:dyDescent="0.25">
      <c r="A395" s="173">
        <f t="shared" si="41"/>
        <v>29</v>
      </c>
      <c r="B395" s="173" t="s">
        <v>1067</v>
      </c>
      <c r="C395" s="173" t="s">
        <v>951</v>
      </c>
      <c r="D395" s="173" t="s">
        <v>952</v>
      </c>
      <c r="E395" s="173" t="s">
        <v>953</v>
      </c>
      <c r="F395" s="173" t="s">
        <v>425</v>
      </c>
      <c r="G395" s="173" t="s">
        <v>1017</v>
      </c>
      <c r="H395" s="175" t="s">
        <v>1018</v>
      </c>
      <c r="I395" s="173" t="s">
        <v>55</v>
      </c>
      <c r="J395" s="173" t="s">
        <v>56</v>
      </c>
      <c r="K395" s="173">
        <v>81111500</v>
      </c>
      <c r="L395" s="63" t="s">
        <v>954</v>
      </c>
      <c r="M395" s="63" t="s">
        <v>58</v>
      </c>
      <c r="N395" s="63" t="s">
        <v>59</v>
      </c>
      <c r="O395" s="64" t="s">
        <v>886</v>
      </c>
      <c r="P395" s="190" t="s">
        <v>1068</v>
      </c>
      <c r="Q395" s="191">
        <v>33376261</v>
      </c>
      <c r="R395" s="63">
        <v>1.87</v>
      </c>
      <c r="S395" s="239">
        <v>62302353</v>
      </c>
      <c r="T395" s="63" t="s">
        <v>1013</v>
      </c>
      <c r="U395" s="111" t="s">
        <v>1037</v>
      </c>
      <c r="V395" s="176" t="s">
        <v>64</v>
      </c>
      <c r="W395" s="189">
        <v>12</v>
      </c>
      <c r="X395" s="241" t="s">
        <v>1069</v>
      </c>
      <c r="Y395" s="60">
        <v>43139</v>
      </c>
      <c r="Z395" s="185">
        <v>62302353</v>
      </c>
      <c r="AA395" s="64" t="s">
        <v>1070</v>
      </c>
      <c r="AB395" s="186">
        <v>639</v>
      </c>
      <c r="AC395" s="60">
        <v>43139</v>
      </c>
      <c r="AD395" s="230">
        <v>62302353</v>
      </c>
      <c r="AE395" s="238">
        <f t="shared" si="45"/>
        <v>0</v>
      </c>
      <c r="AF395" s="186">
        <v>1468</v>
      </c>
      <c r="AG395" s="60">
        <v>43154</v>
      </c>
      <c r="AH395" s="230">
        <v>62302353</v>
      </c>
      <c r="AI395" s="64" t="s">
        <v>1071</v>
      </c>
      <c r="AJ395" s="50">
        <v>327</v>
      </c>
      <c r="AK395" s="64"/>
      <c r="AL395" s="242">
        <v>62302353</v>
      </c>
      <c r="AM395" s="236">
        <f t="shared" si="43"/>
        <v>0</v>
      </c>
      <c r="AN395" s="64"/>
      <c r="AO395" s="231">
        <f t="shared" si="44"/>
        <v>0</v>
      </c>
      <c r="AP395" s="64"/>
      <c r="AQ395" s="64"/>
      <c r="AR395" s="64"/>
      <c r="AS395" s="64"/>
      <c r="AT395" s="64"/>
      <c r="AU395" s="64"/>
      <c r="AV395" s="64"/>
      <c r="AW395" s="220"/>
    </row>
    <row r="396" spans="1:49" s="221" customFormat="1" ht="270.75" x14ac:dyDescent="0.25">
      <c r="A396" s="173">
        <f t="shared" si="41"/>
        <v>30</v>
      </c>
      <c r="B396" s="173" t="s">
        <v>1072</v>
      </c>
      <c r="C396" s="173" t="s">
        <v>951</v>
      </c>
      <c r="D396" s="173" t="s">
        <v>952</v>
      </c>
      <c r="E396" s="173" t="s">
        <v>953</v>
      </c>
      <c r="F396" s="173" t="s">
        <v>425</v>
      </c>
      <c r="G396" s="173" t="s">
        <v>1017</v>
      </c>
      <c r="H396" s="175" t="s">
        <v>1018</v>
      </c>
      <c r="I396" s="173" t="s">
        <v>55</v>
      </c>
      <c r="J396" s="173" t="s">
        <v>56</v>
      </c>
      <c r="K396" s="173">
        <v>81111500</v>
      </c>
      <c r="L396" s="63" t="s">
        <v>954</v>
      </c>
      <c r="M396" s="63" t="s">
        <v>58</v>
      </c>
      <c r="N396" s="63" t="s">
        <v>59</v>
      </c>
      <c r="O396" s="64" t="s">
        <v>1006</v>
      </c>
      <c r="P396" s="63" t="s">
        <v>1073</v>
      </c>
      <c r="Q396" s="192">
        <f>S396/R396</f>
        <v>339036000</v>
      </c>
      <c r="R396" s="63">
        <v>2</v>
      </c>
      <c r="S396" s="185">
        <f>107769709+565000000+32267736+7589820-34555265</f>
        <v>678072000</v>
      </c>
      <c r="T396" s="64"/>
      <c r="U396" s="111" t="s">
        <v>1037</v>
      </c>
      <c r="V396" s="64"/>
      <c r="W396" s="189">
        <v>1</v>
      </c>
      <c r="X396" s="241" t="s">
        <v>1074</v>
      </c>
      <c r="Y396" s="60">
        <v>43173</v>
      </c>
      <c r="Z396" s="185">
        <v>678072000</v>
      </c>
      <c r="AA396" s="64" t="s">
        <v>1075</v>
      </c>
      <c r="AB396" s="186">
        <v>761</v>
      </c>
      <c r="AC396" s="60">
        <v>43185</v>
      </c>
      <c r="AD396" s="230">
        <v>678072000</v>
      </c>
      <c r="AE396" s="238">
        <f t="shared" si="45"/>
        <v>0</v>
      </c>
      <c r="AF396" s="186">
        <v>1802</v>
      </c>
      <c r="AG396" s="60">
        <v>43203</v>
      </c>
      <c r="AH396" s="230">
        <v>678072000</v>
      </c>
      <c r="AI396" s="64" t="s">
        <v>1076</v>
      </c>
      <c r="AJ396" s="50">
        <v>433</v>
      </c>
      <c r="AK396" s="64"/>
      <c r="AL396" s="242">
        <v>678072000</v>
      </c>
      <c r="AM396" s="236">
        <f t="shared" si="43"/>
        <v>0</v>
      </c>
      <c r="AN396" s="220"/>
      <c r="AO396" s="231">
        <f t="shared" si="44"/>
        <v>0</v>
      </c>
      <c r="AP396" s="220"/>
      <c r="AQ396" s="220"/>
      <c r="AR396" s="220"/>
      <c r="AS396" s="220"/>
      <c r="AT396" s="220"/>
      <c r="AU396" s="220"/>
      <c r="AV396" s="220"/>
      <c r="AW396" s="220"/>
    </row>
    <row r="397" spans="1:49" s="221" customFormat="1" ht="270.75" x14ac:dyDescent="0.25">
      <c r="A397" s="173">
        <f t="shared" si="41"/>
        <v>31</v>
      </c>
      <c r="B397" s="173" t="s">
        <v>1077</v>
      </c>
      <c r="C397" s="173" t="s">
        <v>951</v>
      </c>
      <c r="D397" s="173" t="s">
        <v>952</v>
      </c>
      <c r="E397" s="173" t="s">
        <v>953</v>
      </c>
      <c r="F397" s="173" t="s">
        <v>425</v>
      </c>
      <c r="G397" s="173" t="s">
        <v>1017</v>
      </c>
      <c r="H397" s="175" t="s">
        <v>1018</v>
      </c>
      <c r="I397" s="173" t="s">
        <v>55</v>
      </c>
      <c r="J397" s="173" t="s">
        <v>56</v>
      </c>
      <c r="K397" s="173">
        <v>81111500</v>
      </c>
      <c r="L397" s="63" t="s">
        <v>954</v>
      </c>
      <c r="M397" s="63" t="s">
        <v>58</v>
      </c>
      <c r="N397" s="63" t="s">
        <v>59</v>
      </c>
      <c r="O397" s="64" t="s">
        <v>1006</v>
      </c>
      <c r="P397" s="63" t="s">
        <v>1073</v>
      </c>
      <c r="Q397" s="192">
        <f>S397/R397</f>
        <v>0</v>
      </c>
      <c r="R397" s="63">
        <v>2</v>
      </c>
      <c r="S397" s="187">
        <f>7735-7735</f>
        <v>0</v>
      </c>
      <c r="T397" s="64"/>
      <c r="U397" s="111" t="s">
        <v>1037</v>
      </c>
      <c r="V397" s="64"/>
      <c r="W397" s="189">
        <v>1</v>
      </c>
      <c r="X397" s="241" t="s">
        <v>1078</v>
      </c>
      <c r="Y397" s="60"/>
      <c r="Z397" s="185"/>
      <c r="AA397" s="64" t="s">
        <v>1079</v>
      </c>
      <c r="AB397" s="186"/>
      <c r="AC397" s="60"/>
      <c r="AD397" s="230"/>
      <c r="AE397" s="238">
        <f>S397-Z397</f>
        <v>0</v>
      </c>
      <c r="AF397" s="186">
        <v>1802</v>
      </c>
      <c r="AG397" s="60">
        <v>43203</v>
      </c>
      <c r="AH397" s="230">
        <v>0</v>
      </c>
      <c r="AI397" s="64"/>
      <c r="AJ397" s="50"/>
      <c r="AK397" s="64"/>
      <c r="AL397" s="236">
        <v>0</v>
      </c>
      <c r="AM397" s="236">
        <f t="shared" si="43"/>
        <v>0</v>
      </c>
      <c r="AN397" s="220"/>
      <c r="AO397" s="231">
        <f t="shared" si="44"/>
        <v>0</v>
      </c>
      <c r="AP397" s="220"/>
      <c r="AQ397" s="220"/>
      <c r="AR397" s="220"/>
      <c r="AS397" s="220"/>
      <c r="AT397" s="220"/>
      <c r="AU397" s="220"/>
      <c r="AV397" s="220"/>
      <c r="AW397" s="220"/>
    </row>
    <row r="398" spans="1:49" s="221" customFormat="1" ht="327.75" x14ac:dyDescent="0.25">
      <c r="A398" s="173">
        <f t="shared" si="41"/>
        <v>32</v>
      </c>
      <c r="B398" s="173" t="s">
        <v>1080</v>
      </c>
      <c r="C398" s="173" t="s">
        <v>951</v>
      </c>
      <c r="D398" s="173" t="s">
        <v>952</v>
      </c>
      <c r="E398" s="173" t="s">
        <v>953</v>
      </c>
      <c r="F398" s="173" t="s">
        <v>425</v>
      </c>
      <c r="G398" s="173" t="s">
        <v>1017</v>
      </c>
      <c r="H398" s="175" t="s">
        <v>1018</v>
      </c>
      <c r="I398" s="173" t="s">
        <v>55</v>
      </c>
      <c r="J398" s="173" t="s">
        <v>56</v>
      </c>
      <c r="K398" s="63">
        <v>81112204</v>
      </c>
      <c r="L398" s="63" t="s">
        <v>954</v>
      </c>
      <c r="M398" s="63" t="s">
        <v>58</v>
      </c>
      <c r="N398" s="63" t="s">
        <v>59</v>
      </c>
      <c r="O398" s="64" t="s">
        <v>886</v>
      </c>
      <c r="P398" s="63" t="s">
        <v>1081</v>
      </c>
      <c r="Q398" s="185">
        <v>1004487</v>
      </c>
      <c r="R398" s="63">
        <v>1</v>
      </c>
      <c r="S398" s="185">
        <v>2511218</v>
      </c>
      <c r="T398" s="63" t="s">
        <v>439</v>
      </c>
      <c r="U398" s="173" t="s">
        <v>1082</v>
      </c>
      <c r="V398" s="176" t="s">
        <v>411</v>
      </c>
      <c r="W398" s="189" t="s">
        <v>1083</v>
      </c>
      <c r="X398" s="241" t="s">
        <v>1084</v>
      </c>
      <c r="Y398" s="60">
        <v>43196</v>
      </c>
      <c r="Z398" s="185">
        <v>2511218</v>
      </c>
      <c r="AA398" s="64" t="s">
        <v>1085</v>
      </c>
      <c r="AB398" s="186">
        <v>767</v>
      </c>
      <c r="AC398" s="60">
        <v>43199</v>
      </c>
      <c r="AD398" s="230">
        <v>2511218</v>
      </c>
      <c r="AE398" s="238">
        <f t="shared" ref="AE398:AE399" si="46">S398-AD398</f>
        <v>0</v>
      </c>
      <c r="AF398" s="186">
        <v>1756</v>
      </c>
      <c r="AG398" s="60">
        <v>43200</v>
      </c>
      <c r="AH398" s="230">
        <v>2511218</v>
      </c>
      <c r="AI398" s="64" t="s">
        <v>1086</v>
      </c>
      <c r="AJ398" s="50">
        <v>562</v>
      </c>
      <c r="AK398" s="64"/>
      <c r="AL398" s="242">
        <v>2511218</v>
      </c>
      <c r="AM398" s="236">
        <f t="shared" si="43"/>
        <v>0</v>
      </c>
      <c r="AN398" s="64"/>
      <c r="AO398" s="231">
        <f t="shared" si="44"/>
        <v>0</v>
      </c>
      <c r="AP398" s="64"/>
      <c r="AQ398" s="64"/>
      <c r="AR398" s="64"/>
      <c r="AS398" s="64"/>
      <c r="AT398" s="64"/>
      <c r="AU398" s="64"/>
      <c r="AV398" s="64"/>
      <c r="AW398" s="220"/>
    </row>
    <row r="399" spans="1:49" s="221" customFormat="1" ht="270.75" x14ac:dyDescent="0.25">
      <c r="A399" s="173">
        <f t="shared" si="41"/>
        <v>33</v>
      </c>
      <c r="B399" s="173" t="s">
        <v>1087</v>
      </c>
      <c r="C399" s="173" t="s">
        <v>951</v>
      </c>
      <c r="D399" s="173" t="s">
        <v>952</v>
      </c>
      <c r="E399" s="173" t="s">
        <v>953</v>
      </c>
      <c r="F399" s="173" t="s">
        <v>425</v>
      </c>
      <c r="G399" s="173" t="s">
        <v>1017</v>
      </c>
      <c r="H399" s="175" t="s">
        <v>1018</v>
      </c>
      <c r="I399" s="173" t="s">
        <v>55</v>
      </c>
      <c r="J399" s="173" t="s">
        <v>56</v>
      </c>
      <c r="K399" s="173">
        <v>81111500</v>
      </c>
      <c r="L399" s="63" t="s">
        <v>954</v>
      </c>
      <c r="M399" s="63" t="s">
        <v>58</v>
      </c>
      <c r="N399" s="63" t="s">
        <v>59</v>
      </c>
      <c r="O399" s="64" t="s">
        <v>886</v>
      </c>
      <c r="P399" s="63" t="s">
        <v>1088</v>
      </c>
      <c r="Q399" s="239">
        <v>342263852</v>
      </c>
      <c r="R399" s="63">
        <v>1</v>
      </c>
      <c r="S399" s="239">
        <f>342263852-6495682</f>
        <v>335768170</v>
      </c>
      <c r="T399" s="63" t="s">
        <v>1051</v>
      </c>
      <c r="U399" s="111" t="s">
        <v>1037</v>
      </c>
      <c r="V399" s="176" t="s">
        <v>1089</v>
      </c>
      <c r="W399" s="189">
        <v>1</v>
      </c>
      <c r="X399" s="234" t="s">
        <v>1090</v>
      </c>
      <c r="Y399" s="60">
        <v>43216</v>
      </c>
      <c r="Z399" s="239">
        <v>317799910</v>
      </c>
      <c r="AA399" s="64" t="s">
        <v>1070</v>
      </c>
      <c r="AB399" s="186">
        <v>807</v>
      </c>
      <c r="AC399" s="60">
        <v>42852</v>
      </c>
      <c r="AD399" s="230">
        <v>317799910</v>
      </c>
      <c r="AE399" s="238">
        <f t="shared" si="46"/>
        <v>17968260</v>
      </c>
      <c r="AF399" s="186">
        <v>1960</v>
      </c>
      <c r="AG399" s="60">
        <v>43250</v>
      </c>
      <c r="AH399" s="230">
        <v>317799910</v>
      </c>
      <c r="AI399" s="64" t="s">
        <v>1091</v>
      </c>
      <c r="AJ399" s="64">
        <v>434</v>
      </c>
      <c r="AK399" s="64"/>
      <c r="AL399" s="69">
        <v>317799910</v>
      </c>
      <c r="AM399" s="236">
        <f t="shared" si="43"/>
        <v>0</v>
      </c>
      <c r="AN399" s="64"/>
      <c r="AO399" s="231">
        <f t="shared" si="44"/>
        <v>17968260</v>
      </c>
      <c r="AP399" s="64"/>
      <c r="AQ399" s="64"/>
      <c r="AR399" s="64"/>
      <c r="AS399" s="64"/>
      <c r="AT399" s="64"/>
      <c r="AU399" s="64"/>
      <c r="AV399" s="64"/>
      <c r="AW399" s="220"/>
    </row>
    <row r="400" spans="1:49" s="221" customFormat="1" ht="185.25" x14ac:dyDescent="0.25">
      <c r="A400" s="173">
        <f t="shared" si="41"/>
        <v>34</v>
      </c>
      <c r="B400" s="173" t="s">
        <v>1092</v>
      </c>
      <c r="C400" s="173" t="s">
        <v>951</v>
      </c>
      <c r="D400" s="173" t="s">
        <v>952</v>
      </c>
      <c r="E400" s="173" t="s">
        <v>953</v>
      </c>
      <c r="F400" s="173" t="s">
        <v>1002</v>
      </c>
      <c r="G400" s="173" t="s">
        <v>1003</v>
      </c>
      <c r="H400" s="173" t="s">
        <v>1004</v>
      </c>
      <c r="I400" s="173" t="s">
        <v>55</v>
      </c>
      <c r="J400" s="173" t="s">
        <v>56</v>
      </c>
      <c r="K400" s="173" t="s">
        <v>1005</v>
      </c>
      <c r="L400" s="63" t="s">
        <v>954</v>
      </c>
      <c r="M400" s="63" t="s">
        <v>58</v>
      </c>
      <c r="N400" s="63" t="s">
        <v>59</v>
      </c>
      <c r="O400" s="64" t="s">
        <v>1006</v>
      </c>
      <c r="P400" s="63" t="s">
        <v>1093</v>
      </c>
      <c r="Q400" s="185">
        <v>7000000</v>
      </c>
      <c r="R400" s="63">
        <v>1</v>
      </c>
      <c r="S400" s="188">
        <v>7000000</v>
      </c>
      <c r="T400" s="63" t="s">
        <v>439</v>
      </c>
      <c r="U400" s="173" t="s">
        <v>445</v>
      </c>
      <c r="V400" s="176">
        <v>43327</v>
      </c>
      <c r="W400" s="184">
        <v>1</v>
      </c>
      <c r="X400" s="234"/>
      <c r="Y400" s="60"/>
      <c r="Z400" s="185"/>
      <c r="AA400" s="64"/>
      <c r="AB400" s="186"/>
      <c r="AC400" s="64"/>
      <c r="AD400" s="64"/>
      <c r="AE400" s="238">
        <f t="shared" ref="AE400:AE406" si="47">S400-Z400</f>
        <v>7000000</v>
      </c>
      <c r="AF400" s="186"/>
      <c r="AG400" s="64"/>
      <c r="AH400" s="230"/>
      <c r="AI400" s="64"/>
      <c r="AJ400" s="64"/>
      <c r="AK400" s="64"/>
      <c r="AL400" s="64"/>
      <c r="AM400" s="236">
        <f t="shared" si="43"/>
        <v>0</v>
      </c>
      <c r="AN400" s="64"/>
      <c r="AO400" s="231">
        <f t="shared" si="44"/>
        <v>7000000</v>
      </c>
      <c r="AP400" s="64"/>
      <c r="AQ400" s="64"/>
      <c r="AR400" s="64"/>
      <c r="AS400" s="64"/>
      <c r="AT400" s="64"/>
      <c r="AU400" s="64"/>
      <c r="AV400" s="64"/>
      <c r="AW400" s="220"/>
    </row>
    <row r="401" spans="1:49" s="221" customFormat="1" ht="299.25" x14ac:dyDescent="0.25">
      <c r="A401" s="173">
        <f t="shared" si="41"/>
        <v>35</v>
      </c>
      <c r="B401" s="173" t="s">
        <v>1094</v>
      </c>
      <c r="C401" s="173" t="s">
        <v>951</v>
      </c>
      <c r="D401" s="173" t="s">
        <v>952</v>
      </c>
      <c r="E401" s="173" t="s">
        <v>953</v>
      </c>
      <c r="F401" s="173" t="s">
        <v>425</v>
      </c>
      <c r="G401" s="173" t="s">
        <v>1017</v>
      </c>
      <c r="H401" s="175" t="s">
        <v>1018</v>
      </c>
      <c r="I401" s="173" t="s">
        <v>55</v>
      </c>
      <c r="J401" s="173" t="s">
        <v>56</v>
      </c>
      <c r="K401" s="173">
        <v>81111500</v>
      </c>
      <c r="L401" s="63" t="s">
        <v>954</v>
      </c>
      <c r="M401" s="63" t="s">
        <v>58</v>
      </c>
      <c r="N401" s="63" t="s">
        <v>59</v>
      </c>
      <c r="O401" s="64" t="s">
        <v>886</v>
      </c>
      <c r="P401" s="63" t="s">
        <v>1095</v>
      </c>
      <c r="Q401" s="185">
        <f t="shared" ref="Q401:Q413" si="48">S401/W401</f>
        <v>55344464</v>
      </c>
      <c r="R401" s="63">
        <v>1</v>
      </c>
      <c r="S401" s="239">
        <v>55344464</v>
      </c>
      <c r="T401" s="63" t="s">
        <v>1096</v>
      </c>
      <c r="U401" s="111" t="s">
        <v>1037</v>
      </c>
      <c r="V401" s="176">
        <v>43292</v>
      </c>
      <c r="W401" s="189">
        <v>1</v>
      </c>
      <c r="X401" s="234" t="s">
        <v>1097</v>
      </c>
      <c r="Y401" s="60"/>
      <c r="Z401" s="185"/>
      <c r="AA401" s="47"/>
      <c r="AB401" s="186"/>
      <c r="AC401" s="60"/>
      <c r="AD401" s="230"/>
      <c r="AE401" s="238">
        <f t="shared" si="47"/>
        <v>55344464</v>
      </c>
      <c r="AF401" s="186"/>
      <c r="AG401" s="60"/>
      <c r="AH401" s="230"/>
      <c r="AI401" s="64"/>
      <c r="AJ401" s="64"/>
      <c r="AK401" s="64"/>
      <c r="AL401" s="236">
        <v>0</v>
      </c>
      <c r="AM401" s="236">
        <f t="shared" si="43"/>
        <v>0</v>
      </c>
      <c r="AN401" s="64"/>
      <c r="AO401" s="231">
        <f t="shared" si="44"/>
        <v>55344464</v>
      </c>
      <c r="AP401" s="64"/>
      <c r="AQ401" s="64"/>
      <c r="AR401" s="64"/>
      <c r="AS401" s="64"/>
      <c r="AT401" s="64"/>
      <c r="AU401" s="64"/>
      <c r="AV401" s="64"/>
      <c r="AW401" s="220"/>
    </row>
    <row r="402" spans="1:49" s="221" customFormat="1" ht="270.75" x14ac:dyDescent="0.25">
      <c r="A402" s="173">
        <f t="shared" si="41"/>
        <v>36</v>
      </c>
      <c r="B402" s="173" t="s">
        <v>1098</v>
      </c>
      <c r="C402" s="173" t="s">
        <v>951</v>
      </c>
      <c r="D402" s="173" t="s">
        <v>952</v>
      </c>
      <c r="E402" s="173" t="s">
        <v>953</v>
      </c>
      <c r="F402" s="173" t="s">
        <v>425</v>
      </c>
      <c r="G402" s="173" t="s">
        <v>1017</v>
      </c>
      <c r="H402" s="175" t="s">
        <v>1018</v>
      </c>
      <c r="I402" s="173" t="s">
        <v>55</v>
      </c>
      <c r="J402" s="173" t="s">
        <v>56</v>
      </c>
      <c r="K402" s="173">
        <v>81111500</v>
      </c>
      <c r="L402" s="63" t="s">
        <v>954</v>
      </c>
      <c r="M402" s="63" t="s">
        <v>58</v>
      </c>
      <c r="N402" s="63" t="s">
        <v>59</v>
      </c>
      <c r="O402" s="64" t="s">
        <v>886</v>
      </c>
      <c r="P402" s="63" t="s">
        <v>1099</v>
      </c>
      <c r="Q402" s="185">
        <f t="shared" si="48"/>
        <v>0</v>
      </c>
      <c r="R402" s="63">
        <v>1</v>
      </c>
      <c r="S402" s="240">
        <f>40020000-40020000</f>
        <v>0</v>
      </c>
      <c r="T402" s="63" t="s">
        <v>1096</v>
      </c>
      <c r="U402" s="111" t="s">
        <v>1037</v>
      </c>
      <c r="V402" s="176">
        <v>43297</v>
      </c>
      <c r="W402" s="189">
        <v>2</v>
      </c>
      <c r="X402" s="234"/>
      <c r="Y402" s="60"/>
      <c r="Z402" s="185"/>
      <c r="AA402" s="47"/>
      <c r="AB402" s="186"/>
      <c r="AC402" s="60"/>
      <c r="AD402" s="230"/>
      <c r="AE402" s="238">
        <f t="shared" si="47"/>
        <v>0</v>
      </c>
      <c r="AF402" s="186"/>
      <c r="AG402" s="60"/>
      <c r="AH402" s="230"/>
      <c r="AI402" s="64"/>
      <c r="AJ402" s="64"/>
      <c r="AK402" s="64"/>
      <c r="AL402" s="236"/>
      <c r="AM402" s="236">
        <f t="shared" si="43"/>
        <v>0</v>
      </c>
      <c r="AN402" s="64"/>
      <c r="AO402" s="231">
        <f t="shared" si="44"/>
        <v>0</v>
      </c>
      <c r="AP402" s="64"/>
      <c r="AQ402" s="64"/>
      <c r="AR402" s="64"/>
      <c r="AS402" s="64"/>
      <c r="AT402" s="64"/>
      <c r="AU402" s="64"/>
      <c r="AV402" s="64"/>
      <c r="AW402" s="220"/>
    </row>
    <row r="403" spans="1:49" s="221" customFormat="1" ht="270.75" x14ac:dyDescent="0.25">
      <c r="A403" s="173">
        <f t="shared" si="41"/>
        <v>37</v>
      </c>
      <c r="B403" s="173" t="s">
        <v>1100</v>
      </c>
      <c r="C403" s="173" t="s">
        <v>951</v>
      </c>
      <c r="D403" s="173" t="s">
        <v>952</v>
      </c>
      <c r="E403" s="173" t="s">
        <v>953</v>
      </c>
      <c r="F403" s="173" t="s">
        <v>425</v>
      </c>
      <c r="G403" s="173" t="s">
        <v>1017</v>
      </c>
      <c r="H403" s="175" t="s">
        <v>1018</v>
      </c>
      <c r="I403" s="173" t="s">
        <v>55</v>
      </c>
      <c r="J403" s="173" t="s">
        <v>56</v>
      </c>
      <c r="K403" s="173">
        <v>81111500</v>
      </c>
      <c r="L403" s="63" t="s">
        <v>954</v>
      </c>
      <c r="M403" s="63" t="s">
        <v>58</v>
      </c>
      <c r="N403" s="63" t="s">
        <v>59</v>
      </c>
      <c r="O403" s="64" t="s">
        <v>886</v>
      </c>
      <c r="P403" s="63" t="s">
        <v>1101</v>
      </c>
      <c r="Q403" s="185">
        <f t="shared" si="48"/>
        <v>4650000</v>
      </c>
      <c r="R403" s="63">
        <v>1</v>
      </c>
      <c r="S403" s="240">
        <v>27900000</v>
      </c>
      <c r="T403" s="63" t="s">
        <v>1096</v>
      </c>
      <c r="U403" s="111" t="s">
        <v>1037</v>
      </c>
      <c r="V403" s="176">
        <v>43374</v>
      </c>
      <c r="W403" s="189">
        <v>6</v>
      </c>
      <c r="X403" s="234"/>
      <c r="Y403" s="60"/>
      <c r="Z403" s="185"/>
      <c r="AA403" s="47"/>
      <c r="AB403" s="186"/>
      <c r="AC403" s="60"/>
      <c r="AD403" s="230"/>
      <c r="AE403" s="238">
        <f t="shared" si="47"/>
        <v>27900000</v>
      </c>
      <c r="AF403" s="186"/>
      <c r="AG403" s="60"/>
      <c r="AH403" s="230"/>
      <c r="AI403" s="64"/>
      <c r="AJ403" s="64"/>
      <c r="AK403" s="64"/>
      <c r="AL403" s="236"/>
      <c r="AM403" s="236">
        <f t="shared" si="43"/>
        <v>0</v>
      </c>
      <c r="AN403" s="64"/>
      <c r="AO403" s="231">
        <f t="shared" si="44"/>
        <v>27900000</v>
      </c>
      <c r="AP403" s="64"/>
      <c r="AQ403" s="64"/>
      <c r="AR403" s="64"/>
      <c r="AS403" s="64"/>
      <c r="AT403" s="64"/>
      <c r="AU403" s="64"/>
      <c r="AV403" s="64"/>
      <c r="AW403" s="220"/>
    </row>
    <row r="404" spans="1:49" s="221" customFormat="1" ht="228" x14ac:dyDescent="0.25">
      <c r="A404" s="173">
        <f t="shared" si="41"/>
        <v>38</v>
      </c>
      <c r="B404" s="173" t="s">
        <v>1102</v>
      </c>
      <c r="C404" s="173" t="s">
        <v>951</v>
      </c>
      <c r="D404" s="173" t="s">
        <v>952</v>
      </c>
      <c r="E404" s="173" t="s">
        <v>953</v>
      </c>
      <c r="F404" s="173" t="s">
        <v>425</v>
      </c>
      <c r="G404" s="173" t="s">
        <v>1017</v>
      </c>
      <c r="H404" s="175" t="s">
        <v>1018</v>
      </c>
      <c r="I404" s="173" t="s">
        <v>55</v>
      </c>
      <c r="J404" s="173" t="s">
        <v>56</v>
      </c>
      <c r="K404" s="173">
        <v>81111500</v>
      </c>
      <c r="L404" s="63" t="s">
        <v>954</v>
      </c>
      <c r="M404" s="63" t="s">
        <v>58</v>
      </c>
      <c r="N404" s="63" t="s">
        <v>59</v>
      </c>
      <c r="O404" s="64" t="s">
        <v>886</v>
      </c>
      <c r="P404" s="63" t="s">
        <v>1103</v>
      </c>
      <c r="Q404" s="185">
        <f t="shared" si="48"/>
        <v>0</v>
      </c>
      <c r="R404" s="63">
        <v>1</v>
      </c>
      <c r="S404" s="240">
        <f>1100000-1100000</f>
        <v>0</v>
      </c>
      <c r="T404" s="63" t="s">
        <v>1096</v>
      </c>
      <c r="U404" s="111" t="s">
        <v>445</v>
      </c>
      <c r="V404" s="176">
        <v>43248</v>
      </c>
      <c r="W404" s="189">
        <v>11.66</v>
      </c>
      <c r="X404" s="234"/>
      <c r="Y404" s="60"/>
      <c r="Z404" s="185"/>
      <c r="AA404" s="47"/>
      <c r="AB404" s="186"/>
      <c r="AC404" s="60"/>
      <c r="AD404" s="230"/>
      <c r="AE404" s="238">
        <f t="shared" si="47"/>
        <v>0</v>
      </c>
      <c r="AF404" s="186"/>
      <c r="AG404" s="60"/>
      <c r="AH404" s="230"/>
      <c r="AI404" s="64"/>
      <c r="AJ404" s="64"/>
      <c r="AK404" s="64"/>
      <c r="AL404" s="236"/>
      <c r="AM404" s="236">
        <f t="shared" si="43"/>
        <v>0</v>
      </c>
      <c r="AN404" s="64"/>
      <c r="AO404" s="231">
        <f t="shared" si="44"/>
        <v>0</v>
      </c>
      <c r="AP404" s="64"/>
      <c r="AQ404" s="64"/>
      <c r="AR404" s="64"/>
      <c r="AS404" s="64"/>
      <c r="AT404" s="64"/>
      <c r="AU404" s="64"/>
      <c r="AV404" s="64"/>
      <c r="AW404" s="220"/>
    </row>
    <row r="405" spans="1:49" s="221" customFormat="1" ht="228" x14ac:dyDescent="0.25">
      <c r="A405" s="173">
        <f t="shared" si="41"/>
        <v>39</v>
      </c>
      <c r="B405" s="173" t="s">
        <v>1104</v>
      </c>
      <c r="C405" s="173" t="s">
        <v>951</v>
      </c>
      <c r="D405" s="173" t="s">
        <v>952</v>
      </c>
      <c r="E405" s="173" t="s">
        <v>953</v>
      </c>
      <c r="F405" s="173" t="s">
        <v>425</v>
      </c>
      <c r="G405" s="173" t="s">
        <v>1017</v>
      </c>
      <c r="H405" s="175" t="s">
        <v>1018</v>
      </c>
      <c r="I405" s="173" t="s">
        <v>55</v>
      </c>
      <c r="J405" s="173" t="s">
        <v>56</v>
      </c>
      <c r="K405" s="173">
        <v>81111500</v>
      </c>
      <c r="L405" s="63" t="s">
        <v>954</v>
      </c>
      <c r="M405" s="63" t="s">
        <v>58</v>
      </c>
      <c r="N405" s="63" t="s">
        <v>59</v>
      </c>
      <c r="O405" s="64" t="s">
        <v>886</v>
      </c>
      <c r="P405" s="63" t="s">
        <v>1105</v>
      </c>
      <c r="Q405" s="185">
        <f t="shared" si="48"/>
        <v>0</v>
      </c>
      <c r="R405" s="63"/>
      <c r="S405" s="240">
        <f>11061045+24000000-35061045</f>
        <v>0</v>
      </c>
      <c r="T405" s="63" t="s">
        <v>1096</v>
      </c>
      <c r="U405" s="111" t="s">
        <v>445</v>
      </c>
      <c r="V405" s="176">
        <v>43313</v>
      </c>
      <c r="W405" s="189">
        <v>3</v>
      </c>
      <c r="X405" s="234"/>
      <c r="Y405" s="60"/>
      <c r="Z405" s="185"/>
      <c r="AA405" s="47"/>
      <c r="AB405" s="186"/>
      <c r="AC405" s="60"/>
      <c r="AD405" s="230"/>
      <c r="AE405" s="238">
        <f t="shared" si="47"/>
        <v>0</v>
      </c>
      <c r="AF405" s="186"/>
      <c r="AG405" s="60"/>
      <c r="AH405" s="230"/>
      <c r="AI405" s="64"/>
      <c r="AJ405" s="64"/>
      <c r="AK405" s="64"/>
      <c r="AL405" s="236"/>
      <c r="AM405" s="236">
        <f t="shared" si="43"/>
        <v>0</v>
      </c>
      <c r="AN405" s="64"/>
      <c r="AO405" s="231">
        <f t="shared" si="44"/>
        <v>0</v>
      </c>
      <c r="AP405" s="64"/>
      <c r="AQ405" s="64"/>
      <c r="AR405" s="64"/>
      <c r="AS405" s="64"/>
      <c r="AT405" s="64"/>
      <c r="AU405" s="64"/>
      <c r="AV405" s="64"/>
      <c r="AW405" s="220"/>
    </row>
    <row r="406" spans="1:49" s="221" customFormat="1" ht="228" x14ac:dyDescent="0.25">
      <c r="A406" s="173">
        <f t="shared" si="41"/>
        <v>40</v>
      </c>
      <c r="B406" s="173" t="s">
        <v>1106</v>
      </c>
      <c r="C406" s="173" t="s">
        <v>951</v>
      </c>
      <c r="D406" s="173" t="s">
        <v>952</v>
      </c>
      <c r="E406" s="173" t="s">
        <v>953</v>
      </c>
      <c r="F406" s="173" t="s">
        <v>425</v>
      </c>
      <c r="G406" s="173" t="s">
        <v>1017</v>
      </c>
      <c r="H406" s="175" t="s">
        <v>1018</v>
      </c>
      <c r="I406" s="173" t="s">
        <v>55</v>
      </c>
      <c r="J406" s="173" t="s">
        <v>56</v>
      </c>
      <c r="K406" s="173">
        <v>81111500</v>
      </c>
      <c r="L406" s="63" t="s">
        <v>954</v>
      </c>
      <c r="M406" s="63" t="s">
        <v>58</v>
      </c>
      <c r="N406" s="63" t="s">
        <v>59</v>
      </c>
      <c r="O406" s="64" t="s">
        <v>886</v>
      </c>
      <c r="P406" s="63" t="s">
        <v>1107</v>
      </c>
      <c r="Q406" s="185">
        <f t="shared" si="48"/>
        <v>3985255.4782608696</v>
      </c>
      <c r="R406" s="63"/>
      <c r="S406" s="240">
        <f>114056996+22681047+34555265+7735-44672045-376590-11666801-47678275-8339121-12737773</f>
        <v>45830438</v>
      </c>
      <c r="T406" s="63" t="s">
        <v>1096</v>
      </c>
      <c r="U406" s="111" t="s">
        <v>445</v>
      </c>
      <c r="V406" s="176">
        <v>43353</v>
      </c>
      <c r="W406" s="189">
        <v>11.5</v>
      </c>
      <c r="X406" s="234"/>
      <c r="Y406" s="60"/>
      <c r="Z406" s="185"/>
      <c r="AA406" s="47" t="s">
        <v>1108</v>
      </c>
      <c r="AB406" s="186"/>
      <c r="AC406" s="60"/>
      <c r="AD406" s="230"/>
      <c r="AE406" s="238">
        <f t="shared" si="47"/>
        <v>45830438</v>
      </c>
      <c r="AF406" s="186"/>
      <c r="AG406" s="60"/>
      <c r="AH406" s="230"/>
      <c r="AI406" s="64"/>
      <c r="AJ406" s="64"/>
      <c r="AK406" s="64"/>
      <c r="AL406" s="236"/>
      <c r="AM406" s="236">
        <f t="shared" si="43"/>
        <v>0</v>
      </c>
      <c r="AN406" s="64"/>
      <c r="AO406" s="231">
        <f t="shared" si="44"/>
        <v>45830438</v>
      </c>
      <c r="AP406" s="64"/>
      <c r="AQ406" s="64"/>
      <c r="AR406" s="64"/>
      <c r="AS406" s="64"/>
      <c r="AT406" s="64"/>
      <c r="AU406" s="64"/>
      <c r="AV406" s="64"/>
      <c r="AW406" s="220"/>
    </row>
    <row r="407" spans="1:49" s="221" customFormat="1" ht="356.25" x14ac:dyDescent="0.25">
      <c r="A407" s="173">
        <f t="shared" si="41"/>
        <v>41</v>
      </c>
      <c r="B407" s="173" t="s">
        <v>1109</v>
      </c>
      <c r="C407" s="173" t="s">
        <v>951</v>
      </c>
      <c r="D407" s="173" t="s">
        <v>952</v>
      </c>
      <c r="E407" s="173" t="s">
        <v>953</v>
      </c>
      <c r="F407" s="173" t="s">
        <v>425</v>
      </c>
      <c r="G407" s="173" t="s">
        <v>1017</v>
      </c>
      <c r="H407" s="175" t="s">
        <v>1018</v>
      </c>
      <c r="I407" s="173" t="s">
        <v>55</v>
      </c>
      <c r="J407" s="173" t="s">
        <v>56</v>
      </c>
      <c r="K407" s="173">
        <v>81111500</v>
      </c>
      <c r="L407" s="63" t="s">
        <v>954</v>
      </c>
      <c r="M407" s="63" t="s">
        <v>58</v>
      </c>
      <c r="N407" s="63" t="s">
        <v>59</v>
      </c>
      <c r="O407" s="64" t="s">
        <v>886</v>
      </c>
      <c r="P407" s="63" t="s">
        <v>1110</v>
      </c>
      <c r="Q407" s="185">
        <f t="shared" si="48"/>
        <v>8271686.666666667</v>
      </c>
      <c r="R407" s="63">
        <v>1</v>
      </c>
      <c r="S407" s="240">
        <f>700377+50516069-1962916+376590</f>
        <v>49630120</v>
      </c>
      <c r="T407" s="63" t="s">
        <v>1096</v>
      </c>
      <c r="U407" s="173" t="s">
        <v>1030</v>
      </c>
      <c r="V407" s="176">
        <v>43357</v>
      </c>
      <c r="W407" s="189">
        <v>6</v>
      </c>
      <c r="X407" s="234" t="s">
        <v>1111</v>
      </c>
      <c r="Y407" s="60">
        <v>43360</v>
      </c>
      <c r="Z407" s="185">
        <v>49630120</v>
      </c>
      <c r="AA407" s="47" t="s">
        <v>1112</v>
      </c>
      <c r="AB407" s="186">
        <v>1161</v>
      </c>
      <c r="AC407" s="60">
        <v>43360</v>
      </c>
      <c r="AD407" s="230">
        <v>49630120</v>
      </c>
      <c r="AE407" s="238">
        <f t="shared" ref="AE407:AE413" si="49">S407-AD407</f>
        <v>0</v>
      </c>
      <c r="AF407" s="186"/>
      <c r="AG407" s="60"/>
      <c r="AH407" s="230"/>
      <c r="AI407" s="64"/>
      <c r="AJ407" s="64">
        <v>430</v>
      </c>
      <c r="AK407" s="64"/>
      <c r="AL407" s="236"/>
      <c r="AM407" s="236">
        <f t="shared" si="43"/>
        <v>0</v>
      </c>
      <c r="AN407" s="64"/>
      <c r="AO407" s="231">
        <f t="shared" si="44"/>
        <v>49630120</v>
      </c>
      <c r="AP407" s="64"/>
      <c r="AQ407" s="64"/>
      <c r="AR407" s="64"/>
      <c r="AS407" s="64"/>
      <c r="AT407" s="64"/>
      <c r="AU407" s="64"/>
      <c r="AV407" s="64"/>
      <c r="AW407" s="220"/>
    </row>
    <row r="408" spans="1:49" s="221" customFormat="1" ht="270.75" x14ac:dyDescent="0.25">
      <c r="A408" s="173">
        <f t="shared" si="41"/>
        <v>42</v>
      </c>
      <c r="B408" s="173" t="s">
        <v>1113</v>
      </c>
      <c r="C408" s="173" t="s">
        <v>951</v>
      </c>
      <c r="D408" s="173" t="s">
        <v>952</v>
      </c>
      <c r="E408" s="173" t="s">
        <v>953</v>
      </c>
      <c r="F408" s="173" t="s">
        <v>52</v>
      </c>
      <c r="G408" s="173" t="s">
        <v>53</v>
      </c>
      <c r="H408" s="175" t="s">
        <v>884</v>
      </c>
      <c r="I408" s="173" t="s">
        <v>55</v>
      </c>
      <c r="J408" s="173" t="s">
        <v>56</v>
      </c>
      <c r="K408" s="173">
        <v>81111500</v>
      </c>
      <c r="L408" s="63" t="s">
        <v>954</v>
      </c>
      <c r="M408" s="63" t="s">
        <v>58</v>
      </c>
      <c r="N408" s="63" t="s">
        <v>59</v>
      </c>
      <c r="O408" s="64" t="s">
        <v>886</v>
      </c>
      <c r="P408" s="63" t="s">
        <v>1114</v>
      </c>
      <c r="Q408" s="185">
        <f t="shared" si="48"/>
        <v>3080462.9629629627</v>
      </c>
      <c r="R408" s="63">
        <v>1</v>
      </c>
      <c r="S408" s="239">
        <f>17965260-1330760</f>
        <v>16634500</v>
      </c>
      <c r="T408" s="63" t="s">
        <v>1096</v>
      </c>
      <c r="U408" s="111" t="s">
        <v>1037</v>
      </c>
      <c r="V408" s="176">
        <v>43299</v>
      </c>
      <c r="W408" s="189">
        <v>5.4</v>
      </c>
      <c r="X408" s="234" t="s">
        <v>1115</v>
      </c>
      <c r="Y408" s="60">
        <v>43299</v>
      </c>
      <c r="Z408" s="185">
        <v>17965260</v>
      </c>
      <c r="AA408" s="47"/>
      <c r="AB408" s="186">
        <v>990</v>
      </c>
      <c r="AC408" s="60">
        <v>43300</v>
      </c>
      <c r="AD408" s="230">
        <v>16634500</v>
      </c>
      <c r="AE408" s="238">
        <f t="shared" si="49"/>
        <v>0</v>
      </c>
      <c r="AF408" s="186">
        <v>2546</v>
      </c>
      <c r="AG408" s="60">
        <v>43308</v>
      </c>
      <c r="AH408" s="230">
        <v>16634500</v>
      </c>
      <c r="AI408" s="64" t="s">
        <v>1116</v>
      </c>
      <c r="AJ408" s="64"/>
      <c r="AK408" s="64"/>
      <c r="AL408" s="236">
        <v>3437796</v>
      </c>
      <c r="AM408" s="236">
        <f t="shared" si="43"/>
        <v>13196704</v>
      </c>
      <c r="AN408" s="64"/>
      <c r="AO408" s="231">
        <f t="shared" si="44"/>
        <v>0</v>
      </c>
      <c r="AP408" s="64"/>
      <c r="AQ408" s="64"/>
      <c r="AR408" s="64"/>
      <c r="AS408" s="64"/>
      <c r="AT408" s="64"/>
      <c r="AU408" s="64"/>
      <c r="AV408" s="64"/>
      <c r="AW408" s="220"/>
    </row>
    <row r="409" spans="1:49" s="221" customFormat="1" ht="285" x14ac:dyDescent="0.25">
      <c r="A409" s="173">
        <f t="shared" si="41"/>
        <v>43</v>
      </c>
      <c r="B409" s="173" t="s">
        <v>1117</v>
      </c>
      <c r="C409" s="173" t="s">
        <v>951</v>
      </c>
      <c r="D409" s="173" t="s">
        <v>952</v>
      </c>
      <c r="E409" s="173" t="s">
        <v>953</v>
      </c>
      <c r="F409" s="173" t="s">
        <v>52</v>
      </c>
      <c r="G409" s="173" t="s">
        <v>53</v>
      </c>
      <c r="H409" s="175" t="s">
        <v>884</v>
      </c>
      <c r="I409" s="173" t="s">
        <v>55</v>
      </c>
      <c r="J409" s="173" t="s">
        <v>56</v>
      </c>
      <c r="K409" s="173">
        <v>80111600</v>
      </c>
      <c r="L409" s="63" t="s">
        <v>954</v>
      </c>
      <c r="M409" s="63" t="s">
        <v>58</v>
      </c>
      <c r="N409" s="63" t="s">
        <v>59</v>
      </c>
      <c r="O409" s="64" t="s">
        <v>886</v>
      </c>
      <c r="P409" s="63" t="s">
        <v>1118</v>
      </c>
      <c r="Q409" s="185">
        <f t="shared" si="48"/>
        <v>4532000</v>
      </c>
      <c r="R409" s="63">
        <v>1</v>
      </c>
      <c r="S409" s="240">
        <f>721000+223167+339900+1330760+12133+39827+10929213</f>
        <v>13596000</v>
      </c>
      <c r="T409" s="63" t="s">
        <v>888</v>
      </c>
      <c r="U409" s="173" t="s">
        <v>445</v>
      </c>
      <c r="V409" s="176">
        <v>43357</v>
      </c>
      <c r="W409" s="189">
        <v>3</v>
      </c>
      <c r="X409" s="234" t="s">
        <v>1119</v>
      </c>
      <c r="Y409" s="60">
        <v>43357</v>
      </c>
      <c r="Z409" s="185">
        <v>13596000</v>
      </c>
      <c r="AA409" s="47"/>
      <c r="AB409" s="186">
        <v>1169</v>
      </c>
      <c r="AC409" s="60">
        <v>43363</v>
      </c>
      <c r="AD409" s="230">
        <v>13596000</v>
      </c>
      <c r="AE409" s="238">
        <f t="shared" si="49"/>
        <v>0</v>
      </c>
      <c r="AF409" s="186">
        <v>2937</v>
      </c>
      <c r="AG409" s="60">
        <v>43371</v>
      </c>
      <c r="AH409" s="230">
        <v>13596000</v>
      </c>
      <c r="AI409" s="64" t="s">
        <v>961</v>
      </c>
      <c r="AJ409" s="64"/>
      <c r="AK409" s="64"/>
      <c r="AL409" s="236"/>
      <c r="AM409" s="236">
        <f t="shared" si="43"/>
        <v>13596000</v>
      </c>
      <c r="AN409" s="64"/>
      <c r="AO409" s="231">
        <f t="shared" si="44"/>
        <v>0</v>
      </c>
      <c r="AP409" s="64"/>
      <c r="AQ409" s="64"/>
      <c r="AR409" s="64"/>
      <c r="AS409" s="64"/>
      <c r="AT409" s="64"/>
      <c r="AU409" s="64"/>
      <c r="AV409" s="64"/>
      <c r="AW409" s="220"/>
    </row>
    <row r="410" spans="1:49" s="221" customFormat="1" ht="285" x14ac:dyDescent="0.25">
      <c r="A410" s="173">
        <f t="shared" si="41"/>
        <v>44</v>
      </c>
      <c r="B410" s="173" t="s">
        <v>1120</v>
      </c>
      <c r="C410" s="173" t="s">
        <v>951</v>
      </c>
      <c r="D410" s="173" t="s">
        <v>952</v>
      </c>
      <c r="E410" s="173" t="s">
        <v>953</v>
      </c>
      <c r="F410" s="173" t="s">
        <v>425</v>
      </c>
      <c r="G410" s="173" t="s">
        <v>1017</v>
      </c>
      <c r="H410" s="175" t="s">
        <v>1018</v>
      </c>
      <c r="I410" s="173" t="s">
        <v>55</v>
      </c>
      <c r="J410" s="173" t="s">
        <v>56</v>
      </c>
      <c r="K410" s="173">
        <v>81111500</v>
      </c>
      <c r="L410" s="63" t="s">
        <v>954</v>
      </c>
      <c r="M410" s="63" t="s">
        <v>58</v>
      </c>
      <c r="N410" s="63" t="s">
        <v>59</v>
      </c>
      <c r="O410" s="64" t="s">
        <v>886</v>
      </c>
      <c r="P410" s="63" t="s">
        <v>1121</v>
      </c>
      <c r="Q410" s="185">
        <f t="shared" si="48"/>
        <v>2466554.1226215642</v>
      </c>
      <c r="R410" s="63">
        <v>1</v>
      </c>
      <c r="S410" s="240">
        <v>11666801</v>
      </c>
      <c r="T410" s="63" t="s">
        <v>1013</v>
      </c>
      <c r="U410" s="111" t="s">
        <v>1122</v>
      </c>
      <c r="V410" s="176">
        <v>43362</v>
      </c>
      <c r="W410" s="189">
        <v>4.7300000000000004</v>
      </c>
      <c r="X410" s="234" t="s">
        <v>1123</v>
      </c>
      <c r="Y410" s="60">
        <v>43362</v>
      </c>
      <c r="Z410" s="185">
        <v>11666801</v>
      </c>
      <c r="AA410" s="47" t="s">
        <v>1124</v>
      </c>
      <c r="AB410" s="186">
        <v>1180</v>
      </c>
      <c r="AC410" s="60">
        <v>43367</v>
      </c>
      <c r="AD410" s="230">
        <v>11666801</v>
      </c>
      <c r="AE410" s="238">
        <f t="shared" si="49"/>
        <v>0</v>
      </c>
      <c r="AF410" s="186"/>
      <c r="AG410" s="60"/>
      <c r="AH410" s="230"/>
      <c r="AI410" s="64"/>
      <c r="AJ410" s="64"/>
      <c r="AK410" s="64"/>
      <c r="AL410" s="236"/>
      <c r="AM410" s="236">
        <f t="shared" si="43"/>
        <v>0</v>
      </c>
      <c r="AN410" s="64"/>
      <c r="AO410" s="231">
        <f t="shared" si="44"/>
        <v>11666801</v>
      </c>
      <c r="AP410" s="64"/>
      <c r="AQ410" s="64"/>
      <c r="AR410" s="64"/>
      <c r="AS410" s="64"/>
      <c r="AT410" s="64"/>
      <c r="AU410" s="64"/>
      <c r="AV410" s="64"/>
      <c r="AW410" s="220"/>
    </row>
    <row r="411" spans="1:49" s="221" customFormat="1" ht="270.75" x14ac:dyDescent="0.25">
      <c r="A411" s="173">
        <f t="shared" si="41"/>
        <v>45</v>
      </c>
      <c r="B411" s="173" t="s">
        <v>1125</v>
      </c>
      <c r="C411" s="173" t="s">
        <v>951</v>
      </c>
      <c r="D411" s="173" t="s">
        <v>952</v>
      </c>
      <c r="E411" s="173" t="s">
        <v>953</v>
      </c>
      <c r="F411" s="173" t="s">
        <v>425</v>
      </c>
      <c r="G411" s="173" t="s">
        <v>1017</v>
      </c>
      <c r="H411" s="175" t="s">
        <v>1018</v>
      </c>
      <c r="I411" s="173" t="s">
        <v>55</v>
      </c>
      <c r="J411" s="173" t="s">
        <v>56</v>
      </c>
      <c r="K411" s="173">
        <v>81111500</v>
      </c>
      <c r="L411" s="63" t="s">
        <v>954</v>
      </c>
      <c r="M411" s="63" t="s">
        <v>58</v>
      </c>
      <c r="N411" s="63" t="s">
        <v>59</v>
      </c>
      <c r="O411" s="64" t="s">
        <v>886</v>
      </c>
      <c r="P411" s="63" t="s">
        <v>1126</v>
      </c>
      <c r="Q411" s="185">
        <f t="shared" si="48"/>
        <v>10079973.572938688</v>
      </c>
      <c r="R411" s="63">
        <v>1</v>
      </c>
      <c r="S411" s="240">
        <v>47678275</v>
      </c>
      <c r="T411" s="63" t="s">
        <v>1127</v>
      </c>
      <c r="U411" s="111" t="s">
        <v>1128</v>
      </c>
      <c r="V411" s="176">
        <v>43362</v>
      </c>
      <c r="W411" s="189">
        <v>4.7300000000000004</v>
      </c>
      <c r="X411" s="234" t="s">
        <v>1129</v>
      </c>
      <c r="Y411" s="60">
        <v>43362</v>
      </c>
      <c r="Z411" s="185">
        <v>47678275</v>
      </c>
      <c r="AA411" s="47" t="s">
        <v>1130</v>
      </c>
      <c r="AB411" s="186">
        <v>1179</v>
      </c>
      <c r="AC411" s="60">
        <v>43367</v>
      </c>
      <c r="AD411" s="230">
        <v>47678275</v>
      </c>
      <c r="AE411" s="238">
        <f t="shared" si="49"/>
        <v>0</v>
      </c>
      <c r="AF411" s="186">
        <v>2936</v>
      </c>
      <c r="AG411" s="60">
        <v>43371</v>
      </c>
      <c r="AH411" s="230">
        <v>47678275</v>
      </c>
      <c r="AI411" s="64" t="s">
        <v>1131</v>
      </c>
      <c r="AJ411" s="64"/>
      <c r="AK411" s="64"/>
      <c r="AL411" s="236"/>
      <c r="AM411" s="236">
        <f t="shared" si="43"/>
        <v>47678275</v>
      </c>
      <c r="AN411" s="64"/>
      <c r="AO411" s="231">
        <f t="shared" si="44"/>
        <v>0</v>
      </c>
      <c r="AP411" s="64"/>
      <c r="AQ411" s="64"/>
      <c r="AR411" s="64"/>
      <c r="AS411" s="64"/>
      <c r="AT411" s="64"/>
      <c r="AU411" s="64"/>
      <c r="AV411" s="64"/>
      <c r="AW411" s="220"/>
    </row>
    <row r="412" spans="1:49" s="221" customFormat="1" ht="327.75" x14ac:dyDescent="0.25">
      <c r="A412" s="173">
        <f t="shared" si="41"/>
        <v>46</v>
      </c>
      <c r="B412" s="173" t="s">
        <v>1132</v>
      </c>
      <c r="C412" s="173" t="s">
        <v>951</v>
      </c>
      <c r="D412" s="173" t="s">
        <v>952</v>
      </c>
      <c r="E412" s="173" t="s">
        <v>953</v>
      </c>
      <c r="F412" s="173" t="s">
        <v>425</v>
      </c>
      <c r="G412" s="173" t="s">
        <v>1017</v>
      </c>
      <c r="H412" s="175" t="s">
        <v>1018</v>
      </c>
      <c r="I412" s="173" t="s">
        <v>55</v>
      </c>
      <c r="J412" s="173" t="s">
        <v>56</v>
      </c>
      <c r="K412" s="173">
        <v>39121004</v>
      </c>
      <c r="L412" s="63" t="s">
        <v>954</v>
      </c>
      <c r="M412" s="63" t="s">
        <v>58</v>
      </c>
      <c r="N412" s="63" t="s">
        <v>59</v>
      </c>
      <c r="O412" s="64" t="s">
        <v>886</v>
      </c>
      <c r="P412" s="63" t="s">
        <v>1133</v>
      </c>
      <c r="Q412" s="185">
        <f t="shared" si="48"/>
        <v>1389853.5</v>
      </c>
      <c r="R412" s="63"/>
      <c r="S412" s="240">
        <v>8339121</v>
      </c>
      <c r="T412" s="63" t="s">
        <v>1134</v>
      </c>
      <c r="U412" s="111" t="s">
        <v>1122</v>
      </c>
      <c r="V412" s="176">
        <v>43369</v>
      </c>
      <c r="W412" s="189">
        <v>6</v>
      </c>
      <c r="X412" s="234" t="s">
        <v>1135</v>
      </c>
      <c r="Y412" s="176">
        <v>43369</v>
      </c>
      <c r="Z412" s="240">
        <v>8339121</v>
      </c>
      <c r="AA412" s="47" t="s">
        <v>1136</v>
      </c>
      <c r="AB412" s="186">
        <v>1200</v>
      </c>
      <c r="AC412" s="60">
        <v>43369</v>
      </c>
      <c r="AD412" s="230">
        <v>8339121</v>
      </c>
      <c r="AE412" s="238">
        <f t="shared" si="49"/>
        <v>0</v>
      </c>
      <c r="AF412" s="186"/>
      <c r="AG412" s="60"/>
      <c r="AH412" s="230"/>
      <c r="AI412" s="64"/>
      <c r="AJ412" s="64"/>
      <c r="AK412" s="64"/>
      <c r="AL412" s="236"/>
      <c r="AM412" s="236">
        <f t="shared" si="43"/>
        <v>0</v>
      </c>
      <c r="AN412" s="64"/>
      <c r="AO412" s="231">
        <f t="shared" si="44"/>
        <v>8339121</v>
      </c>
      <c r="AP412" s="64"/>
      <c r="AQ412" s="64"/>
      <c r="AR412" s="64"/>
      <c r="AS412" s="64"/>
      <c r="AT412" s="64"/>
      <c r="AU412" s="64"/>
      <c r="AV412" s="64"/>
      <c r="AW412" s="220"/>
    </row>
    <row r="413" spans="1:49" s="221" customFormat="1" ht="270.75" x14ac:dyDescent="0.25">
      <c r="A413" s="173">
        <f t="shared" si="41"/>
        <v>47</v>
      </c>
      <c r="B413" s="173" t="s">
        <v>1137</v>
      </c>
      <c r="C413" s="173" t="s">
        <v>951</v>
      </c>
      <c r="D413" s="173" t="s">
        <v>952</v>
      </c>
      <c r="E413" s="173" t="s">
        <v>953</v>
      </c>
      <c r="F413" s="173" t="s">
        <v>425</v>
      </c>
      <c r="G413" s="173" t="s">
        <v>1017</v>
      </c>
      <c r="H413" s="175" t="s">
        <v>1018</v>
      </c>
      <c r="I413" s="173" t="s">
        <v>55</v>
      </c>
      <c r="J413" s="173" t="s">
        <v>56</v>
      </c>
      <c r="K413" s="173">
        <v>81111500</v>
      </c>
      <c r="L413" s="63" t="s">
        <v>954</v>
      </c>
      <c r="M413" s="63" t="s">
        <v>58</v>
      </c>
      <c r="N413" s="63" t="s">
        <v>59</v>
      </c>
      <c r="O413" s="64" t="s">
        <v>886</v>
      </c>
      <c r="P413" s="63" t="s">
        <v>1138</v>
      </c>
      <c r="Q413" s="185">
        <f t="shared" si="48"/>
        <v>3325789.2950391644</v>
      </c>
      <c r="R413" s="63"/>
      <c r="S413" s="240">
        <v>12737773</v>
      </c>
      <c r="T413" s="63" t="s">
        <v>1127</v>
      </c>
      <c r="U413" s="111" t="s">
        <v>1128</v>
      </c>
      <c r="V413" s="176">
        <v>43370</v>
      </c>
      <c r="W413" s="189">
        <v>3.83</v>
      </c>
      <c r="X413" s="234" t="s">
        <v>1139</v>
      </c>
      <c r="Y413" s="60">
        <v>43344</v>
      </c>
      <c r="Z413" s="240">
        <v>12737773</v>
      </c>
      <c r="AA413" s="47" t="s">
        <v>1140</v>
      </c>
      <c r="AB413" s="186"/>
      <c r="AC413" s="60"/>
      <c r="AD413" s="230"/>
      <c r="AE413" s="238">
        <f t="shared" si="49"/>
        <v>12737773</v>
      </c>
      <c r="AF413" s="186"/>
      <c r="AG413" s="60"/>
      <c r="AH413" s="230"/>
      <c r="AI413" s="64"/>
      <c r="AJ413" s="64"/>
      <c r="AK413" s="64"/>
      <c r="AL413" s="236"/>
      <c r="AM413" s="236">
        <f t="shared" si="43"/>
        <v>0</v>
      </c>
      <c r="AN413" s="64"/>
      <c r="AO413" s="231">
        <f t="shared" si="44"/>
        <v>12737773</v>
      </c>
      <c r="AP413" s="64"/>
      <c r="AQ413" s="64"/>
      <c r="AR413" s="64"/>
      <c r="AS413" s="64"/>
      <c r="AT413" s="64"/>
      <c r="AU413" s="64"/>
      <c r="AV413" s="64"/>
      <c r="AW413" s="220"/>
    </row>
    <row r="414" spans="1:49" s="221" customFormat="1" x14ac:dyDescent="0.25">
      <c r="A414" s="220"/>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c r="AA414" s="220"/>
      <c r="AB414" s="220"/>
      <c r="AC414" s="220"/>
      <c r="AD414" s="220"/>
      <c r="AE414" s="220"/>
      <c r="AF414" s="220"/>
      <c r="AG414" s="220"/>
      <c r="AH414" s="220"/>
      <c r="AI414" s="220"/>
      <c r="AJ414" s="220"/>
      <c r="AK414" s="220"/>
      <c r="AL414" s="220"/>
      <c r="AM414" s="220"/>
      <c r="AN414" s="220"/>
      <c r="AO414" s="220"/>
      <c r="AP414" s="220"/>
      <c r="AQ414" s="220"/>
      <c r="AR414" s="220"/>
      <c r="AS414" s="220"/>
      <c r="AT414" s="220"/>
      <c r="AU414" s="220"/>
      <c r="AV414" s="220"/>
      <c r="AW414" s="220"/>
    </row>
    <row r="415" spans="1:49" s="221" customFormat="1" ht="409.5" x14ac:dyDescent="0.25">
      <c r="A415" s="63">
        <v>1</v>
      </c>
      <c r="B415" s="63" t="str">
        <f t="shared" ref="B415:B478" si="50">CONCATENATE("3075","-",A415)</f>
        <v>3075-1</v>
      </c>
      <c r="C415" s="76" t="s">
        <v>1141</v>
      </c>
      <c r="D415" s="76" t="s">
        <v>1142</v>
      </c>
      <c r="E415" s="76" t="s">
        <v>1143</v>
      </c>
      <c r="F415" s="76" t="s">
        <v>1144</v>
      </c>
      <c r="G415" s="77" t="s">
        <v>1145</v>
      </c>
      <c r="H415" s="78" t="s">
        <v>1146</v>
      </c>
      <c r="I415" s="76" t="s">
        <v>1147</v>
      </c>
      <c r="J415" s="76" t="s">
        <v>1148</v>
      </c>
      <c r="K415" s="76">
        <v>821016</v>
      </c>
      <c r="L415" s="63" t="s">
        <v>1149</v>
      </c>
      <c r="M415" s="63" t="s">
        <v>58</v>
      </c>
      <c r="N415" s="63" t="s">
        <v>59</v>
      </c>
      <c r="O415" s="76" t="s">
        <v>1150</v>
      </c>
      <c r="P415" s="76" t="s">
        <v>1151</v>
      </c>
      <c r="Q415" s="79">
        <v>162500000</v>
      </c>
      <c r="R415" s="63">
        <v>1</v>
      </c>
      <c r="S415" s="80">
        <f>81250000+81250000</f>
        <v>162500000</v>
      </c>
      <c r="T415" s="63"/>
      <c r="U415" s="63" t="s">
        <v>1152</v>
      </c>
      <c r="V415" s="81" t="s">
        <v>875</v>
      </c>
      <c r="W415" s="82">
        <v>3</v>
      </c>
      <c r="X415" s="63" t="s">
        <v>1153</v>
      </c>
      <c r="Y415" s="81">
        <v>43326</v>
      </c>
      <c r="Z415" s="83">
        <v>162500000</v>
      </c>
      <c r="AA415" s="84" t="s">
        <v>1154</v>
      </c>
      <c r="AB415" s="85">
        <v>1063</v>
      </c>
      <c r="AC415" s="81">
        <v>43327</v>
      </c>
      <c r="AD415" s="86">
        <v>162500000</v>
      </c>
      <c r="AE415" s="87">
        <f t="shared" ref="AE415:AE429" si="51">S415-Z415</f>
        <v>0</v>
      </c>
      <c r="AF415" s="85"/>
      <c r="AG415" s="81"/>
      <c r="AH415" s="86"/>
      <c r="AI415" s="63"/>
      <c r="AJ415" s="63"/>
      <c r="AK415" s="87">
        <f t="shared" ref="AK415:AK478" si="52">AD415-AH415</f>
        <v>162500000</v>
      </c>
      <c r="AL415" s="86">
        <v>0</v>
      </c>
      <c r="AM415" s="86">
        <f t="shared" ref="AM415:AM478" si="53">AH415-AL415</f>
        <v>0</v>
      </c>
      <c r="AN415" s="63" t="s">
        <v>1155</v>
      </c>
      <c r="AO415" s="86">
        <f t="shared" ref="AO415:AO478" si="54">S415-AH415</f>
        <v>162500000</v>
      </c>
      <c r="AP415" s="63"/>
      <c r="AQ415" s="81">
        <v>43326</v>
      </c>
      <c r="AR415" s="63" t="s">
        <v>1156</v>
      </c>
      <c r="AS415" s="81">
        <v>43326</v>
      </c>
      <c r="AT415" s="63" t="s">
        <v>1151</v>
      </c>
      <c r="AU415" s="220"/>
      <c r="AV415" s="220"/>
      <c r="AW415" s="220"/>
    </row>
    <row r="416" spans="1:49" s="221" customFormat="1" ht="256.5" x14ac:dyDescent="0.25">
      <c r="A416" s="63">
        <v>2</v>
      </c>
      <c r="B416" s="63" t="str">
        <f t="shared" si="50"/>
        <v>3075-2</v>
      </c>
      <c r="C416" s="76" t="s">
        <v>1141</v>
      </c>
      <c r="D416" s="76" t="s">
        <v>1142</v>
      </c>
      <c r="E416" s="76" t="s">
        <v>1143</v>
      </c>
      <c r="F416" s="76" t="s">
        <v>1144</v>
      </c>
      <c r="G416" s="77" t="s">
        <v>1145</v>
      </c>
      <c r="H416" s="78" t="s">
        <v>1146</v>
      </c>
      <c r="I416" s="76" t="s">
        <v>1147</v>
      </c>
      <c r="J416" s="76" t="s">
        <v>1148</v>
      </c>
      <c r="K416" s="76">
        <v>821016</v>
      </c>
      <c r="L416" s="63" t="s">
        <v>1149</v>
      </c>
      <c r="M416" s="63" t="s">
        <v>58</v>
      </c>
      <c r="N416" s="63" t="s">
        <v>59</v>
      </c>
      <c r="O416" s="76" t="s">
        <v>1150</v>
      </c>
      <c r="P416" s="76" t="s">
        <v>732</v>
      </c>
      <c r="Q416" s="79">
        <v>20312500</v>
      </c>
      <c r="R416" s="63">
        <v>1</v>
      </c>
      <c r="S416" s="80">
        <f>81250000-81250000</f>
        <v>0</v>
      </c>
      <c r="T416" s="63"/>
      <c r="U416" s="63"/>
      <c r="V416" s="81"/>
      <c r="W416" s="82"/>
      <c r="X416" s="63"/>
      <c r="Y416" s="81"/>
      <c r="Z416" s="83"/>
      <c r="AA416" s="84"/>
      <c r="AB416" s="85"/>
      <c r="AC416" s="81"/>
      <c r="AD416" s="86"/>
      <c r="AE416" s="87">
        <f t="shared" si="51"/>
        <v>0</v>
      </c>
      <c r="AF416" s="85"/>
      <c r="AG416" s="81"/>
      <c r="AH416" s="86"/>
      <c r="AI416" s="63"/>
      <c r="AJ416" s="63"/>
      <c r="AK416" s="87">
        <f t="shared" si="52"/>
        <v>0</v>
      </c>
      <c r="AL416" s="86">
        <v>0</v>
      </c>
      <c r="AM416" s="86">
        <f t="shared" si="53"/>
        <v>0</v>
      </c>
      <c r="AN416" s="63" t="s">
        <v>1155</v>
      </c>
      <c r="AO416" s="86">
        <f t="shared" si="54"/>
        <v>0</v>
      </c>
      <c r="AP416" s="63"/>
      <c r="AQ416" s="63"/>
      <c r="AR416" s="63" t="s">
        <v>1157</v>
      </c>
      <c r="AS416" s="63"/>
      <c r="AT416" s="63"/>
      <c r="AU416" s="220"/>
      <c r="AV416" s="220"/>
      <c r="AW416" s="220"/>
    </row>
    <row r="417" spans="1:49" s="221" customFormat="1" ht="199.5" x14ac:dyDescent="0.25">
      <c r="A417" s="63">
        <v>3</v>
      </c>
      <c r="B417" s="63" t="str">
        <f t="shared" si="50"/>
        <v>3075-3</v>
      </c>
      <c r="C417" s="76" t="s">
        <v>1141</v>
      </c>
      <c r="D417" s="76" t="s">
        <v>1142</v>
      </c>
      <c r="E417" s="76" t="s">
        <v>1143</v>
      </c>
      <c r="F417" s="76" t="s">
        <v>1158</v>
      </c>
      <c r="G417" s="88" t="s">
        <v>1159</v>
      </c>
      <c r="H417" s="78" t="s">
        <v>1160</v>
      </c>
      <c r="I417" s="76" t="s">
        <v>1147</v>
      </c>
      <c r="J417" s="76" t="s">
        <v>1148</v>
      </c>
      <c r="K417" s="76">
        <v>801116</v>
      </c>
      <c r="L417" s="63" t="s">
        <v>1149</v>
      </c>
      <c r="M417" s="63" t="s">
        <v>58</v>
      </c>
      <c r="N417" s="63" t="s">
        <v>59</v>
      </c>
      <c r="O417" s="63" t="s">
        <v>1161</v>
      </c>
      <c r="P417" s="76" t="s">
        <v>1162</v>
      </c>
      <c r="Q417" s="79">
        <v>185714285.7142857</v>
      </c>
      <c r="R417" s="63">
        <v>1</v>
      </c>
      <c r="S417" s="80">
        <f>1300000000-3531200-27192000-27192000-24720000-27192000-9270000-19961400-14832000-24720000-19961400-19961400-20394000-19961400-24720000-24720000-19961400-21321000-24720000-21321000-21321000-30220200-24720000-24720000-20394000-27192000-24720000-24720000-24720000-24720000-24720000-27192000-21321000-30220200-14883500-(24720000*8)-(27192000*3)-20880000-7762767-4085667-7762767-4085667-4085667-4085667-4085667-8291500-14420000-16823333-4085667</f>
        <v>158773531</v>
      </c>
      <c r="T417" s="63"/>
      <c r="U417" s="63" t="s">
        <v>1163</v>
      </c>
      <c r="V417" s="81" t="s">
        <v>1164</v>
      </c>
      <c r="W417" s="82">
        <v>7</v>
      </c>
      <c r="X417" s="63"/>
      <c r="Y417" s="89"/>
      <c r="Z417" s="83"/>
      <c r="AA417" s="84"/>
      <c r="AB417" s="85"/>
      <c r="AC417" s="81"/>
      <c r="AD417" s="86"/>
      <c r="AE417" s="87">
        <f t="shared" si="51"/>
        <v>158773531</v>
      </c>
      <c r="AF417" s="85"/>
      <c r="AG417" s="81"/>
      <c r="AH417" s="86"/>
      <c r="AI417" s="63"/>
      <c r="AJ417" s="63"/>
      <c r="AK417" s="87">
        <f t="shared" si="52"/>
        <v>0</v>
      </c>
      <c r="AL417" s="86">
        <v>0</v>
      </c>
      <c r="AM417" s="86">
        <f t="shared" si="53"/>
        <v>0</v>
      </c>
      <c r="AN417" s="63" t="s">
        <v>1155</v>
      </c>
      <c r="AO417" s="86">
        <f t="shared" si="54"/>
        <v>158773531</v>
      </c>
      <c r="AP417" s="63"/>
      <c r="AQ417" s="63"/>
      <c r="AR417" s="63"/>
      <c r="AS417" s="63"/>
      <c r="AT417" s="63"/>
      <c r="AU417" s="220"/>
      <c r="AV417" s="220"/>
      <c r="AW417" s="220"/>
    </row>
    <row r="418" spans="1:49" s="221" customFormat="1" ht="156.75" x14ac:dyDescent="0.25">
      <c r="A418" s="63">
        <v>4</v>
      </c>
      <c r="B418" s="63" t="str">
        <f t="shared" si="50"/>
        <v>3075-4</v>
      </c>
      <c r="C418" s="76" t="s">
        <v>1141</v>
      </c>
      <c r="D418" s="76" t="s">
        <v>1142</v>
      </c>
      <c r="E418" s="76" t="s">
        <v>1165</v>
      </c>
      <c r="F418" s="76" t="s">
        <v>1166</v>
      </c>
      <c r="G418" s="77" t="s">
        <v>1167</v>
      </c>
      <c r="H418" s="78" t="s">
        <v>1168</v>
      </c>
      <c r="I418" s="76" t="s">
        <v>1147</v>
      </c>
      <c r="J418" s="76" t="s">
        <v>1148</v>
      </c>
      <c r="K418" s="76" t="s">
        <v>439</v>
      </c>
      <c r="L418" s="63" t="s">
        <v>1149</v>
      </c>
      <c r="M418" s="63" t="s">
        <v>58</v>
      </c>
      <c r="N418" s="63" t="s">
        <v>59</v>
      </c>
      <c r="O418" s="76" t="s">
        <v>1169</v>
      </c>
      <c r="P418" s="63" t="s">
        <v>1170</v>
      </c>
      <c r="Q418" s="79">
        <v>6017434.7999999998</v>
      </c>
      <c r="R418" s="63">
        <v>30</v>
      </c>
      <c r="S418" s="80">
        <f>180523044-4536000-95276430-7733250-7392000-22194000-12438274</f>
        <v>30953090</v>
      </c>
      <c r="T418" s="63" t="s">
        <v>1171</v>
      </c>
      <c r="U418" s="63" t="s">
        <v>1171</v>
      </c>
      <c r="V418" s="81" t="s">
        <v>1023</v>
      </c>
      <c r="W418" s="82" t="s">
        <v>439</v>
      </c>
      <c r="X418" s="90" t="s">
        <v>1172</v>
      </c>
      <c r="Y418" s="89">
        <v>43209</v>
      </c>
      <c r="Z418" s="83">
        <v>30953090</v>
      </c>
      <c r="AA418" s="84" t="s">
        <v>439</v>
      </c>
      <c r="AB418" s="85">
        <v>802</v>
      </c>
      <c r="AC418" s="81">
        <v>43210</v>
      </c>
      <c r="AD418" s="86">
        <v>30953090</v>
      </c>
      <c r="AE418" s="87">
        <f t="shared" si="51"/>
        <v>0</v>
      </c>
      <c r="AF418" s="85">
        <v>1864</v>
      </c>
      <c r="AG418" s="81">
        <v>43227</v>
      </c>
      <c r="AH418" s="86">
        <v>30953090</v>
      </c>
      <c r="AI418" s="63" t="s">
        <v>1173</v>
      </c>
      <c r="AJ418" s="63">
        <v>2007</v>
      </c>
      <c r="AK418" s="87">
        <f t="shared" si="52"/>
        <v>0</v>
      </c>
      <c r="AL418" s="86">
        <v>30953090</v>
      </c>
      <c r="AM418" s="86">
        <f t="shared" si="53"/>
        <v>0</v>
      </c>
      <c r="AN418" s="63" t="s">
        <v>1155</v>
      </c>
      <c r="AO418" s="86">
        <f t="shared" si="54"/>
        <v>0</v>
      </c>
      <c r="AP418" s="63"/>
      <c r="AQ418" s="81">
        <v>43209</v>
      </c>
      <c r="AR418" s="63" t="s">
        <v>1156</v>
      </c>
      <c r="AS418" s="81">
        <v>43209</v>
      </c>
      <c r="AT418" s="63"/>
      <c r="AU418" s="220"/>
      <c r="AV418" s="220"/>
      <c r="AW418" s="220"/>
    </row>
    <row r="419" spans="1:49" s="221" customFormat="1" ht="156.75" x14ac:dyDescent="0.25">
      <c r="A419" s="63">
        <v>5</v>
      </c>
      <c r="B419" s="63" t="str">
        <f t="shared" si="50"/>
        <v>3075-5</v>
      </c>
      <c r="C419" s="76" t="s">
        <v>1141</v>
      </c>
      <c r="D419" s="76" t="s">
        <v>1142</v>
      </c>
      <c r="E419" s="76" t="s">
        <v>1174</v>
      </c>
      <c r="F419" s="76" t="s">
        <v>1175</v>
      </c>
      <c r="G419" s="77" t="s">
        <v>1176</v>
      </c>
      <c r="H419" s="78" t="s">
        <v>1177</v>
      </c>
      <c r="I419" s="76" t="s">
        <v>1147</v>
      </c>
      <c r="J419" s="76" t="s">
        <v>1178</v>
      </c>
      <c r="K419" s="76" t="s">
        <v>439</v>
      </c>
      <c r="L419" s="63" t="s">
        <v>1149</v>
      </c>
      <c r="M419" s="63" t="s">
        <v>58</v>
      </c>
      <c r="N419" s="63" t="s">
        <v>59</v>
      </c>
      <c r="O419" s="76" t="s">
        <v>1169</v>
      </c>
      <c r="P419" s="76" t="s">
        <v>1179</v>
      </c>
      <c r="Q419" s="79">
        <v>4766856.1818181816</v>
      </c>
      <c r="R419" s="63">
        <v>11</v>
      </c>
      <c r="S419" s="80">
        <f>52435418-8741700-480610-4151008</f>
        <v>39062100</v>
      </c>
      <c r="T419" s="63" t="s">
        <v>1171</v>
      </c>
      <c r="U419" s="63" t="s">
        <v>1171</v>
      </c>
      <c r="V419" s="81" t="s">
        <v>411</v>
      </c>
      <c r="W419" s="82" t="s">
        <v>439</v>
      </c>
      <c r="X419" s="90" t="s">
        <v>1180</v>
      </c>
      <c r="Y419" s="89">
        <v>43180</v>
      </c>
      <c r="Z419" s="83">
        <v>39062100</v>
      </c>
      <c r="AA419" s="84" t="s">
        <v>439</v>
      </c>
      <c r="AB419" s="85">
        <v>760</v>
      </c>
      <c r="AC419" s="81">
        <v>43182</v>
      </c>
      <c r="AD419" s="86">
        <v>39062100</v>
      </c>
      <c r="AE419" s="87">
        <f t="shared" si="51"/>
        <v>0</v>
      </c>
      <c r="AF419" s="85">
        <v>1793</v>
      </c>
      <c r="AG419" s="81">
        <v>43203</v>
      </c>
      <c r="AH419" s="86">
        <v>39062100</v>
      </c>
      <c r="AI419" s="63" t="s">
        <v>1181</v>
      </c>
      <c r="AJ419" s="63">
        <v>1863</v>
      </c>
      <c r="AK419" s="87">
        <f t="shared" si="52"/>
        <v>0</v>
      </c>
      <c r="AL419" s="86">
        <v>39062100</v>
      </c>
      <c r="AM419" s="86">
        <f t="shared" si="53"/>
        <v>0</v>
      </c>
      <c r="AN419" s="63" t="s">
        <v>1155</v>
      </c>
      <c r="AO419" s="86">
        <f t="shared" si="54"/>
        <v>0</v>
      </c>
      <c r="AP419" s="63"/>
      <c r="AQ419" s="81">
        <v>43179</v>
      </c>
      <c r="AR419" s="63" t="s">
        <v>1156</v>
      </c>
      <c r="AS419" s="81">
        <v>43180</v>
      </c>
      <c r="AT419" s="63"/>
      <c r="AU419" s="220"/>
      <c r="AV419" s="220"/>
      <c r="AW419" s="220"/>
    </row>
    <row r="420" spans="1:49" s="221" customFormat="1" ht="156.75" x14ac:dyDescent="0.25">
      <c r="A420" s="63">
        <v>6</v>
      </c>
      <c r="B420" s="63" t="str">
        <f t="shared" si="50"/>
        <v>3075-6</v>
      </c>
      <c r="C420" s="76" t="s">
        <v>1141</v>
      </c>
      <c r="D420" s="76" t="s">
        <v>1142</v>
      </c>
      <c r="E420" s="76" t="s">
        <v>1174</v>
      </c>
      <c r="F420" s="76" t="s">
        <v>1175</v>
      </c>
      <c r="G420" s="77" t="s">
        <v>1176</v>
      </c>
      <c r="H420" s="78" t="s">
        <v>1177</v>
      </c>
      <c r="I420" s="76" t="s">
        <v>1147</v>
      </c>
      <c r="J420" s="76" t="s">
        <v>1182</v>
      </c>
      <c r="K420" s="76" t="s">
        <v>439</v>
      </c>
      <c r="L420" s="63" t="s">
        <v>1149</v>
      </c>
      <c r="M420" s="63" t="s">
        <v>58</v>
      </c>
      <c r="N420" s="63" t="s">
        <v>59</v>
      </c>
      <c r="O420" s="76" t="s">
        <v>1169</v>
      </c>
      <c r="P420" s="76" t="s">
        <v>1183</v>
      </c>
      <c r="Q420" s="79">
        <v>59747265.486725666</v>
      </c>
      <c r="R420" s="63">
        <v>113</v>
      </c>
      <c r="S420" s="80">
        <f>322658000-138036400-39062100-35479385-(39062100*2)+7106185</f>
        <v>39062100</v>
      </c>
      <c r="T420" s="63" t="s">
        <v>1171</v>
      </c>
      <c r="U420" s="63" t="s">
        <v>1171</v>
      </c>
      <c r="V420" s="81" t="s">
        <v>411</v>
      </c>
      <c r="W420" s="82" t="s">
        <v>439</v>
      </c>
      <c r="X420" s="63" t="s">
        <v>1184</v>
      </c>
      <c r="Y420" s="89">
        <v>43195</v>
      </c>
      <c r="Z420" s="83">
        <v>39062100</v>
      </c>
      <c r="AA420" s="84" t="s">
        <v>1185</v>
      </c>
      <c r="AB420" s="85">
        <v>773</v>
      </c>
      <c r="AC420" s="81">
        <v>43201</v>
      </c>
      <c r="AD420" s="86">
        <v>39062100</v>
      </c>
      <c r="AE420" s="87">
        <f t="shared" si="51"/>
        <v>0</v>
      </c>
      <c r="AF420" s="85">
        <v>1844</v>
      </c>
      <c r="AG420" s="81">
        <v>43216</v>
      </c>
      <c r="AH420" s="86">
        <v>39062100</v>
      </c>
      <c r="AI420" s="63" t="s">
        <v>1186</v>
      </c>
      <c r="AJ420" s="63">
        <v>1934</v>
      </c>
      <c r="AK420" s="87">
        <f t="shared" si="52"/>
        <v>0</v>
      </c>
      <c r="AL420" s="86">
        <v>0</v>
      </c>
      <c r="AM420" s="86">
        <f t="shared" si="53"/>
        <v>39062100</v>
      </c>
      <c r="AN420" s="63" t="s">
        <v>1155</v>
      </c>
      <c r="AO420" s="86">
        <f t="shared" si="54"/>
        <v>0</v>
      </c>
      <c r="AP420" s="63"/>
      <c r="AQ420" s="81">
        <v>43195</v>
      </c>
      <c r="AR420" s="63" t="s">
        <v>1156</v>
      </c>
      <c r="AS420" s="81">
        <v>43195</v>
      </c>
      <c r="AT420" s="63"/>
      <c r="AU420" s="220"/>
      <c r="AV420" s="220"/>
      <c r="AW420" s="220"/>
    </row>
    <row r="421" spans="1:49" s="221" customFormat="1" ht="228" x14ac:dyDescent="0.25">
      <c r="A421" s="63">
        <v>7</v>
      </c>
      <c r="B421" s="63" t="str">
        <f t="shared" si="50"/>
        <v>3075-7</v>
      </c>
      <c r="C421" s="76" t="s">
        <v>1141</v>
      </c>
      <c r="D421" s="76" t="s">
        <v>1142</v>
      </c>
      <c r="E421" s="76" t="s">
        <v>1174</v>
      </c>
      <c r="F421" s="76" t="s">
        <v>1175</v>
      </c>
      <c r="G421" s="77" t="s">
        <v>1176</v>
      </c>
      <c r="H421" s="78" t="s">
        <v>1177</v>
      </c>
      <c r="I421" s="76" t="s">
        <v>1147</v>
      </c>
      <c r="J421" s="76" t="s">
        <v>1148</v>
      </c>
      <c r="K421" s="76" t="s">
        <v>439</v>
      </c>
      <c r="L421" s="63" t="s">
        <v>1149</v>
      </c>
      <c r="M421" s="63" t="s">
        <v>58</v>
      </c>
      <c r="N421" s="63" t="s">
        <v>59</v>
      </c>
      <c r="O421" s="76" t="s">
        <v>1169</v>
      </c>
      <c r="P421" s="76" t="s">
        <v>1187</v>
      </c>
      <c r="Q421" s="79">
        <v>507680.3046357616</v>
      </c>
      <c r="R421" s="63">
        <v>151</v>
      </c>
      <c r="S421" s="80">
        <f>76659726+29475000-26169080-39062100-942246+25211940-25211940</f>
        <v>39961300</v>
      </c>
      <c r="T421" s="63" t="s">
        <v>1171</v>
      </c>
      <c r="U421" s="63" t="s">
        <v>1171</v>
      </c>
      <c r="V421" s="81" t="s">
        <v>844</v>
      </c>
      <c r="W421" s="82" t="s">
        <v>439</v>
      </c>
      <c r="X421" s="63" t="s">
        <v>1188</v>
      </c>
      <c r="Y421" s="81">
        <v>43273</v>
      </c>
      <c r="Z421" s="83">
        <v>39961300</v>
      </c>
      <c r="AA421" s="84" t="s">
        <v>439</v>
      </c>
      <c r="AB421" s="85">
        <v>911</v>
      </c>
      <c r="AC421" s="81">
        <v>43276</v>
      </c>
      <c r="AD421" s="86">
        <v>39961300</v>
      </c>
      <c r="AE421" s="87">
        <f t="shared" si="51"/>
        <v>0</v>
      </c>
      <c r="AF421" s="85">
        <v>2462</v>
      </c>
      <c r="AG421" s="81">
        <v>43292</v>
      </c>
      <c r="AH421" s="86">
        <v>39961300</v>
      </c>
      <c r="AI421" s="63" t="s">
        <v>1189</v>
      </c>
      <c r="AJ421" s="63">
        <v>2836</v>
      </c>
      <c r="AK421" s="87">
        <f t="shared" si="52"/>
        <v>0</v>
      </c>
      <c r="AL421" s="86">
        <v>0</v>
      </c>
      <c r="AM421" s="86">
        <f t="shared" si="53"/>
        <v>39961300</v>
      </c>
      <c r="AN421" s="63" t="s">
        <v>1155</v>
      </c>
      <c r="AO421" s="86">
        <f t="shared" si="54"/>
        <v>0</v>
      </c>
      <c r="AP421" s="63" t="s">
        <v>1190</v>
      </c>
      <c r="AQ421" s="81">
        <v>43272</v>
      </c>
      <c r="AR421" s="63" t="s">
        <v>1156</v>
      </c>
      <c r="AS421" s="81">
        <v>43273</v>
      </c>
      <c r="AT421" s="63" t="s">
        <v>1187</v>
      </c>
      <c r="AU421" s="220"/>
      <c r="AV421" s="220"/>
      <c r="AW421" s="220"/>
    </row>
    <row r="422" spans="1:49" s="221" customFormat="1" ht="228" x14ac:dyDescent="0.25">
      <c r="A422" s="63">
        <v>8</v>
      </c>
      <c r="B422" s="63" t="str">
        <f t="shared" si="50"/>
        <v>3075-8</v>
      </c>
      <c r="C422" s="76" t="s">
        <v>1141</v>
      </c>
      <c r="D422" s="76" t="s">
        <v>1142</v>
      </c>
      <c r="E422" s="76" t="s">
        <v>1174</v>
      </c>
      <c r="F422" s="76" t="s">
        <v>1175</v>
      </c>
      <c r="G422" s="77" t="s">
        <v>1176</v>
      </c>
      <c r="H422" s="78" t="s">
        <v>1177</v>
      </c>
      <c r="I422" s="76" t="s">
        <v>1191</v>
      </c>
      <c r="J422" s="76" t="s">
        <v>1192</v>
      </c>
      <c r="K422" s="76" t="s">
        <v>439</v>
      </c>
      <c r="L422" s="63" t="s">
        <v>1149</v>
      </c>
      <c r="M422" s="63" t="s">
        <v>58</v>
      </c>
      <c r="N422" s="63" t="s">
        <v>59</v>
      </c>
      <c r="O422" s="76" t="s">
        <v>1169</v>
      </c>
      <c r="P422" s="76" t="s">
        <v>1193</v>
      </c>
      <c r="Q422" s="79">
        <v>39062100</v>
      </c>
      <c r="R422" s="63">
        <v>1</v>
      </c>
      <c r="S422" s="80">
        <f>161329000-39062100-39062100-(39062100*2)+33981500</f>
        <v>39062100</v>
      </c>
      <c r="T422" s="63" t="s">
        <v>1171</v>
      </c>
      <c r="U422" s="63" t="s">
        <v>1171</v>
      </c>
      <c r="V422" s="81" t="s">
        <v>844</v>
      </c>
      <c r="W422" s="82" t="s">
        <v>439</v>
      </c>
      <c r="X422" s="90" t="s">
        <v>1194</v>
      </c>
      <c r="Y422" s="81">
        <v>43265</v>
      </c>
      <c r="Z422" s="83">
        <v>39062100</v>
      </c>
      <c r="AA422" s="84" t="s">
        <v>1195</v>
      </c>
      <c r="AB422" s="85">
        <v>899</v>
      </c>
      <c r="AC422" s="81">
        <v>43269</v>
      </c>
      <c r="AD422" s="86">
        <v>39062100</v>
      </c>
      <c r="AE422" s="87">
        <f t="shared" si="51"/>
        <v>0</v>
      </c>
      <c r="AF422" s="85">
        <v>2415</v>
      </c>
      <c r="AG422" s="81">
        <v>43284</v>
      </c>
      <c r="AH422" s="86">
        <v>39062100</v>
      </c>
      <c r="AI422" s="63" t="s">
        <v>1196</v>
      </c>
      <c r="AJ422" s="63">
        <v>2820</v>
      </c>
      <c r="AK422" s="87">
        <f t="shared" si="52"/>
        <v>0</v>
      </c>
      <c r="AL422" s="86">
        <v>39062100</v>
      </c>
      <c r="AM422" s="86">
        <f t="shared" si="53"/>
        <v>0</v>
      </c>
      <c r="AN422" s="63" t="s">
        <v>1155</v>
      </c>
      <c r="AO422" s="86">
        <f t="shared" si="54"/>
        <v>0</v>
      </c>
      <c r="AP422" s="63"/>
      <c r="AQ422" s="81">
        <v>43264</v>
      </c>
      <c r="AR422" s="63" t="s">
        <v>1156</v>
      </c>
      <c r="AS422" s="81">
        <v>43265</v>
      </c>
      <c r="AT422" s="63" t="s">
        <v>1193</v>
      </c>
      <c r="AU422" s="220"/>
      <c r="AV422" s="220"/>
      <c r="AW422" s="220"/>
    </row>
    <row r="423" spans="1:49" s="221" customFormat="1" ht="171" x14ac:dyDescent="0.25">
      <c r="A423" s="63">
        <v>9</v>
      </c>
      <c r="B423" s="63" t="str">
        <f t="shared" si="50"/>
        <v>3075-9</v>
      </c>
      <c r="C423" s="76" t="s">
        <v>1141</v>
      </c>
      <c r="D423" s="76" t="s">
        <v>1142</v>
      </c>
      <c r="E423" s="76" t="s">
        <v>1197</v>
      </c>
      <c r="F423" s="76" t="s">
        <v>1175</v>
      </c>
      <c r="G423" s="77" t="s">
        <v>1176</v>
      </c>
      <c r="H423" s="78" t="s">
        <v>1198</v>
      </c>
      <c r="I423" s="76" t="s">
        <v>1147</v>
      </c>
      <c r="J423" s="76" t="s">
        <v>1148</v>
      </c>
      <c r="K423" s="76" t="s">
        <v>439</v>
      </c>
      <c r="L423" s="63" t="s">
        <v>1149</v>
      </c>
      <c r="M423" s="63" t="s">
        <v>58</v>
      </c>
      <c r="N423" s="63" t="s">
        <v>59</v>
      </c>
      <c r="O423" s="76" t="s">
        <v>1199</v>
      </c>
      <c r="P423" s="76" t="s">
        <v>1200</v>
      </c>
      <c r="Q423" s="79">
        <v>500055.84642233857</v>
      </c>
      <c r="R423" s="63">
        <v>1146</v>
      </c>
      <c r="S423" s="80">
        <v>3433736127</v>
      </c>
      <c r="T423" s="63" t="s">
        <v>1171</v>
      </c>
      <c r="U423" s="63" t="s">
        <v>1171</v>
      </c>
      <c r="V423" s="81" t="s">
        <v>493</v>
      </c>
      <c r="W423" s="82" t="s">
        <v>439</v>
      </c>
      <c r="X423" s="91" t="s">
        <v>1201</v>
      </c>
      <c r="Y423" s="81">
        <v>43109</v>
      </c>
      <c r="Z423" s="83">
        <v>3433736127</v>
      </c>
      <c r="AA423" s="84" t="s">
        <v>439</v>
      </c>
      <c r="AB423" s="85">
        <v>395</v>
      </c>
      <c r="AC423" s="81">
        <v>43110</v>
      </c>
      <c r="AD423" s="86">
        <v>3433736127</v>
      </c>
      <c r="AE423" s="87">
        <f t="shared" si="51"/>
        <v>0</v>
      </c>
      <c r="AF423" s="85" t="s">
        <v>1202</v>
      </c>
      <c r="AG423" s="81" t="s">
        <v>1202</v>
      </c>
      <c r="AH423" s="86">
        <v>3212551058</v>
      </c>
      <c r="AI423" s="63" t="s">
        <v>1202</v>
      </c>
      <c r="AJ423" s="63" t="s">
        <v>1202</v>
      </c>
      <c r="AK423" s="87">
        <f t="shared" si="52"/>
        <v>221185069</v>
      </c>
      <c r="AL423" s="86">
        <v>2474833790</v>
      </c>
      <c r="AM423" s="86">
        <f t="shared" si="53"/>
        <v>737717268</v>
      </c>
      <c r="AN423" s="63" t="s">
        <v>1155</v>
      </c>
      <c r="AO423" s="86">
        <f t="shared" si="54"/>
        <v>221185069</v>
      </c>
      <c r="AP423" s="63"/>
      <c r="AQ423" s="63"/>
      <c r="AR423" s="63"/>
      <c r="AS423" s="63"/>
      <c r="AT423" s="63"/>
      <c r="AU423" s="220"/>
      <c r="AV423" s="220"/>
      <c r="AW423" s="220"/>
    </row>
    <row r="424" spans="1:49" s="221" customFormat="1" ht="327.75" x14ac:dyDescent="0.25">
      <c r="A424" s="63">
        <v>10</v>
      </c>
      <c r="B424" s="63" t="str">
        <f t="shared" si="50"/>
        <v>3075-10</v>
      </c>
      <c r="C424" s="76" t="s">
        <v>1141</v>
      </c>
      <c r="D424" s="76" t="s">
        <v>1142</v>
      </c>
      <c r="E424" s="76" t="s">
        <v>1143</v>
      </c>
      <c r="F424" s="76" t="s">
        <v>1203</v>
      </c>
      <c r="G424" s="88" t="s">
        <v>1204</v>
      </c>
      <c r="H424" s="92" t="s">
        <v>1205</v>
      </c>
      <c r="I424" s="76" t="s">
        <v>1147</v>
      </c>
      <c r="J424" s="76" t="s">
        <v>1148</v>
      </c>
      <c r="K424" s="93" t="s">
        <v>439</v>
      </c>
      <c r="L424" s="63" t="s">
        <v>1149</v>
      </c>
      <c r="M424" s="63" t="s">
        <v>58</v>
      </c>
      <c r="N424" s="63" t="s">
        <v>59</v>
      </c>
      <c r="O424" s="76" t="s">
        <v>1199</v>
      </c>
      <c r="P424" s="76" t="s">
        <v>1206</v>
      </c>
      <c r="Q424" s="83">
        <v>59220487</v>
      </c>
      <c r="R424" s="63">
        <v>1</v>
      </c>
      <c r="S424" s="80">
        <f>10000000+49220487</f>
        <v>59220487</v>
      </c>
      <c r="T424" s="63" t="s">
        <v>1207</v>
      </c>
      <c r="U424" s="63" t="s">
        <v>1163</v>
      </c>
      <c r="V424" s="81" t="s">
        <v>1208</v>
      </c>
      <c r="W424" s="82">
        <v>6</v>
      </c>
      <c r="X424" s="63" t="s">
        <v>1209</v>
      </c>
      <c r="Y424" s="89">
        <v>43270</v>
      </c>
      <c r="Z424" s="83">
        <v>59220487</v>
      </c>
      <c r="AA424" s="84" t="s">
        <v>1210</v>
      </c>
      <c r="AB424" s="85">
        <v>907</v>
      </c>
      <c r="AC424" s="81">
        <v>43271</v>
      </c>
      <c r="AD424" s="86">
        <v>59220487</v>
      </c>
      <c r="AE424" s="87">
        <f t="shared" si="51"/>
        <v>0</v>
      </c>
      <c r="AF424" s="85">
        <v>2404</v>
      </c>
      <c r="AG424" s="81">
        <v>43280</v>
      </c>
      <c r="AH424" s="86">
        <v>59220487</v>
      </c>
      <c r="AI424" s="63" t="s">
        <v>1211</v>
      </c>
      <c r="AJ424" s="63">
        <v>436</v>
      </c>
      <c r="AK424" s="87">
        <f t="shared" si="52"/>
        <v>0</v>
      </c>
      <c r="AL424" s="86">
        <v>0</v>
      </c>
      <c r="AM424" s="86">
        <f t="shared" si="53"/>
        <v>59220487</v>
      </c>
      <c r="AN424" s="63" t="s">
        <v>1155</v>
      </c>
      <c r="AO424" s="86">
        <f t="shared" si="54"/>
        <v>0</v>
      </c>
      <c r="AP424" s="63" t="s">
        <v>1212</v>
      </c>
      <c r="AQ424" s="81">
        <v>43270</v>
      </c>
      <c r="AR424" s="63" t="s">
        <v>1156</v>
      </c>
      <c r="AS424" s="81">
        <v>43270</v>
      </c>
      <c r="AT424" s="76" t="s">
        <v>1206</v>
      </c>
      <c r="AU424" s="220"/>
      <c r="AV424" s="220"/>
      <c r="AW424" s="220"/>
    </row>
    <row r="425" spans="1:49" s="221" customFormat="1" ht="270.75" x14ac:dyDescent="0.25">
      <c r="A425" s="63">
        <v>11</v>
      </c>
      <c r="B425" s="63" t="str">
        <f t="shared" si="50"/>
        <v>3075-11</v>
      </c>
      <c r="C425" s="76" t="s">
        <v>1141</v>
      </c>
      <c r="D425" s="76" t="s">
        <v>1142</v>
      </c>
      <c r="E425" s="76" t="s">
        <v>1143</v>
      </c>
      <c r="F425" s="76" t="s">
        <v>1158</v>
      </c>
      <c r="G425" s="77" t="s">
        <v>1159</v>
      </c>
      <c r="H425" s="78" t="s">
        <v>1160</v>
      </c>
      <c r="I425" s="76" t="s">
        <v>1147</v>
      </c>
      <c r="J425" s="76" t="s">
        <v>1148</v>
      </c>
      <c r="K425" s="76">
        <v>801116</v>
      </c>
      <c r="L425" s="63" t="s">
        <v>1149</v>
      </c>
      <c r="M425" s="63" t="s">
        <v>58</v>
      </c>
      <c r="N425" s="63" t="s">
        <v>59</v>
      </c>
      <c r="O425" s="76" t="s">
        <v>1213</v>
      </c>
      <c r="P425" s="76" t="s">
        <v>1214</v>
      </c>
      <c r="Q425" s="83">
        <v>216666666.66666666</v>
      </c>
      <c r="R425" s="63">
        <v>1</v>
      </c>
      <c r="S425" s="80">
        <f>2600000000-15106667-18467900-12198633-19261000-19261000-19261000-5665000-12198633-30213333-18467900-12360000-11252750-6286184</f>
        <v>2400000000</v>
      </c>
      <c r="T425" s="63" t="s">
        <v>1215</v>
      </c>
      <c r="U425" s="63" t="s">
        <v>1163</v>
      </c>
      <c r="V425" s="81" t="s">
        <v>1216</v>
      </c>
      <c r="W425" s="82">
        <v>12</v>
      </c>
      <c r="X425" s="63" t="s">
        <v>1217</v>
      </c>
      <c r="Y425" s="81">
        <v>43111</v>
      </c>
      <c r="Z425" s="83">
        <f>2600000000-15106667-18467900-12198633-19261000-19261000-19261000-5665000-12198633-30213333-18467900-12360000-11252750</f>
        <v>2406286184</v>
      </c>
      <c r="AA425" s="84" t="s">
        <v>439</v>
      </c>
      <c r="AB425" s="85">
        <v>483</v>
      </c>
      <c r="AC425" s="81">
        <v>43112</v>
      </c>
      <c r="AD425" s="86">
        <v>2400000000</v>
      </c>
      <c r="AE425" s="87">
        <f t="shared" si="51"/>
        <v>-6286184</v>
      </c>
      <c r="AF425" s="85" t="s">
        <v>1202</v>
      </c>
      <c r="AG425" s="81" t="s">
        <v>1202</v>
      </c>
      <c r="AH425" s="86">
        <v>1451837006</v>
      </c>
      <c r="AI425" s="86" t="s">
        <v>1202</v>
      </c>
      <c r="AJ425" s="86" t="s">
        <v>1202</v>
      </c>
      <c r="AK425" s="87">
        <f t="shared" si="52"/>
        <v>948162994</v>
      </c>
      <c r="AL425" s="86">
        <v>1451837006</v>
      </c>
      <c r="AM425" s="86">
        <f t="shared" si="53"/>
        <v>0</v>
      </c>
      <c r="AN425" s="63" t="s">
        <v>1155</v>
      </c>
      <c r="AO425" s="86">
        <f t="shared" si="54"/>
        <v>948162994</v>
      </c>
      <c r="AP425" s="63" t="s">
        <v>1218</v>
      </c>
      <c r="AQ425" s="63"/>
      <c r="AR425" s="63"/>
      <c r="AS425" s="63"/>
      <c r="AT425" s="63"/>
      <c r="AU425" s="220"/>
      <c r="AV425" s="220"/>
      <c r="AW425" s="220"/>
    </row>
    <row r="426" spans="1:49" s="221" customFormat="1" ht="242.25" x14ac:dyDescent="0.25">
      <c r="A426" s="63">
        <v>12</v>
      </c>
      <c r="B426" s="63" t="str">
        <f t="shared" si="50"/>
        <v>3075-12</v>
      </c>
      <c r="C426" s="76" t="s">
        <v>1141</v>
      </c>
      <c r="D426" s="76" t="s">
        <v>1142</v>
      </c>
      <c r="E426" s="76" t="s">
        <v>1143</v>
      </c>
      <c r="F426" s="76" t="s">
        <v>1158</v>
      </c>
      <c r="G426" s="77" t="s">
        <v>1159</v>
      </c>
      <c r="H426" s="78" t="s">
        <v>1160</v>
      </c>
      <c r="I426" s="76" t="s">
        <v>1147</v>
      </c>
      <c r="J426" s="76" t="s">
        <v>1148</v>
      </c>
      <c r="K426" s="76">
        <v>801116</v>
      </c>
      <c r="L426" s="63" t="s">
        <v>1149</v>
      </c>
      <c r="M426" s="63" t="s">
        <v>58</v>
      </c>
      <c r="N426" s="63" t="s">
        <v>59</v>
      </c>
      <c r="O426" s="76" t="s">
        <v>1213</v>
      </c>
      <c r="P426" s="94" t="s">
        <v>1219</v>
      </c>
      <c r="Q426" s="83">
        <v>1545000</v>
      </c>
      <c r="R426" s="63">
        <v>3</v>
      </c>
      <c r="S426" s="80">
        <v>16995000</v>
      </c>
      <c r="T426" s="63" t="s">
        <v>928</v>
      </c>
      <c r="U426" s="63" t="s">
        <v>1163</v>
      </c>
      <c r="V426" s="81" t="s">
        <v>64</v>
      </c>
      <c r="W426" s="82">
        <v>9.3330000000000002</v>
      </c>
      <c r="X426" s="63" t="s">
        <v>1220</v>
      </c>
      <c r="Y426" s="81">
        <v>43102</v>
      </c>
      <c r="Z426" s="83">
        <v>16995000</v>
      </c>
      <c r="AA426" s="84" t="s">
        <v>439</v>
      </c>
      <c r="AB426" s="85">
        <v>391</v>
      </c>
      <c r="AC426" s="81">
        <v>43110</v>
      </c>
      <c r="AD426" s="86">
        <v>16995000</v>
      </c>
      <c r="AE426" s="87">
        <f t="shared" si="51"/>
        <v>0</v>
      </c>
      <c r="AF426" s="85">
        <v>145</v>
      </c>
      <c r="AG426" s="81">
        <v>43117</v>
      </c>
      <c r="AH426" s="86">
        <v>16995000</v>
      </c>
      <c r="AI426" s="63" t="s">
        <v>1221</v>
      </c>
      <c r="AJ426" s="63">
        <v>153</v>
      </c>
      <c r="AK426" s="87">
        <f t="shared" si="52"/>
        <v>0</v>
      </c>
      <c r="AL426" s="86">
        <v>11484500</v>
      </c>
      <c r="AM426" s="86">
        <f t="shared" si="53"/>
        <v>5510500</v>
      </c>
      <c r="AN426" s="63" t="s">
        <v>1155</v>
      </c>
      <c r="AO426" s="86">
        <f t="shared" si="54"/>
        <v>0</v>
      </c>
      <c r="AP426" s="63"/>
      <c r="AQ426" s="63"/>
      <c r="AR426" s="63"/>
      <c r="AS426" s="63"/>
      <c r="AT426" s="63"/>
      <c r="AU426" s="220"/>
      <c r="AV426" s="220"/>
      <c r="AW426" s="220"/>
    </row>
    <row r="427" spans="1:49" s="221" customFormat="1" ht="299.25" x14ac:dyDescent="0.25">
      <c r="A427" s="63">
        <v>13</v>
      </c>
      <c r="B427" s="63" t="str">
        <f t="shared" si="50"/>
        <v>3075-13</v>
      </c>
      <c r="C427" s="76" t="s">
        <v>1141</v>
      </c>
      <c r="D427" s="76" t="s">
        <v>1142</v>
      </c>
      <c r="E427" s="76" t="s">
        <v>1143</v>
      </c>
      <c r="F427" s="76" t="s">
        <v>1158</v>
      </c>
      <c r="G427" s="77" t="s">
        <v>1159</v>
      </c>
      <c r="H427" s="78" t="s">
        <v>1160</v>
      </c>
      <c r="I427" s="76" t="s">
        <v>1147</v>
      </c>
      <c r="J427" s="76" t="s">
        <v>1148</v>
      </c>
      <c r="K427" s="76">
        <v>801116</v>
      </c>
      <c r="L427" s="63" t="s">
        <v>1149</v>
      </c>
      <c r="M427" s="63" t="s">
        <v>58</v>
      </c>
      <c r="N427" s="63" t="s">
        <v>59</v>
      </c>
      <c r="O427" s="76" t="s">
        <v>1213</v>
      </c>
      <c r="P427" s="76" t="s">
        <v>1222</v>
      </c>
      <c r="Q427" s="83">
        <v>10300000</v>
      </c>
      <c r="R427" s="63">
        <v>1</v>
      </c>
      <c r="S427" s="80">
        <f>115301139-2001139</f>
        <v>113300000</v>
      </c>
      <c r="T427" s="63" t="s">
        <v>888</v>
      </c>
      <c r="U427" s="63" t="s">
        <v>1163</v>
      </c>
      <c r="V427" s="81" t="s">
        <v>64</v>
      </c>
      <c r="W427" s="82">
        <v>11</v>
      </c>
      <c r="X427" s="63" t="s">
        <v>1223</v>
      </c>
      <c r="Y427" s="81">
        <v>43103</v>
      </c>
      <c r="Z427" s="83">
        <v>113300000</v>
      </c>
      <c r="AA427" s="84" t="s">
        <v>439</v>
      </c>
      <c r="AB427" s="85">
        <v>317</v>
      </c>
      <c r="AC427" s="81">
        <v>43110</v>
      </c>
      <c r="AD427" s="86">
        <v>113300000</v>
      </c>
      <c r="AE427" s="87">
        <f t="shared" si="51"/>
        <v>0</v>
      </c>
      <c r="AF427" s="85">
        <v>25</v>
      </c>
      <c r="AG427" s="81">
        <v>43115</v>
      </c>
      <c r="AH427" s="86">
        <v>113300000</v>
      </c>
      <c r="AI427" s="63" t="s">
        <v>1224</v>
      </c>
      <c r="AJ427" s="63">
        <v>22</v>
      </c>
      <c r="AK427" s="87">
        <f t="shared" si="52"/>
        <v>0</v>
      </c>
      <c r="AL427" s="86">
        <v>77593333</v>
      </c>
      <c r="AM427" s="86">
        <f t="shared" si="53"/>
        <v>35706667</v>
      </c>
      <c r="AN427" s="63" t="s">
        <v>1155</v>
      </c>
      <c r="AO427" s="86">
        <f t="shared" si="54"/>
        <v>0</v>
      </c>
      <c r="AP427" s="63"/>
      <c r="AQ427" s="63"/>
      <c r="AR427" s="63"/>
      <c r="AS427" s="63"/>
      <c r="AT427" s="63"/>
      <c r="AU427" s="220"/>
      <c r="AV427" s="220"/>
      <c r="AW427" s="220"/>
    </row>
    <row r="428" spans="1:49" s="221" customFormat="1" ht="299.25" x14ac:dyDescent="0.25">
      <c r="A428" s="63">
        <v>14</v>
      </c>
      <c r="B428" s="63" t="str">
        <f t="shared" si="50"/>
        <v>3075-14</v>
      </c>
      <c r="C428" s="76" t="s">
        <v>1141</v>
      </c>
      <c r="D428" s="76" t="s">
        <v>1142</v>
      </c>
      <c r="E428" s="76" t="s">
        <v>1143</v>
      </c>
      <c r="F428" s="76" t="s">
        <v>1158</v>
      </c>
      <c r="G428" s="77" t="s">
        <v>1159</v>
      </c>
      <c r="H428" s="78" t="s">
        <v>1160</v>
      </c>
      <c r="I428" s="76" t="s">
        <v>1147</v>
      </c>
      <c r="J428" s="76" t="s">
        <v>1148</v>
      </c>
      <c r="K428" s="76">
        <v>801116</v>
      </c>
      <c r="L428" s="63" t="s">
        <v>1149</v>
      </c>
      <c r="M428" s="63" t="s">
        <v>58</v>
      </c>
      <c r="N428" s="63" t="s">
        <v>59</v>
      </c>
      <c r="O428" s="76" t="s">
        <v>1213</v>
      </c>
      <c r="P428" s="76" t="s">
        <v>1225</v>
      </c>
      <c r="Q428" s="83">
        <v>10300000</v>
      </c>
      <c r="R428" s="63">
        <v>1</v>
      </c>
      <c r="S428" s="80">
        <v>118450000</v>
      </c>
      <c r="T428" s="63" t="s">
        <v>888</v>
      </c>
      <c r="U428" s="63" t="s">
        <v>1163</v>
      </c>
      <c r="V428" s="81" t="s">
        <v>64</v>
      </c>
      <c r="W428" s="82">
        <v>11.5</v>
      </c>
      <c r="X428" s="63" t="s">
        <v>1226</v>
      </c>
      <c r="Y428" s="81">
        <v>43103</v>
      </c>
      <c r="Z428" s="83">
        <v>118450000</v>
      </c>
      <c r="AA428" s="84" t="s">
        <v>439</v>
      </c>
      <c r="AB428" s="85">
        <v>362</v>
      </c>
      <c r="AC428" s="81">
        <v>43110</v>
      </c>
      <c r="AD428" s="86">
        <v>118450000</v>
      </c>
      <c r="AE428" s="87">
        <f t="shared" si="51"/>
        <v>0</v>
      </c>
      <c r="AF428" s="85">
        <v>420</v>
      </c>
      <c r="AG428" s="81">
        <v>43124</v>
      </c>
      <c r="AH428" s="86">
        <v>118450000</v>
      </c>
      <c r="AI428" s="63" t="s">
        <v>1227</v>
      </c>
      <c r="AJ428" s="63">
        <v>365</v>
      </c>
      <c r="AK428" s="87">
        <f t="shared" si="52"/>
        <v>0</v>
      </c>
      <c r="AL428" s="86">
        <v>74160000</v>
      </c>
      <c r="AM428" s="86">
        <f t="shared" si="53"/>
        <v>44290000</v>
      </c>
      <c r="AN428" s="63" t="s">
        <v>1155</v>
      </c>
      <c r="AO428" s="86">
        <f t="shared" si="54"/>
        <v>0</v>
      </c>
      <c r="AP428" s="63"/>
      <c r="AQ428" s="63"/>
      <c r="AR428" s="63"/>
      <c r="AS428" s="63"/>
      <c r="AT428" s="63"/>
      <c r="AU428" s="220"/>
      <c r="AV428" s="220"/>
      <c r="AW428" s="220"/>
    </row>
    <row r="429" spans="1:49" s="221" customFormat="1" ht="285" x14ac:dyDescent="0.25">
      <c r="A429" s="63">
        <v>15</v>
      </c>
      <c r="B429" s="63" t="str">
        <f t="shared" si="50"/>
        <v>3075-15</v>
      </c>
      <c r="C429" s="76" t="s">
        <v>1141</v>
      </c>
      <c r="D429" s="76" t="s">
        <v>1142</v>
      </c>
      <c r="E429" s="76" t="s">
        <v>1143</v>
      </c>
      <c r="F429" s="76" t="s">
        <v>1158</v>
      </c>
      <c r="G429" s="77" t="s">
        <v>1159</v>
      </c>
      <c r="H429" s="78" t="s">
        <v>1160</v>
      </c>
      <c r="I429" s="76" t="s">
        <v>1147</v>
      </c>
      <c r="J429" s="76" t="s">
        <v>1148</v>
      </c>
      <c r="K429" s="76">
        <v>801116</v>
      </c>
      <c r="L429" s="63" t="s">
        <v>1149</v>
      </c>
      <c r="M429" s="63" t="s">
        <v>58</v>
      </c>
      <c r="N429" s="63" t="s">
        <v>59</v>
      </c>
      <c r="O429" s="76" t="s">
        <v>1213</v>
      </c>
      <c r="P429" s="76" t="s">
        <v>1228</v>
      </c>
      <c r="Q429" s="83">
        <v>5036700</v>
      </c>
      <c r="R429" s="63">
        <v>1</v>
      </c>
      <c r="S429" s="80">
        <v>55403700</v>
      </c>
      <c r="T429" s="63" t="s">
        <v>888</v>
      </c>
      <c r="U429" s="63" t="s">
        <v>1163</v>
      </c>
      <c r="V429" s="81" t="s">
        <v>64</v>
      </c>
      <c r="W429" s="82">
        <v>11</v>
      </c>
      <c r="X429" s="63" t="s">
        <v>1229</v>
      </c>
      <c r="Y429" s="81">
        <v>43103</v>
      </c>
      <c r="Z429" s="83">
        <v>55403700</v>
      </c>
      <c r="AA429" s="84" t="s">
        <v>439</v>
      </c>
      <c r="AB429" s="85">
        <v>322</v>
      </c>
      <c r="AC429" s="81">
        <v>43110</v>
      </c>
      <c r="AD429" s="86">
        <v>55403700</v>
      </c>
      <c r="AE429" s="87">
        <f t="shared" si="51"/>
        <v>0</v>
      </c>
      <c r="AF429" s="85">
        <v>351</v>
      </c>
      <c r="AG429" s="81">
        <v>43123</v>
      </c>
      <c r="AH429" s="86">
        <v>55403700</v>
      </c>
      <c r="AI429" s="63" t="s">
        <v>1230</v>
      </c>
      <c r="AJ429" s="63">
        <v>297</v>
      </c>
      <c r="AK429" s="87">
        <f t="shared" si="52"/>
        <v>0</v>
      </c>
      <c r="AL429" s="86">
        <v>34753230</v>
      </c>
      <c r="AM429" s="86">
        <f t="shared" si="53"/>
        <v>20650470</v>
      </c>
      <c r="AN429" s="63" t="s">
        <v>1155</v>
      </c>
      <c r="AO429" s="86">
        <f t="shared" si="54"/>
        <v>0</v>
      </c>
      <c r="AP429" s="63"/>
      <c r="AQ429" s="63"/>
      <c r="AR429" s="63"/>
      <c r="AS429" s="63"/>
      <c r="AT429" s="63"/>
      <c r="AU429" s="220"/>
      <c r="AV429" s="220"/>
      <c r="AW429" s="220"/>
    </row>
    <row r="430" spans="1:49" s="221" customFormat="1" ht="285" x14ac:dyDescent="0.25">
      <c r="A430" s="63">
        <v>16</v>
      </c>
      <c r="B430" s="63" t="str">
        <f t="shared" si="50"/>
        <v>3075-16</v>
      </c>
      <c r="C430" s="76" t="s">
        <v>1141</v>
      </c>
      <c r="D430" s="76" t="s">
        <v>1142</v>
      </c>
      <c r="E430" s="76" t="s">
        <v>1143</v>
      </c>
      <c r="F430" s="76" t="s">
        <v>1158</v>
      </c>
      <c r="G430" s="77" t="s">
        <v>1159</v>
      </c>
      <c r="H430" s="78" t="s">
        <v>1160</v>
      </c>
      <c r="I430" s="76" t="s">
        <v>1147</v>
      </c>
      <c r="J430" s="76" t="s">
        <v>1148</v>
      </c>
      <c r="K430" s="76">
        <v>801116</v>
      </c>
      <c r="L430" s="63" t="s">
        <v>1149</v>
      </c>
      <c r="M430" s="63" t="s">
        <v>58</v>
      </c>
      <c r="N430" s="63" t="s">
        <v>59</v>
      </c>
      <c r="O430" s="76" t="s">
        <v>1213</v>
      </c>
      <c r="P430" s="76" t="s">
        <v>1231</v>
      </c>
      <c r="Q430" s="83">
        <v>7210000</v>
      </c>
      <c r="R430" s="63">
        <v>1</v>
      </c>
      <c r="S430" s="80">
        <f>79310000-11371200-16903860-11139606</f>
        <v>39895334</v>
      </c>
      <c r="T430" s="63" t="s">
        <v>888</v>
      </c>
      <c r="U430" s="63" t="s">
        <v>1163</v>
      </c>
      <c r="V430" s="81" t="s">
        <v>64</v>
      </c>
      <c r="W430" s="82">
        <v>11</v>
      </c>
      <c r="X430" s="63" t="s">
        <v>1232</v>
      </c>
      <c r="Y430" s="81">
        <v>43103</v>
      </c>
      <c r="Z430" s="83">
        <f>79310000-39414666</f>
        <v>39895334</v>
      </c>
      <c r="AA430" s="84" t="s">
        <v>439</v>
      </c>
      <c r="AB430" s="85">
        <v>336</v>
      </c>
      <c r="AC430" s="81">
        <v>43110</v>
      </c>
      <c r="AD430" s="86">
        <v>39895334</v>
      </c>
      <c r="AE430" s="87">
        <f>AD430-Z430</f>
        <v>0</v>
      </c>
      <c r="AF430" s="85">
        <v>356</v>
      </c>
      <c r="AG430" s="81">
        <v>43123</v>
      </c>
      <c r="AH430" s="86">
        <v>39895334</v>
      </c>
      <c r="AI430" s="63" t="s">
        <v>1233</v>
      </c>
      <c r="AJ430" s="63">
        <v>354</v>
      </c>
      <c r="AK430" s="87">
        <f t="shared" si="52"/>
        <v>0</v>
      </c>
      <c r="AL430" s="86">
        <v>39895334</v>
      </c>
      <c r="AM430" s="86">
        <f t="shared" si="53"/>
        <v>0</v>
      </c>
      <c r="AN430" s="63" t="s">
        <v>1155</v>
      </c>
      <c r="AO430" s="86">
        <f t="shared" si="54"/>
        <v>0</v>
      </c>
      <c r="AP430" s="63"/>
      <c r="AQ430" s="63"/>
      <c r="AR430" s="63"/>
      <c r="AS430" s="63"/>
      <c r="AT430" s="63"/>
      <c r="AU430" s="220"/>
      <c r="AV430" s="220"/>
      <c r="AW430" s="220"/>
    </row>
    <row r="431" spans="1:49" s="221" customFormat="1" ht="342" x14ac:dyDescent="0.25">
      <c r="A431" s="63">
        <v>17</v>
      </c>
      <c r="B431" s="63" t="str">
        <f t="shared" si="50"/>
        <v>3075-17</v>
      </c>
      <c r="C431" s="76" t="s">
        <v>1141</v>
      </c>
      <c r="D431" s="76" t="s">
        <v>1142</v>
      </c>
      <c r="E431" s="76" t="s">
        <v>1143</v>
      </c>
      <c r="F431" s="76" t="s">
        <v>1158</v>
      </c>
      <c r="G431" s="77" t="s">
        <v>1159</v>
      </c>
      <c r="H431" s="78" t="s">
        <v>1160</v>
      </c>
      <c r="I431" s="76" t="s">
        <v>1147</v>
      </c>
      <c r="J431" s="76" t="s">
        <v>1148</v>
      </c>
      <c r="K431" s="76">
        <v>801116</v>
      </c>
      <c r="L431" s="63" t="s">
        <v>1149</v>
      </c>
      <c r="M431" s="63" t="s">
        <v>58</v>
      </c>
      <c r="N431" s="63" t="s">
        <v>59</v>
      </c>
      <c r="O431" s="76" t="s">
        <v>1213</v>
      </c>
      <c r="P431" s="76" t="s">
        <v>1234</v>
      </c>
      <c r="Q431" s="83">
        <v>10300000</v>
      </c>
      <c r="R431" s="63">
        <v>1</v>
      </c>
      <c r="S431" s="80">
        <v>113300000</v>
      </c>
      <c r="T431" s="63" t="s">
        <v>888</v>
      </c>
      <c r="U431" s="63" t="s">
        <v>1163</v>
      </c>
      <c r="V431" s="81" t="s">
        <v>64</v>
      </c>
      <c r="W431" s="82">
        <v>11</v>
      </c>
      <c r="X431" s="63" t="s">
        <v>1235</v>
      </c>
      <c r="Y431" s="81">
        <v>43103</v>
      </c>
      <c r="Z431" s="83">
        <v>113300000</v>
      </c>
      <c r="AA431" s="84" t="s">
        <v>1236</v>
      </c>
      <c r="AB431" s="85">
        <v>321</v>
      </c>
      <c r="AC431" s="81">
        <v>43110</v>
      </c>
      <c r="AD431" s="86">
        <v>113300000</v>
      </c>
      <c r="AE431" s="87">
        <f t="shared" ref="AE431:AE494" si="55">S431-Z431</f>
        <v>0</v>
      </c>
      <c r="AF431" s="85">
        <v>158</v>
      </c>
      <c r="AG431" s="81">
        <v>43118</v>
      </c>
      <c r="AH431" s="86">
        <v>113300000</v>
      </c>
      <c r="AI431" s="63" t="s">
        <v>1237</v>
      </c>
      <c r="AJ431" s="63">
        <v>109</v>
      </c>
      <c r="AK431" s="87">
        <f t="shared" si="52"/>
        <v>0</v>
      </c>
      <c r="AL431" s="86">
        <v>76563333</v>
      </c>
      <c r="AM431" s="86">
        <f t="shared" si="53"/>
        <v>36736667</v>
      </c>
      <c r="AN431" s="63" t="s">
        <v>1155</v>
      </c>
      <c r="AO431" s="86">
        <f t="shared" si="54"/>
        <v>0</v>
      </c>
      <c r="AP431" s="63"/>
      <c r="AQ431" s="63"/>
      <c r="AR431" s="63"/>
      <c r="AS431" s="63"/>
      <c r="AT431" s="63"/>
      <c r="AU431" s="220"/>
      <c r="AV431" s="220"/>
      <c r="AW431" s="220"/>
    </row>
    <row r="432" spans="1:49" s="221" customFormat="1" ht="199.5" x14ac:dyDescent="0.25">
      <c r="A432" s="63">
        <v>18</v>
      </c>
      <c r="B432" s="63" t="str">
        <f t="shared" si="50"/>
        <v>3075-18</v>
      </c>
      <c r="C432" s="76" t="s">
        <v>1141</v>
      </c>
      <c r="D432" s="76" t="s">
        <v>1142</v>
      </c>
      <c r="E432" s="76" t="s">
        <v>1143</v>
      </c>
      <c r="F432" s="76" t="s">
        <v>1158</v>
      </c>
      <c r="G432" s="77" t="s">
        <v>1159</v>
      </c>
      <c r="H432" s="78" t="s">
        <v>1160</v>
      </c>
      <c r="I432" s="76" t="s">
        <v>1147</v>
      </c>
      <c r="J432" s="76" t="s">
        <v>1148</v>
      </c>
      <c r="K432" s="76">
        <v>801116</v>
      </c>
      <c r="L432" s="63" t="s">
        <v>1149</v>
      </c>
      <c r="M432" s="63" t="s">
        <v>58</v>
      </c>
      <c r="N432" s="63" t="s">
        <v>59</v>
      </c>
      <c r="O432" s="76" t="s">
        <v>1213</v>
      </c>
      <c r="P432" s="76" t="s">
        <v>1238</v>
      </c>
      <c r="Q432" s="83">
        <v>3399000</v>
      </c>
      <c r="R432" s="63">
        <v>1</v>
      </c>
      <c r="S432" s="80">
        <v>20394000</v>
      </c>
      <c r="T432" s="63" t="s">
        <v>888</v>
      </c>
      <c r="U432" s="63" t="s">
        <v>1163</v>
      </c>
      <c r="V432" s="81" t="s">
        <v>64</v>
      </c>
      <c r="W432" s="82">
        <v>6</v>
      </c>
      <c r="X432" s="63" t="s">
        <v>1239</v>
      </c>
      <c r="Y432" s="81">
        <v>43102</v>
      </c>
      <c r="Z432" s="83">
        <v>20394000</v>
      </c>
      <c r="AA432" s="84" t="s">
        <v>439</v>
      </c>
      <c r="AB432" s="85">
        <v>230</v>
      </c>
      <c r="AC432" s="81">
        <v>43105</v>
      </c>
      <c r="AD432" s="86">
        <v>20394000</v>
      </c>
      <c r="AE432" s="87">
        <f t="shared" si="55"/>
        <v>0</v>
      </c>
      <c r="AF432" s="85">
        <v>345</v>
      </c>
      <c r="AG432" s="81">
        <v>43123</v>
      </c>
      <c r="AH432" s="86">
        <v>20394000</v>
      </c>
      <c r="AI432" s="63" t="s">
        <v>1240</v>
      </c>
      <c r="AJ432" s="63">
        <v>348</v>
      </c>
      <c r="AK432" s="87">
        <f t="shared" si="52"/>
        <v>0</v>
      </c>
      <c r="AL432" s="86">
        <v>20394000</v>
      </c>
      <c r="AM432" s="86">
        <f t="shared" si="53"/>
        <v>0</v>
      </c>
      <c r="AN432" s="63" t="s">
        <v>1155</v>
      </c>
      <c r="AO432" s="86">
        <f t="shared" si="54"/>
        <v>0</v>
      </c>
      <c r="AP432" s="63"/>
      <c r="AQ432" s="63"/>
      <c r="AR432" s="63"/>
      <c r="AS432" s="63"/>
      <c r="AT432" s="63"/>
      <c r="AU432" s="220"/>
      <c r="AV432" s="220"/>
      <c r="AW432" s="220"/>
    </row>
    <row r="433" spans="1:49" s="221" customFormat="1" ht="242.25" x14ac:dyDescent="0.25">
      <c r="A433" s="63">
        <v>19</v>
      </c>
      <c r="B433" s="63" t="str">
        <f t="shared" si="50"/>
        <v>3075-19</v>
      </c>
      <c r="C433" s="76" t="s">
        <v>1141</v>
      </c>
      <c r="D433" s="76" t="s">
        <v>1142</v>
      </c>
      <c r="E433" s="76" t="s">
        <v>1143</v>
      </c>
      <c r="F433" s="76" t="s">
        <v>1158</v>
      </c>
      <c r="G433" s="77" t="s">
        <v>1159</v>
      </c>
      <c r="H433" s="78" t="s">
        <v>1160</v>
      </c>
      <c r="I433" s="76" t="s">
        <v>1147</v>
      </c>
      <c r="J433" s="76" t="s">
        <v>1148</v>
      </c>
      <c r="K433" s="76">
        <v>801116</v>
      </c>
      <c r="L433" s="63" t="s">
        <v>1149</v>
      </c>
      <c r="M433" s="63" t="s">
        <v>58</v>
      </c>
      <c r="N433" s="63" t="s">
        <v>59</v>
      </c>
      <c r="O433" s="76" t="s">
        <v>1213</v>
      </c>
      <c r="P433" s="94" t="s">
        <v>1241</v>
      </c>
      <c r="Q433" s="83">
        <v>3399000</v>
      </c>
      <c r="R433" s="63">
        <v>1</v>
      </c>
      <c r="S433" s="80">
        <v>30591000</v>
      </c>
      <c r="T433" s="63" t="s">
        <v>888</v>
      </c>
      <c r="U433" s="63" t="s">
        <v>1163</v>
      </c>
      <c r="V433" s="81" t="s">
        <v>64</v>
      </c>
      <c r="W433" s="82">
        <v>9</v>
      </c>
      <c r="X433" s="63" t="s">
        <v>1242</v>
      </c>
      <c r="Y433" s="81">
        <v>43102</v>
      </c>
      <c r="Z433" s="83">
        <v>30591000</v>
      </c>
      <c r="AA433" s="84" t="s">
        <v>439</v>
      </c>
      <c r="AB433" s="85">
        <v>385</v>
      </c>
      <c r="AC433" s="81">
        <v>43110</v>
      </c>
      <c r="AD433" s="86">
        <v>30591000</v>
      </c>
      <c r="AE433" s="87">
        <f t="shared" si="55"/>
        <v>0</v>
      </c>
      <c r="AF433" s="85">
        <v>239</v>
      </c>
      <c r="AG433" s="81">
        <v>43119</v>
      </c>
      <c r="AH433" s="86">
        <v>30591000</v>
      </c>
      <c r="AI433" s="63" t="s">
        <v>1243</v>
      </c>
      <c r="AJ433" s="63">
        <v>222</v>
      </c>
      <c r="AK433" s="87">
        <f t="shared" si="52"/>
        <v>0</v>
      </c>
      <c r="AL433" s="86">
        <v>25152600</v>
      </c>
      <c r="AM433" s="86">
        <f t="shared" si="53"/>
        <v>5438400</v>
      </c>
      <c r="AN433" s="63" t="s">
        <v>1155</v>
      </c>
      <c r="AO433" s="86">
        <f t="shared" si="54"/>
        <v>0</v>
      </c>
      <c r="AP433" s="63"/>
      <c r="AQ433" s="63"/>
      <c r="AR433" s="63"/>
      <c r="AS433" s="63"/>
      <c r="AT433" s="63"/>
      <c r="AU433" s="220"/>
      <c r="AV433" s="220"/>
      <c r="AW433" s="220"/>
    </row>
    <row r="434" spans="1:49" s="221" customFormat="1" ht="313.5" x14ac:dyDescent="0.25">
      <c r="A434" s="63">
        <v>20</v>
      </c>
      <c r="B434" s="63" t="str">
        <f t="shared" si="50"/>
        <v>3075-20</v>
      </c>
      <c r="C434" s="76" t="s">
        <v>1141</v>
      </c>
      <c r="D434" s="76" t="s">
        <v>1142</v>
      </c>
      <c r="E434" s="76" t="s">
        <v>1143</v>
      </c>
      <c r="F434" s="76" t="s">
        <v>1158</v>
      </c>
      <c r="G434" s="77" t="s">
        <v>1159</v>
      </c>
      <c r="H434" s="78" t="s">
        <v>1160</v>
      </c>
      <c r="I434" s="76" t="s">
        <v>1147</v>
      </c>
      <c r="J434" s="76" t="s">
        <v>1148</v>
      </c>
      <c r="K434" s="76">
        <v>801116</v>
      </c>
      <c r="L434" s="63" t="s">
        <v>1149</v>
      </c>
      <c r="M434" s="63" t="s">
        <v>58</v>
      </c>
      <c r="N434" s="63" t="s">
        <v>59</v>
      </c>
      <c r="O434" s="76" t="s">
        <v>1213</v>
      </c>
      <c r="P434" s="76" t="s">
        <v>1244</v>
      </c>
      <c r="Q434" s="83">
        <v>3399000</v>
      </c>
      <c r="R434" s="63">
        <v>1</v>
      </c>
      <c r="S434" s="80">
        <v>37389000</v>
      </c>
      <c r="T434" s="63" t="s">
        <v>888</v>
      </c>
      <c r="U434" s="63" t="s">
        <v>1163</v>
      </c>
      <c r="V434" s="81" t="s">
        <v>64</v>
      </c>
      <c r="W434" s="82">
        <v>11</v>
      </c>
      <c r="X434" s="63" t="s">
        <v>1245</v>
      </c>
      <c r="Y434" s="81">
        <v>43102</v>
      </c>
      <c r="Z434" s="83">
        <v>37389000</v>
      </c>
      <c r="AA434" s="84" t="s">
        <v>439</v>
      </c>
      <c r="AB434" s="85">
        <v>151</v>
      </c>
      <c r="AC434" s="81">
        <v>43105</v>
      </c>
      <c r="AD434" s="86">
        <v>37389000</v>
      </c>
      <c r="AE434" s="87">
        <f t="shared" si="55"/>
        <v>0</v>
      </c>
      <c r="AF434" s="85">
        <v>2</v>
      </c>
      <c r="AG434" s="81">
        <v>43111</v>
      </c>
      <c r="AH434" s="86">
        <v>37389000</v>
      </c>
      <c r="AI434" s="63" t="s">
        <v>1246</v>
      </c>
      <c r="AJ434" s="63">
        <v>2</v>
      </c>
      <c r="AK434" s="87">
        <f t="shared" si="52"/>
        <v>0</v>
      </c>
      <c r="AL434" s="86">
        <v>26059000</v>
      </c>
      <c r="AM434" s="86">
        <f t="shared" si="53"/>
        <v>11330000</v>
      </c>
      <c r="AN434" s="63" t="s">
        <v>1155</v>
      </c>
      <c r="AO434" s="86">
        <f t="shared" si="54"/>
        <v>0</v>
      </c>
      <c r="AP434" s="63"/>
      <c r="AQ434" s="63"/>
      <c r="AR434" s="63"/>
      <c r="AS434" s="63"/>
      <c r="AT434" s="63"/>
      <c r="AU434" s="220"/>
      <c r="AV434" s="220"/>
      <c r="AW434" s="220"/>
    </row>
    <row r="435" spans="1:49" s="221" customFormat="1" ht="299.25" x14ac:dyDescent="0.25">
      <c r="A435" s="63">
        <v>21</v>
      </c>
      <c r="B435" s="63" t="str">
        <f t="shared" si="50"/>
        <v>3075-21</v>
      </c>
      <c r="C435" s="76" t="s">
        <v>1141</v>
      </c>
      <c r="D435" s="76" t="s">
        <v>1142</v>
      </c>
      <c r="E435" s="76" t="s">
        <v>1143</v>
      </c>
      <c r="F435" s="76" t="s">
        <v>1158</v>
      </c>
      <c r="G435" s="77" t="s">
        <v>1159</v>
      </c>
      <c r="H435" s="78" t="s">
        <v>1160</v>
      </c>
      <c r="I435" s="76" t="s">
        <v>1147</v>
      </c>
      <c r="J435" s="76" t="s">
        <v>1148</v>
      </c>
      <c r="K435" s="76">
        <v>801116</v>
      </c>
      <c r="L435" s="63" t="s">
        <v>1149</v>
      </c>
      <c r="M435" s="63" t="s">
        <v>58</v>
      </c>
      <c r="N435" s="63" t="s">
        <v>59</v>
      </c>
      <c r="O435" s="76" t="s">
        <v>1213</v>
      </c>
      <c r="P435" s="76" t="s">
        <v>1247</v>
      </c>
      <c r="Q435" s="83">
        <v>3326900</v>
      </c>
      <c r="R435" s="63">
        <v>1</v>
      </c>
      <c r="S435" s="80">
        <v>33269000</v>
      </c>
      <c r="T435" s="63" t="s">
        <v>928</v>
      </c>
      <c r="U435" s="63" t="s">
        <v>1163</v>
      </c>
      <c r="V435" s="81" t="s">
        <v>64</v>
      </c>
      <c r="W435" s="82">
        <v>10</v>
      </c>
      <c r="X435" s="63" t="s">
        <v>1248</v>
      </c>
      <c r="Y435" s="81">
        <v>43102</v>
      </c>
      <c r="Z435" s="83">
        <v>33269000</v>
      </c>
      <c r="AA435" s="84" t="s">
        <v>439</v>
      </c>
      <c r="AB435" s="85">
        <v>211</v>
      </c>
      <c r="AC435" s="81">
        <v>43105</v>
      </c>
      <c r="AD435" s="86">
        <v>33269000</v>
      </c>
      <c r="AE435" s="87">
        <f t="shared" si="55"/>
        <v>0</v>
      </c>
      <c r="AF435" s="85">
        <v>201</v>
      </c>
      <c r="AG435" s="81">
        <v>43118</v>
      </c>
      <c r="AH435" s="86">
        <v>33269000</v>
      </c>
      <c r="AI435" s="63" t="s">
        <v>1249</v>
      </c>
      <c r="AJ435" s="63">
        <v>190</v>
      </c>
      <c r="AK435" s="87">
        <f t="shared" si="52"/>
        <v>0</v>
      </c>
      <c r="AL435" s="86">
        <v>24619060</v>
      </c>
      <c r="AM435" s="86">
        <f t="shared" si="53"/>
        <v>8649940</v>
      </c>
      <c r="AN435" s="63" t="s">
        <v>1155</v>
      </c>
      <c r="AO435" s="86">
        <f t="shared" si="54"/>
        <v>0</v>
      </c>
      <c r="AP435" s="63"/>
      <c r="AQ435" s="63"/>
      <c r="AR435" s="63"/>
      <c r="AS435" s="63"/>
      <c r="AT435" s="63"/>
      <c r="AU435" s="220"/>
      <c r="AV435" s="220"/>
      <c r="AW435" s="220"/>
    </row>
    <row r="436" spans="1:49" s="221" customFormat="1" ht="199.5" x14ac:dyDescent="0.25">
      <c r="A436" s="63">
        <v>22</v>
      </c>
      <c r="B436" s="63" t="str">
        <f t="shared" si="50"/>
        <v>3075-22</v>
      </c>
      <c r="C436" s="76" t="s">
        <v>1141</v>
      </c>
      <c r="D436" s="76" t="s">
        <v>1142</v>
      </c>
      <c r="E436" s="76" t="s">
        <v>1143</v>
      </c>
      <c r="F436" s="76" t="s">
        <v>1158</v>
      </c>
      <c r="G436" s="77" t="s">
        <v>1159</v>
      </c>
      <c r="H436" s="78" t="s">
        <v>1160</v>
      </c>
      <c r="I436" s="76" t="s">
        <v>1147</v>
      </c>
      <c r="J436" s="76" t="s">
        <v>1148</v>
      </c>
      <c r="K436" s="76">
        <v>801116</v>
      </c>
      <c r="L436" s="63" t="s">
        <v>1149</v>
      </c>
      <c r="M436" s="63" t="s">
        <v>58</v>
      </c>
      <c r="N436" s="63" t="s">
        <v>59</v>
      </c>
      <c r="O436" s="76" t="s">
        <v>1213</v>
      </c>
      <c r="P436" s="76" t="s">
        <v>1250</v>
      </c>
      <c r="Q436" s="83">
        <v>3326900</v>
      </c>
      <c r="R436" s="63">
        <v>1</v>
      </c>
      <c r="S436" s="80">
        <v>36595900</v>
      </c>
      <c r="T436" s="63" t="s">
        <v>928</v>
      </c>
      <c r="U436" s="63" t="s">
        <v>1163</v>
      </c>
      <c r="V436" s="81" t="s">
        <v>64</v>
      </c>
      <c r="W436" s="82">
        <v>11</v>
      </c>
      <c r="X436" s="63" t="s">
        <v>1251</v>
      </c>
      <c r="Y436" s="81">
        <v>43102</v>
      </c>
      <c r="Z436" s="83">
        <v>36595900</v>
      </c>
      <c r="AA436" s="84" t="s">
        <v>439</v>
      </c>
      <c r="AB436" s="85">
        <v>202</v>
      </c>
      <c r="AC436" s="81">
        <v>43105</v>
      </c>
      <c r="AD436" s="86">
        <v>36595900</v>
      </c>
      <c r="AE436" s="87">
        <f t="shared" si="55"/>
        <v>0</v>
      </c>
      <c r="AF436" s="85">
        <v>198</v>
      </c>
      <c r="AG436" s="81">
        <v>43118</v>
      </c>
      <c r="AH436" s="86">
        <v>36595900</v>
      </c>
      <c r="AI436" s="63" t="s">
        <v>1252</v>
      </c>
      <c r="AJ436" s="63">
        <v>180</v>
      </c>
      <c r="AK436" s="87">
        <f t="shared" si="52"/>
        <v>0</v>
      </c>
      <c r="AL436" s="86">
        <v>24619060</v>
      </c>
      <c r="AM436" s="86">
        <f t="shared" si="53"/>
        <v>11976840</v>
      </c>
      <c r="AN436" s="63" t="s">
        <v>1155</v>
      </c>
      <c r="AO436" s="86">
        <f t="shared" si="54"/>
        <v>0</v>
      </c>
      <c r="AP436" s="63"/>
      <c r="AQ436" s="63"/>
      <c r="AR436" s="63"/>
      <c r="AS436" s="63"/>
      <c r="AT436" s="63"/>
      <c r="AU436" s="220"/>
      <c r="AV436" s="220"/>
      <c r="AW436" s="220"/>
    </row>
    <row r="437" spans="1:49" s="221" customFormat="1" ht="285" x14ac:dyDescent="0.25">
      <c r="A437" s="63">
        <v>23</v>
      </c>
      <c r="B437" s="63" t="str">
        <f t="shared" si="50"/>
        <v>3075-23</v>
      </c>
      <c r="C437" s="76" t="s">
        <v>1141</v>
      </c>
      <c r="D437" s="76" t="s">
        <v>1142</v>
      </c>
      <c r="E437" s="76" t="s">
        <v>1143</v>
      </c>
      <c r="F437" s="76" t="s">
        <v>1158</v>
      </c>
      <c r="G437" s="77" t="s">
        <v>1159</v>
      </c>
      <c r="H437" s="78" t="s">
        <v>1160</v>
      </c>
      <c r="I437" s="76" t="s">
        <v>1147</v>
      </c>
      <c r="J437" s="76" t="s">
        <v>1148</v>
      </c>
      <c r="K437" s="76">
        <v>801116</v>
      </c>
      <c r="L437" s="63" t="s">
        <v>1149</v>
      </c>
      <c r="M437" s="63" t="s">
        <v>58</v>
      </c>
      <c r="N437" s="63" t="s">
        <v>59</v>
      </c>
      <c r="O437" s="76" t="s">
        <v>1213</v>
      </c>
      <c r="P437" s="76" t="s">
        <v>1253</v>
      </c>
      <c r="Q437" s="83">
        <v>3399000</v>
      </c>
      <c r="R437" s="63">
        <v>1</v>
      </c>
      <c r="S437" s="80">
        <v>30591000</v>
      </c>
      <c r="T437" s="63" t="s">
        <v>888</v>
      </c>
      <c r="U437" s="63" t="s">
        <v>1163</v>
      </c>
      <c r="V437" s="81" t="s">
        <v>64</v>
      </c>
      <c r="W437" s="82">
        <v>9</v>
      </c>
      <c r="X437" s="63" t="s">
        <v>1254</v>
      </c>
      <c r="Y437" s="81">
        <v>43102</v>
      </c>
      <c r="Z437" s="83">
        <v>30591000</v>
      </c>
      <c r="AA437" s="84" t="s">
        <v>439</v>
      </c>
      <c r="AB437" s="85">
        <v>354</v>
      </c>
      <c r="AC437" s="81">
        <v>43110</v>
      </c>
      <c r="AD437" s="86">
        <v>30591000</v>
      </c>
      <c r="AE437" s="87">
        <f t="shared" si="55"/>
        <v>0</v>
      </c>
      <c r="AF437" s="85">
        <v>128</v>
      </c>
      <c r="AG437" s="81">
        <v>43117</v>
      </c>
      <c r="AH437" s="86">
        <v>30591000</v>
      </c>
      <c r="AI437" s="63" t="s">
        <v>1255</v>
      </c>
      <c r="AJ437" s="63">
        <v>111</v>
      </c>
      <c r="AK437" s="87">
        <f t="shared" si="52"/>
        <v>0</v>
      </c>
      <c r="AL437" s="86">
        <v>25265900</v>
      </c>
      <c r="AM437" s="86">
        <f t="shared" si="53"/>
        <v>5325100</v>
      </c>
      <c r="AN437" s="63" t="s">
        <v>1155</v>
      </c>
      <c r="AO437" s="86">
        <f t="shared" si="54"/>
        <v>0</v>
      </c>
      <c r="AP437" s="63"/>
      <c r="AQ437" s="63"/>
      <c r="AR437" s="63"/>
      <c r="AS437" s="63"/>
      <c r="AT437" s="63"/>
      <c r="AU437" s="220"/>
      <c r="AV437" s="220"/>
      <c r="AW437" s="220"/>
    </row>
    <row r="438" spans="1:49" s="221" customFormat="1" ht="242.25" x14ac:dyDescent="0.25">
      <c r="A438" s="63">
        <v>24</v>
      </c>
      <c r="B438" s="63" t="str">
        <f t="shared" si="50"/>
        <v>3075-24</v>
      </c>
      <c r="C438" s="76" t="s">
        <v>1141</v>
      </c>
      <c r="D438" s="76" t="s">
        <v>1142</v>
      </c>
      <c r="E438" s="76" t="s">
        <v>1143</v>
      </c>
      <c r="F438" s="76" t="s">
        <v>1158</v>
      </c>
      <c r="G438" s="77" t="s">
        <v>1159</v>
      </c>
      <c r="H438" s="78" t="s">
        <v>1160</v>
      </c>
      <c r="I438" s="76" t="s">
        <v>1147</v>
      </c>
      <c r="J438" s="76" t="s">
        <v>1148</v>
      </c>
      <c r="K438" s="76">
        <v>801116</v>
      </c>
      <c r="L438" s="63" t="s">
        <v>1149</v>
      </c>
      <c r="M438" s="63" t="s">
        <v>58</v>
      </c>
      <c r="N438" s="63" t="s">
        <v>59</v>
      </c>
      <c r="O438" s="76" t="s">
        <v>1213</v>
      </c>
      <c r="P438" s="76" t="s">
        <v>1256</v>
      </c>
      <c r="Q438" s="83">
        <v>8240000</v>
      </c>
      <c r="R438" s="63">
        <v>1</v>
      </c>
      <c r="S438" s="80">
        <v>82400000</v>
      </c>
      <c r="T438" s="63" t="s">
        <v>888</v>
      </c>
      <c r="U438" s="63" t="s">
        <v>1163</v>
      </c>
      <c r="V438" s="81" t="s">
        <v>64</v>
      </c>
      <c r="W438" s="82">
        <v>10</v>
      </c>
      <c r="X438" s="63" t="s">
        <v>1257</v>
      </c>
      <c r="Y438" s="81">
        <v>43103</v>
      </c>
      <c r="Z438" s="83">
        <v>82400000</v>
      </c>
      <c r="AA438" s="84" t="s">
        <v>439</v>
      </c>
      <c r="AB438" s="85">
        <v>239</v>
      </c>
      <c r="AC438" s="81">
        <v>43105</v>
      </c>
      <c r="AD438" s="86">
        <v>82400000</v>
      </c>
      <c r="AE438" s="87">
        <f t="shared" si="55"/>
        <v>0</v>
      </c>
      <c r="AF438" s="85">
        <v>461</v>
      </c>
      <c r="AG438" s="81">
        <v>43126</v>
      </c>
      <c r="AH438" s="86">
        <v>82400000</v>
      </c>
      <c r="AI438" s="63" t="s">
        <v>1258</v>
      </c>
      <c r="AJ438" s="63">
        <v>388</v>
      </c>
      <c r="AK438" s="87">
        <f t="shared" si="52"/>
        <v>0</v>
      </c>
      <c r="AL438" s="86">
        <v>59053333</v>
      </c>
      <c r="AM438" s="86">
        <f t="shared" si="53"/>
        <v>23346667</v>
      </c>
      <c r="AN438" s="63" t="s">
        <v>1155</v>
      </c>
      <c r="AO438" s="86">
        <f t="shared" si="54"/>
        <v>0</v>
      </c>
      <c r="AP438" s="63"/>
      <c r="AQ438" s="63"/>
      <c r="AR438" s="63"/>
      <c r="AS438" s="63"/>
      <c r="AT438" s="63"/>
      <c r="AU438" s="220"/>
      <c r="AV438" s="220"/>
      <c r="AW438" s="220"/>
    </row>
    <row r="439" spans="1:49" s="221" customFormat="1" ht="213.75" x14ac:dyDescent="0.25">
      <c r="A439" s="63">
        <v>25</v>
      </c>
      <c r="B439" s="63" t="str">
        <f t="shared" si="50"/>
        <v>3075-25</v>
      </c>
      <c r="C439" s="76" t="s">
        <v>1141</v>
      </c>
      <c r="D439" s="76" t="s">
        <v>1142</v>
      </c>
      <c r="E439" s="76" t="s">
        <v>1143</v>
      </c>
      <c r="F439" s="76" t="s">
        <v>1158</v>
      </c>
      <c r="G439" s="77" t="s">
        <v>1159</v>
      </c>
      <c r="H439" s="78" t="s">
        <v>1160</v>
      </c>
      <c r="I439" s="76" t="s">
        <v>1147</v>
      </c>
      <c r="J439" s="76" t="s">
        <v>1148</v>
      </c>
      <c r="K439" s="76">
        <v>801116</v>
      </c>
      <c r="L439" s="63" t="s">
        <v>1149</v>
      </c>
      <c r="M439" s="63" t="s">
        <v>58</v>
      </c>
      <c r="N439" s="63" t="s">
        <v>59</v>
      </c>
      <c r="O439" s="76" t="s">
        <v>1213</v>
      </c>
      <c r="P439" s="76" t="s">
        <v>1259</v>
      </c>
      <c r="Q439" s="83">
        <v>8240000</v>
      </c>
      <c r="R439" s="63">
        <v>3</v>
      </c>
      <c r="S439" s="80">
        <v>0</v>
      </c>
      <c r="T439" s="63"/>
      <c r="U439" s="63"/>
      <c r="V439" s="81"/>
      <c r="W439" s="82"/>
      <c r="X439" s="63"/>
      <c r="Y439" s="81"/>
      <c r="Z439" s="83"/>
      <c r="AA439" s="84"/>
      <c r="AB439" s="85"/>
      <c r="AC439" s="81"/>
      <c r="AD439" s="86"/>
      <c r="AE439" s="87">
        <f t="shared" si="55"/>
        <v>0</v>
      </c>
      <c r="AF439" s="85"/>
      <c r="AG439" s="81"/>
      <c r="AH439" s="86"/>
      <c r="AI439" s="63"/>
      <c r="AJ439" s="63"/>
      <c r="AK439" s="87">
        <f t="shared" si="52"/>
        <v>0</v>
      </c>
      <c r="AL439" s="86"/>
      <c r="AM439" s="86">
        <f t="shared" si="53"/>
        <v>0</v>
      </c>
      <c r="AN439" s="63" t="s">
        <v>1155</v>
      </c>
      <c r="AO439" s="86">
        <f t="shared" si="54"/>
        <v>0</v>
      </c>
      <c r="AP439" s="63"/>
      <c r="AQ439" s="63"/>
      <c r="AR439" s="63" t="s">
        <v>1157</v>
      </c>
      <c r="AS439" s="63"/>
      <c r="AT439" s="63"/>
      <c r="AU439" s="220"/>
      <c r="AV439" s="220"/>
      <c r="AW439" s="220"/>
    </row>
    <row r="440" spans="1:49" s="221" customFormat="1" ht="199.5" x14ac:dyDescent="0.25">
      <c r="A440" s="63">
        <v>26</v>
      </c>
      <c r="B440" s="63" t="str">
        <f t="shared" si="50"/>
        <v>3075-26</v>
      </c>
      <c r="C440" s="76" t="s">
        <v>1141</v>
      </c>
      <c r="D440" s="76" t="s">
        <v>1142</v>
      </c>
      <c r="E440" s="76" t="s">
        <v>1143</v>
      </c>
      <c r="F440" s="76" t="s">
        <v>1158</v>
      </c>
      <c r="G440" s="77" t="s">
        <v>1159</v>
      </c>
      <c r="H440" s="78" t="s">
        <v>1160</v>
      </c>
      <c r="I440" s="76" t="s">
        <v>1147</v>
      </c>
      <c r="J440" s="76" t="s">
        <v>1148</v>
      </c>
      <c r="K440" s="76">
        <v>801116</v>
      </c>
      <c r="L440" s="63" t="s">
        <v>1149</v>
      </c>
      <c r="M440" s="63" t="s">
        <v>58</v>
      </c>
      <c r="N440" s="63" t="s">
        <v>59</v>
      </c>
      <c r="O440" s="76" t="s">
        <v>1213</v>
      </c>
      <c r="P440" s="76" t="s">
        <v>1260</v>
      </c>
      <c r="Q440" s="83">
        <v>4120000</v>
      </c>
      <c r="R440" s="63">
        <v>4</v>
      </c>
      <c r="S440" s="80">
        <v>0</v>
      </c>
      <c r="T440" s="63"/>
      <c r="U440" s="63"/>
      <c r="V440" s="81"/>
      <c r="W440" s="82"/>
      <c r="X440" s="63"/>
      <c r="Y440" s="81"/>
      <c r="Z440" s="83"/>
      <c r="AA440" s="84"/>
      <c r="AB440" s="85"/>
      <c r="AC440" s="81"/>
      <c r="AD440" s="86"/>
      <c r="AE440" s="87">
        <f t="shared" si="55"/>
        <v>0</v>
      </c>
      <c r="AF440" s="85"/>
      <c r="AG440" s="81"/>
      <c r="AH440" s="86"/>
      <c r="AI440" s="63"/>
      <c r="AJ440" s="63"/>
      <c r="AK440" s="87">
        <f t="shared" si="52"/>
        <v>0</v>
      </c>
      <c r="AL440" s="86"/>
      <c r="AM440" s="86">
        <f t="shared" si="53"/>
        <v>0</v>
      </c>
      <c r="AN440" s="63" t="s">
        <v>1155</v>
      </c>
      <c r="AO440" s="86">
        <f t="shared" si="54"/>
        <v>0</v>
      </c>
      <c r="AP440" s="63"/>
      <c r="AQ440" s="63"/>
      <c r="AR440" s="63" t="s">
        <v>1157</v>
      </c>
      <c r="AS440" s="63"/>
      <c r="AT440" s="63"/>
      <c r="AU440" s="220"/>
      <c r="AV440" s="220"/>
      <c r="AW440" s="220"/>
    </row>
    <row r="441" spans="1:49" s="221" customFormat="1" ht="285" x14ac:dyDescent="0.25">
      <c r="A441" s="63">
        <v>27</v>
      </c>
      <c r="B441" s="63" t="str">
        <f t="shared" si="50"/>
        <v>3075-27</v>
      </c>
      <c r="C441" s="76" t="s">
        <v>1141</v>
      </c>
      <c r="D441" s="76" t="s">
        <v>1142</v>
      </c>
      <c r="E441" s="76" t="s">
        <v>1143</v>
      </c>
      <c r="F441" s="76" t="s">
        <v>1158</v>
      </c>
      <c r="G441" s="77" t="s">
        <v>1159</v>
      </c>
      <c r="H441" s="78" t="s">
        <v>1160</v>
      </c>
      <c r="I441" s="76" t="s">
        <v>1147</v>
      </c>
      <c r="J441" s="76" t="s">
        <v>1148</v>
      </c>
      <c r="K441" s="76">
        <v>801116</v>
      </c>
      <c r="L441" s="63" t="s">
        <v>1149</v>
      </c>
      <c r="M441" s="63" t="s">
        <v>58</v>
      </c>
      <c r="N441" s="63" t="s">
        <v>59</v>
      </c>
      <c r="O441" s="76" t="s">
        <v>1213</v>
      </c>
      <c r="P441" s="94" t="s">
        <v>1231</v>
      </c>
      <c r="Q441" s="83">
        <v>5253000</v>
      </c>
      <c r="R441" s="63">
        <v>1</v>
      </c>
      <c r="S441" s="80">
        <v>47277000</v>
      </c>
      <c r="T441" s="63" t="s">
        <v>888</v>
      </c>
      <c r="U441" s="63" t="s">
        <v>1163</v>
      </c>
      <c r="V441" s="81" t="s">
        <v>64</v>
      </c>
      <c r="W441" s="82">
        <v>9</v>
      </c>
      <c r="X441" s="63" t="s">
        <v>1261</v>
      </c>
      <c r="Y441" s="81">
        <v>43103</v>
      </c>
      <c r="Z441" s="83">
        <v>47277000</v>
      </c>
      <c r="AA441" s="84" t="s">
        <v>439</v>
      </c>
      <c r="AB441" s="85">
        <v>351</v>
      </c>
      <c r="AC441" s="81">
        <v>43110</v>
      </c>
      <c r="AD441" s="86">
        <v>47277000</v>
      </c>
      <c r="AE441" s="87">
        <f t="shared" si="55"/>
        <v>0</v>
      </c>
      <c r="AF441" s="85">
        <v>418</v>
      </c>
      <c r="AG441" s="81">
        <v>43124</v>
      </c>
      <c r="AH441" s="86">
        <v>47277000</v>
      </c>
      <c r="AI441" s="63" t="s">
        <v>1262</v>
      </c>
      <c r="AJ441" s="63">
        <v>369</v>
      </c>
      <c r="AK441" s="87">
        <f t="shared" si="52"/>
        <v>0</v>
      </c>
      <c r="AL441" s="86">
        <v>37821600</v>
      </c>
      <c r="AM441" s="86">
        <f t="shared" si="53"/>
        <v>9455400</v>
      </c>
      <c r="AN441" s="63" t="s">
        <v>1155</v>
      </c>
      <c r="AO441" s="86">
        <f t="shared" si="54"/>
        <v>0</v>
      </c>
      <c r="AP441" s="63"/>
      <c r="AQ441" s="63"/>
      <c r="AR441" s="63"/>
      <c r="AS441" s="63"/>
      <c r="AT441" s="63"/>
      <c r="AU441" s="220"/>
      <c r="AV441" s="220"/>
      <c r="AW441" s="220"/>
    </row>
    <row r="442" spans="1:49" s="221" customFormat="1" ht="270.75" x14ac:dyDescent="0.25">
      <c r="A442" s="63">
        <v>28</v>
      </c>
      <c r="B442" s="63" t="str">
        <f t="shared" si="50"/>
        <v>3075-28</v>
      </c>
      <c r="C442" s="76" t="s">
        <v>1141</v>
      </c>
      <c r="D442" s="76" t="s">
        <v>1142</v>
      </c>
      <c r="E442" s="76" t="s">
        <v>1143</v>
      </c>
      <c r="F442" s="76" t="s">
        <v>1158</v>
      </c>
      <c r="G442" s="77" t="s">
        <v>1159</v>
      </c>
      <c r="H442" s="78" t="s">
        <v>1160</v>
      </c>
      <c r="I442" s="76" t="s">
        <v>1147</v>
      </c>
      <c r="J442" s="76" t="s">
        <v>1148</v>
      </c>
      <c r="K442" s="76">
        <v>801116</v>
      </c>
      <c r="L442" s="63" t="s">
        <v>1149</v>
      </c>
      <c r="M442" s="63" t="s">
        <v>58</v>
      </c>
      <c r="N442" s="63" t="s">
        <v>59</v>
      </c>
      <c r="O442" s="76" t="s">
        <v>1213</v>
      </c>
      <c r="P442" s="94" t="s">
        <v>1263</v>
      </c>
      <c r="Q442" s="83">
        <v>5036700</v>
      </c>
      <c r="R442" s="63">
        <v>1</v>
      </c>
      <c r="S442" s="80">
        <v>50367000</v>
      </c>
      <c r="T442" s="63" t="s">
        <v>888</v>
      </c>
      <c r="U442" s="63" t="s">
        <v>1163</v>
      </c>
      <c r="V442" s="81" t="s">
        <v>64</v>
      </c>
      <c r="W442" s="82">
        <v>10</v>
      </c>
      <c r="X442" s="63" t="s">
        <v>1264</v>
      </c>
      <c r="Y442" s="81">
        <v>43103</v>
      </c>
      <c r="Z442" s="83">
        <v>50367000</v>
      </c>
      <c r="AA442" s="84" t="s">
        <v>439</v>
      </c>
      <c r="AB442" s="85">
        <v>323</v>
      </c>
      <c r="AC442" s="81">
        <v>43110</v>
      </c>
      <c r="AD442" s="86">
        <v>50367000</v>
      </c>
      <c r="AE442" s="87">
        <f t="shared" si="55"/>
        <v>0</v>
      </c>
      <c r="AF442" s="85">
        <v>230</v>
      </c>
      <c r="AG442" s="81">
        <v>43118</v>
      </c>
      <c r="AH442" s="86">
        <v>50367000</v>
      </c>
      <c r="AI442" s="63" t="s">
        <v>1265</v>
      </c>
      <c r="AJ442" s="63">
        <v>200</v>
      </c>
      <c r="AK442" s="87">
        <f t="shared" si="52"/>
        <v>0</v>
      </c>
      <c r="AL442" s="86">
        <v>37271580</v>
      </c>
      <c r="AM442" s="86">
        <f t="shared" si="53"/>
        <v>13095420</v>
      </c>
      <c r="AN442" s="63" t="s">
        <v>1155</v>
      </c>
      <c r="AO442" s="86">
        <f t="shared" si="54"/>
        <v>0</v>
      </c>
      <c r="AP442" s="63"/>
      <c r="AQ442" s="63"/>
      <c r="AR442" s="63"/>
      <c r="AS442" s="63"/>
      <c r="AT442" s="63"/>
      <c r="AU442" s="220"/>
      <c r="AV442" s="220"/>
      <c r="AW442" s="220"/>
    </row>
    <row r="443" spans="1:49" s="221" customFormat="1" ht="199.5" x14ac:dyDescent="0.25">
      <c r="A443" s="63">
        <v>29</v>
      </c>
      <c r="B443" s="63" t="str">
        <f t="shared" si="50"/>
        <v>3075-29</v>
      </c>
      <c r="C443" s="76" t="s">
        <v>1141</v>
      </c>
      <c r="D443" s="76" t="s">
        <v>1142</v>
      </c>
      <c r="E443" s="76" t="s">
        <v>1143</v>
      </c>
      <c r="F443" s="76" t="s">
        <v>1158</v>
      </c>
      <c r="G443" s="77" t="s">
        <v>1159</v>
      </c>
      <c r="H443" s="78" t="s">
        <v>1160</v>
      </c>
      <c r="I443" s="76" t="s">
        <v>1147</v>
      </c>
      <c r="J443" s="76" t="s">
        <v>1148</v>
      </c>
      <c r="K443" s="76">
        <v>801116</v>
      </c>
      <c r="L443" s="63" t="s">
        <v>1149</v>
      </c>
      <c r="M443" s="63" t="s">
        <v>58</v>
      </c>
      <c r="N443" s="63" t="s">
        <v>59</v>
      </c>
      <c r="O443" s="76" t="s">
        <v>1213</v>
      </c>
      <c r="P443" s="94" t="s">
        <v>1266</v>
      </c>
      <c r="Q443" s="83">
        <v>1751000</v>
      </c>
      <c r="R443" s="63">
        <v>1</v>
      </c>
      <c r="S443" s="80">
        <v>17510000</v>
      </c>
      <c r="T443" s="63" t="s">
        <v>928</v>
      </c>
      <c r="U443" s="63" t="s">
        <v>1163</v>
      </c>
      <c r="V443" s="81" t="s">
        <v>64</v>
      </c>
      <c r="W443" s="82">
        <v>10</v>
      </c>
      <c r="X443" s="63" t="s">
        <v>1267</v>
      </c>
      <c r="Y443" s="81">
        <v>43102</v>
      </c>
      <c r="Z443" s="83">
        <v>17510000</v>
      </c>
      <c r="AA443" s="84" t="s">
        <v>439</v>
      </c>
      <c r="AB443" s="85">
        <v>208</v>
      </c>
      <c r="AC443" s="81">
        <v>43105</v>
      </c>
      <c r="AD443" s="86">
        <v>17510000</v>
      </c>
      <c r="AE443" s="87">
        <f t="shared" si="55"/>
        <v>0</v>
      </c>
      <c r="AF443" s="85">
        <v>233</v>
      </c>
      <c r="AG443" s="81">
        <v>43119</v>
      </c>
      <c r="AH443" s="86">
        <v>17510000</v>
      </c>
      <c r="AI443" s="63" t="s">
        <v>1268</v>
      </c>
      <c r="AJ443" s="63">
        <v>211</v>
      </c>
      <c r="AK443" s="87">
        <f t="shared" si="52"/>
        <v>0</v>
      </c>
      <c r="AL443" s="86">
        <v>12957400</v>
      </c>
      <c r="AM443" s="86">
        <f t="shared" si="53"/>
        <v>4552600</v>
      </c>
      <c r="AN443" s="63" t="s">
        <v>1155</v>
      </c>
      <c r="AO443" s="86">
        <f t="shared" si="54"/>
        <v>0</v>
      </c>
      <c r="AP443" s="63"/>
      <c r="AQ443" s="63"/>
      <c r="AR443" s="63"/>
      <c r="AS443" s="63"/>
      <c r="AT443" s="63"/>
      <c r="AU443" s="220"/>
      <c r="AV443" s="220"/>
      <c r="AW443" s="220"/>
    </row>
    <row r="444" spans="1:49" s="221" customFormat="1" ht="213.75" x14ac:dyDescent="0.25">
      <c r="A444" s="63">
        <v>30</v>
      </c>
      <c r="B444" s="63" t="str">
        <f t="shared" si="50"/>
        <v>3075-30</v>
      </c>
      <c r="C444" s="76" t="s">
        <v>1141</v>
      </c>
      <c r="D444" s="76" t="s">
        <v>1142</v>
      </c>
      <c r="E444" s="76" t="s">
        <v>1143</v>
      </c>
      <c r="F444" s="76" t="s">
        <v>1158</v>
      </c>
      <c r="G444" s="77" t="s">
        <v>1159</v>
      </c>
      <c r="H444" s="78" t="s">
        <v>1160</v>
      </c>
      <c r="I444" s="76" t="s">
        <v>1147</v>
      </c>
      <c r="J444" s="76" t="s">
        <v>1148</v>
      </c>
      <c r="K444" s="76">
        <v>801116</v>
      </c>
      <c r="L444" s="63" t="s">
        <v>1149</v>
      </c>
      <c r="M444" s="63" t="s">
        <v>58</v>
      </c>
      <c r="N444" s="63" t="s">
        <v>59</v>
      </c>
      <c r="O444" s="76" t="s">
        <v>1213</v>
      </c>
      <c r="P444" s="76" t="s">
        <v>1269</v>
      </c>
      <c r="Q444" s="83">
        <v>3399000</v>
      </c>
      <c r="R444" s="63">
        <v>4</v>
      </c>
      <c r="S444" s="80">
        <v>16995000</v>
      </c>
      <c r="T444" s="63" t="s">
        <v>888</v>
      </c>
      <c r="U444" s="63" t="s">
        <v>1163</v>
      </c>
      <c r="V444" s="81" t="s">
        <v>64</v>
      </c>
      <c r="W444" s="82">
        <v>9.5</v>
      </c>
      <c r="X444" s="63" t="s">
        <v>1270</v>
      </c>
      <c r="Y444" s="81">
        <v>43111</v>
      </c>
      <c r="Z444" s="83">
        <v>16995000</v>
      </c>
      <c r="AA444" s="84" t="s">
        <v>439</v>
      </c>
      <c r="AB444" s="85">
        <v>469</v>
      </c>
      <c r="AC444" s="81">
        <v>43112</v>
      </c>
      <c r="AD444" s="86">
        <v>16995000</v>
      </c>
      <c r="AE444" s="87">
        <f t="shared" si="55"/>
        <v>0</v>
      </c>
      <c r="AF444" s="85">
        <v>277</v>
      </c>
      <c r="AG444" s="81">
        <v>43122</v>
      </c>
      <c r="AH444" s="86">
        <v>16995000</v>
      </c>
      <c r="AI444" s="63" t="s">
        <v>1271</v>
      </c>
      <c r="AJ444" s="63">
        <v>247</v>
      </c>
      <c r="AK444" s="87">
        <f t="shared" si="52"/>
        <v>0</v>
      </c>
      <c r="AL444" s="86">
        <v>16995000</v>
      </c>
      <c r="AM444" s="86">
        <f t="shared" si="53"/>
        <v>0</v>
      </c>
      <c r="AN444" s="63" t="s">
        <v>1155</v>
      </c>
      <c r="AO444" s="86">
        <f t="shared" si="54"/>
        <v>0</v>
      </c>
      <c r="AP444" s="63"/>
      <c r="AQ444" s="63"/>
      <c r="AR444" s="63"/>
      <c r="AS444" s="63"/>
      <c r="AT444" s="63"/>
      <c r="AU444" s="220"/>
      <c r="AV444" s="220"/>
      <c r="AW444" s="220"/>
    </row>
    <row r="445" spans="1:49" s="221" customFormat="1" ht="242.25" x14ac:dyDescent="0.25">
      <c r="A445" s="63">
        <v>31</v>
      </c>
      <c r="B445" s="63" t="str">
        <f t="shared" si="50"/>
        <v>3075-31</v>
      </c>
      <c r="C445" s="76" t="s">
        <v>1141</v>
      </c>
      <c r="D445" s="76" t="s">
        <v>1142</v>
      </c>
      <c r="E445" s="76" t="s">
        <v>1143</v>
      </c>
      <c r="F445" s="76" t="s">
        <v>1158</v>
      </c>
      <c r="G445" s="77" t="s">
        <v>1159</v>
      </c>
      <c r="H445" s="78" t="s">
        <v>1160</v>
      </c>
      <c r="I445" s="76" t="s">
        <v>1147</v>
      </c>
      <c r="J445" s="76" t="s">
        <v>1148</v>
      </c>
      <c r="K445" s="76">
        <v>801116</v>
      </c>
      <c r="L445" s="63" t="s">
        <v>1149</v>
      </c>
      <c r="M445" s="63" t="s">
        <v>58</v>
      </c>
      <c r="N445" s="63" t="s">
        <v>59</v>
      </c>
      <c r="O445" s="76" t="s">
        <v>1213</v>
      </c>
      <c r="P445" s="76" t="s">
        <v>1272</v>
      </c>
      <c r="Q445" s="83">
        <v>1751000</v>
      </c>
      <c r="R445" s="63">
        <v>4</v>
      </c>
      <c r="S445" s="80">
        <v>0</v>
      </c>
      <c r="T445" s="63"/>
      <c r="U445" s="63"/>
      <c r="V445" s="81"/>
      <c r="W445" s="82"/>
      <c r="X445" s="63"/>
      <c r="Y445" s="81"/>
      <c r="Z445" s="83"/>
      <c r="AA445" s="84"/>
      <c r="AB445" s="85"/>
      <c r="AC445" s="81"/>
      <c r="AD445" s="86"/>
      <c r="AE445" s="87">
        <f t="shared" si="55"/>
        <v>0</v>
      </c>
      <c r="AF445" s="85"/>
      <c r="AG445" s="81"/>
      <c r="AH445" s="86"/>
      <c r="AI445" s="63"/>
      <c r="AJ445" s="63"/>
      <c r="AK445" s="87">
        <f t="shared" si="52"/>
        <v>0</v>
      </c>
      <c r="AL445" s="86"/>
      <c r="AM445" s="86">
        <f t="shared" si="53"/>
        <v>0</v>
      </c>
      <c r="AN445" s="63" t="s">
        <v>1155</v>
      </c>
      <c r="AO445" s="86">
        <f t="shared" si="54"/>
        <v>0</v>
      </c>
      <c r="AP445" s="63"/>
      <c r="AQ445" s="63"/>
      <c r="AR445" s="63" t="s">
        <v>1157</v>
      </c>
      <c r="AS445" s="63"/>
      <c r="AT445" s="63"/>
      <c r="AU445" s="220"/>
      <c r="AV445" s="220"/>
      <c r="AW445" s="220"/>
    </row>
    <row r="446" spans="1:49" s="221" customFormat="1" ht="242.25" x14ac:dyDescent="0.25">
      <c r="A446" s="63">
        <v>32</v>
      </c>
      <c r="B446" s="63" t="str">
        <f t="shared" si="50"/>
        <v>3075-32</v>
      </c>
      <c r="C446" s="76" t="s">
        <v>1141</v>
      </c>
      <c r="D446" s="76" t="s">
        <v>1142</v>
      </c>
      <c r="E446" s="76" t="s">
        <v>1143</v>
      </c>
      <c r="F446" s="76" t="s">
        <v>1158</v>
      </c>
      <c r="G446" s="77" t="s">
        <v>1159</v>
      </c>
      <c r="H446" s="78" t="s">
        <v>1160</v>
      </c>
      <c r="I446" s="76" t="s">
        <v>1147</v>
      </c>
      <c r="J446" s="76" t="s">
        <v>1148</v>
      </c>
      <c r="K446" s="76">
        <v>801116</v>
      </c>
      <c r="L446" s="63" t="s">
        <v>1149</v>
      </c>
      <c r="M446" s="63" t="s">
        <v>58</v>
      </c>
      <c r="N446" s="63" t="s">
        <v>59</v>
      </c>
      <c r="O446" s="76" t="s">
        <v>1213</v>
      </c>
      <c r="P446" s="94" t="s">
        <v>1273</v>
      </c>
      <c r="Q446" s="83">
        <v>2472000</v>
      </c>
      <c r="R446" s="63">
        <v>1</v>
      </c>
      <c r="S446" s="80">
        <v>24720000</v>
      </c>
      <c r="T446" s="63" t="s">
        <v>928</v>
      </c>
      <c r="U446" s="63" t="s">
        <v>1163</v>
      </c>
      <c r="V446" s="81" t="s">
        <v>64</v>
      </c>
      <c r="W446" s="82">
        <v>10</v>
      </c>
      <c r="X446" s="63" t="s">
        <v>1274</v>
      </c>
      <c r="Y446" s="81">
        <v>43102</v>
      </c>
      <c r="Z446" s="83">
        <v>24720000</v>
      </c>
      <c r="AA446" s="84" t="s">
        <v>439</v>
      </c>
      <c r="AB446" s="85">
        <v>405</v>
      </c>
      <c r="AC446" s="81">
        <v>43110</v>
      </c>
      <c r="AD446" s="86">
        <v>24720000</v>
      </c>
      <c r="AE446" s="87">
        <f t="shared" si="55"/>
        <v>0</v>
      </c>
      <c r="AF446" s="85">
        <v>390</v>
      </c>
      <c r="AG446" s="81">
        <v>43124</v>
      </c>
      <c r="AH446" s="86">
        <v>24720000</v>
      </c>
      <c r="AI446" s="63" t="s">
        <v>1275</v>
      </c>
      <c r="AJ446" s="63">
        <v>329</v>
      </c>
      <c r="AK446" s="87">
        <f t="shared" si="52"/>
        <v>0</v>
      </c>
      <c r="AL446" s="86">
        <v>17798400</v>
      </c>
      <c r="AM446" s="86">
        <f t="shared" si="53"/>
        <v>6921600</v>
      </c>
      <c r="AN446" s="63" t="s">
        <v>1155</v>
      </c>
      <c r="AO446" s="86">
        <f t="shared" si="54"/>
        <v>0</v>
      </c>
      <c r="AP446" s="63"/>
      <c r="AQ446" s="63"/>
      <c r="AR446" s="63"/>
      <c r="AS446" s="63"/>
      <c r="AT446" s="63"/>
      <c r="AU446" s="220"/>
      <c r="AV446" s="220"/>
      <c r="AW446" s="220"/>
    </row>
    <row r="447" spans="1:49" s="221" customFormat="1" ht="213.75" x14ac:dyDescent="0.25">
      <c r="A447" s="63">
        <v>33</v>
      </c>
      <c r="B447" s="63" t="str">
        <f t="shared" si="50"/>
        <v>3075-33</v>
      </c>
      <c r="C447" s="76" t="s">
        <v>1141</v>
      </c>
      <c r="D447" s="76" t="s">
        <v>1142</v>
      </c>
      <c r="E447" s="76" t="s">
        <v>1143</v>
      </c>
      <c r="F447" s="76" t="s">
        <v>1158</v>
      </c>
      <c r="G447" s="77" t="s">
        <v>1159</v>
      </c>
      <c r="H447" s="78" t="s">
        <v>1160</v>
      </c>
      <c r="I447" s="76" t="s">
        <v>1147</v>
      </c>
      <c r="J447" s="76" t="s">
        <v>1148</v>
      </c>
      <c r="K447" s="76">
        <v>801116</v>
      </c>
      <c r="L447" s="63" t="s">
        <v>1149</v>
      </c>
      <c r="M447" s="63" t="s">
        <v>58</v>
      </c>
      <c r="N447" s="63" t="s">
        <v>59</v>
      </c>
      <c r="O447" s="76" t="s">
        <v>1213</v>
      </c>
      <c r="P447" s="76" t="s">
        <v>1276</v>
      </c>
      <c r="Q447" s="83">
        <v>2472000</v>
      </c>
      <c r="R447" s="63">
        <v>3</v>
      </c>
      <c r="S447" s="80">
        <v>0</v>
      </c>
      <c r="T447" s="63"/>
      <c r="U447" s="63"/>
      <c r="V447" s="81"/>
      <c r="W447" s="82"/>
      <c r="X447" s="63"/>
      <c r="Y447" s="81"/>
      <c r="Z447" s="83"/>
      <c r="AA447" s="84"/>
      <c r="AB447" s="85"/>
      <c r="AC447" s="81"/>
      <c r="AD447" s="86"/>
      <c r="AE447" s="87">
        <f t="shared" si="55"/>
        <v>0</v>
      </c>
      <c r="AF447" s="85"/>
      <c r="AG447" s="81"/>
      <c r="AH447" s="86"/>
      <c r="AI447" s="63"/>
      <c r="AJ447" s="63"/>
      <c r="AK447" s="87">
        <f t="shared" si="52"/>
        <v>0</v>
      </c>
      <c r="AL447" s="86"/>
      <c r="AM447" s="86">
        <f t="shared" si="53"/>
        <v>0</v>
      </c>
      <c r="AN447" s="63" t="s">
        <v>1155</v>
      </c>
      <c r="AO447" s="86">
        <f t="shared" si="54"/>
        <v>0</v>
      </c>
      <c r="AP447" s="63"/>
      <c r="AQ447" s="63"/>
      <c r="AR447" s="63" t="s">
        <v>1157</v>
      </c>
      <c r="AS447" s="63"/>
      <c r="AT447" s="63"/>
      <c r="AU447" s="220"/>
      <c r="AV447" s="220"/>
      <c r="AW447" s="220"/>
    </row>
    <row r="448" spans="1:49" s="221" customFormat="1" ht="199.5" x14ac:dyDescent="0.25">
      <c r="A448" s="63">
        <v>34</v>
      </c>
      <c r="B448" s="63" t="str">
        <f t="shared" si="50"/>
        <v>3075-34</v>
      </c>
      <c r="C448" s="76" t="s">
        <v>1141</v>
      </c>
      <c r="D448" s="76" t="s">
        <v>1142</v>
      </c>
      <c r="E448" s="76" t="s">
        <v>1143</v>
      </c>
      <c r="F448" s="76" t="s">
        <v>1158</v>
      </c>
      <c r="G448" s="77" t="s">
        <v>1159</v>
      </c>
      <c r="H448" s="78" t="s">
        <v>1160</v>
      </c>
      <c r="I448" s="76" t="s">
        <v>1147</v>
      </c>
      <c r="J448" s="76" t="s">
        <v>1148</v>
      </c>
      <c r="K448" s="76">
        <v>801116</v>
      </c>
      <c r="L448" s="63" t="s">
        <v>1149</v>
      </c>
      <c r="M448" s="63" t="s">
        <v>58</v>
      </c>
      <c r="N448" s="63" t="s">
        <v>59</v>
      </c>
      <c r="O448" s="76" t="s">
        <v>1213</v>
      </c>
      <c r="P448" s="76" t="s">
        <v>1277</v>
      </c>
      <c r="Q448" s="83">
        <v>3038500</v>
      </c>
      <c r="R448" s="63">
        <v>1</v>
      </c>
      <c r="S448" s="80">
        <v>30385000</v>
      </c>
      <c r="T448" s="63" t="s">
        <v>928</v>
      </c>
      <c r="U448" s="63" t="s">
        <v>1163</v>
      </c>
      <c r="V448" s="81" t="s">
        <v>64</v>
      </c>
      <c r="W448" s="82">
        <v>10</v>
      </c>
      <c r="X448" s="63" t="s">
        <v>1278</v>
      </c>
      <c r="Y448" s="81">
        <v>43102</v>
      </c>
      <c r="Z448" s="83">
        <v>30385000</v>
      </c>
      <c r="AA448" s="84" t="s">
        <v>439</v>
      </c>
      <c r="AB448" s="85">
        <v>199</v>
      </c>
      <c r="AC448" s="81">
        <v>43105</v>
      </c>
      <c r="AD448" s="86">
        <v>30385000</v>
      </c>
      <c r="AE448" s="87">
        <f t="shared" si="55"/>
        <v>0</v>
      </c>
      <c r="AF448" s="85">
        <v>171</v>
      </c>
      <c r="AG448" s="81">
        <v>43118</v>
      </c>
      <c r="AH448" s="86">
        <v>30385000</v>
      </c>
      <c r="AI448" s="63" t="s">
        <v>1279</v>
      </c>
      <c r="AJ448" s="63">
        <v>154</v>
      </c>
      <c r="AK448" s="87">
        <f t="shared" si="52"/>
        <v>0</v>
      </c>
      <c r="AL448" s="86">
        <v>22586183</v>
      </c>
      <c r="AM448" s="86">
        <f t="shared" si="53"/>
        <v>7798817</v>
      </c>
      <c r="AN448" s="63" t="s">
        <v>1155</v>
      </c>
      <c r="AO448" s="86">
        <f t="shared" si="54"/>
        <v>0</v>
      </c>
      <c r="AP448" s="63"/>
      <c r="AQ448" s="63"/>
      <c r="AR448" s="63"/>
      <c r="AS448" s="63"/>
      <c r="AT448" s="63"/>
      <c r="AU448" s="220"/>
      <c r="AV448" s="220"/>
      <c r="AW448" s="220"/>
    </row>
    <row r="449" spans="1:49" s="221" customFormat="1" ht="242.25" x14ac:dyDescent="0.25">
      <c r="A449" s="63">
        <v>35</v>
      </c>
      <c r="B449" s="63" t="str">
        <f t="shared" si="50"/>
        <v>3075-35</v>
      </c>
      <c r="C449" s="76" t="s">
        <v>1141</v>
      </c>
      <c r="D449" s="76" t="s">
        <v>1142</v>
      </c>
      <c r="E449" s="76" t="s">
        <v>1143</v>
      </c>
      <c r="F449" s="76" t="s">
        <v>1158</v>
      </c>
      <c r="G449" s="77" t="s">
        <v>1159</v>
      </c>
      <c r="H449" s="78" t="s">
        <v>1160</v>
      </c>
      <c r="I449" s="76" t="s">
        <v>1147</v>
      </c>
      <c r="J449" s="76" t="s">
        <v>1148</v>
      </c>
      <c r="K449" s="76">
        <v>801116</v>
      </c>
      <c r="L449" s="63" t="s">
        <v>1149</v>
      </c>
      <c r="M449" s="63" t="s">
        <v>58</v>
      </c>
      <c r="N449" s="63" t="s">
        <v>59</v>
      </c>
      <c r="O449" s="76" t="s">
        <v>1213</v>
      </c>
      <c r="P449" s="76" t="s">
        <v>1273</v>
      </c>
      <c r="Q449" s="83">
        <v>3038500</v>
      </c>
      <c r="R449" s="63">
        <v>1</v>
      </c>
      <c r="S449" s="80">
        <v>30385000</v>
      </c>
      <c r="T449" s="63" t="s">
        <v>928</v>
      </c>
      <c r="U449" s="63" t="s">
        <v>1163</v>
      </c>
      <c r="V449" s="81" t="s">
        <v>64</v>
      </c>
      <c r="W449" s="82">
        <v>10</v>
      </c>
      <c r="X449" s="63" t="s">
        <v>1280</v>
      </c>
      <c r="Y449" s="81">
        <v>43102</v>
      </c>
      <c r="Z449" s="83">
        <v>30385000</v>
      </c>
      <c r="AA449" s="84" t="s">
        <v>439</v>
      </c>
      <c r="AB449" s="85">
        <v>344</v>
      </c>
      <c r="AC449" s="81">
        <v>43110</v>
      </c>
      <c r="AD449" s="86">
        <v>30385000</v>
      </c>
      <c r="AE449" s="87">
        <f t="shared" si="55"/>
        <v>0</v>
      </c>
      <c r="AF449" s="85">
        <v>349</v>
      </c>
      <c r="AG449" s="81">
        <v>43123</v>
      </c>
      <c r="AH449" s="86">
        <v>30385000</v>
      </c>
      <c r="AI449" s="63" t="s">
        <v>1281</v>
      </c>
      <c r="AJ449" s="63">
        <v>350</v>
      </c>
      <c r="AK449" s="87">
        <f t="shared" si="52"/>
        <v>0</v>
      </c>
      <c r="AL449" s="86">
        <v>21877200</v>
      </c>
      <c r="AM449" s="86">
        <f t="shared" si="53"/>
        <v>8507800</v>
      </c>
      <c r="AN449" s="63" t="s">
        <v>1155</v>
      </c>
      <c r="AO449" s="86">
        <f t="shared" si="54"/>
        <v>0</v>
      </c>
      <c r="AP449" s="63"/>
      <c r="AQ449" s="63"/>
      <c r="AR449" s="63"/>
      <c r="AS449" s="63"/>
      <c r="AT449" s="63"/>
      <c r="AU449" s="220"/>
      <c r="AV449" s="220"/>
      <c r="AW449" s="220"/>
    </row>
    <row r="450" spans="1:49" s="221" customFormat="1" ht="213.75" x14ac:dyDescent="0.25">
      <c r="A450" s="63">
        <v>36</v>
      </c>
      <c r="B450" s="63" t="str">
        <f t="shared" si="50"/>
        <v>3075-36</v>
      </c>
      <c r="C450" s="76" t="s">
        <v>1141</v>
      </c>
      <c r="D450" s="76" t="s">
        <v>1142</v>
      </c>
      <c r="E450" s="76" t="s">
        <v>1143</v>
      </c>
      <c r="F450" s="76" t="s">
        <v>1158</v>
      </c>
      <c r="G450" s="77" t="s">
        <v>1159</v>
      </c>
      <c r="H450" s="78" t="s">
        <v>1160</v>
      </c>
      <c r="I450" s="76" t="s">
        <v>1147</v>
      </c>
      <c r="J450" s="76" t="s">
        <v>1148</v>
      </c>
      <c r="K450" s="76">
        <v>801116</v>
      </c>
      <c r="L450" s="63" t="s">
        <v>1149</v>
      </c>
      <c r="M450" s="63" t="s">
        <v>58</v>
      </c>
      <c r="N450" s="63" t="s">
        <v>59</v>
      </c>
      <c r="O450" s="76" t="s">
        <v>1213</v>
      </c>
      <c r="P450" s="76" t="s">
        <v>1276</v>
      </c>
      <c r="Q450" s="83">
        <v>3038500</v>
      </c>
      <c r="R450" s="63">
        <v>1</v>
      </c>
      <c r="S450" s="80">
        <v>33423500</v>
      </c>
      <c r="T450" s="63" t="s">
        <v>928</v>
      </c>
      <c r="U450" s="63" t="s">
        <v>1163</v>
      </c>
      <c r="V450" s="81" t="s">
        <v>64</v>
      </c>
      <c r="W450" s="82">
        <v>11</v>
      </c>
      <c r="X450" s="63" t="s">
        <v>1282</v>
      </c>
      <c r="Y450" s="81">
        <v>43102</v>
      </c>
      <c r="Z450" s="83">
        <v>33423500</v>
      </c>
      <c r="AA450" s="84" t="s">
        <v>439</v>
      </c>
      <c r="AB450" s="85">
        <v>390</v>
      </c>
      <c r="AC450" s="81">
        <v>43110</v>
      </c>
      <c r="AD450" s="86">
        <v>33423500</v>
      </c>
      <c r="AE450" s="87">
        <f t="shared" si="55"/>
        <v>0</v>
      </c>
      <c r="AF450" s="85">
        <v>212</v>
      </c>
      <c r="AG450" s="81">
        <v>43118</v>
      </c>
      <c r="AH450" s="86">
        <v>33423500</v>
      </c>
      <c r="AI450" s="63" t="s">
        <v>1283</v>
      </c>
      <c r="AJ450" s="63">
        <v>184</v>
      </c>
      <c r="AK450" s="87">
        <f t="shared" si="52"/>
        <v>0</v>
      </c>
      <c r="AL450" s="86">
        <v>22484900</v>
      </c>
      <c r="AM450" s="86">
        <f t="shared" si="53"/>
        <v>10938600</v>
      </c>
      <c r="AN450" s="63" t="s">
        <v>1155</v>
      </c>
      <c r="AO450" s="86">
        <f t="shared" si="54"/>
        <v>0</v>
      </c>
      <c r="AP450" s="63"/>
      <c r="AQ450" s="63"/>
      <c r="AR450" s="63"/>
      <c r="AS450" s="63"/>
      <c r="AT450" s="63"/>
      <c r="AU450" s="220"/>
      <c r="AV450" s="220"/>
      <c r="AW450" s="220"/>
    </row>
    <row r="451" spans="1:49" s="221" customFormat="1" ht="356.25" x14ac:dyDescent="0.25">
      <c r="A451" s="63">
        <v>37</v>
      </c>
      <c r="B451" s="63" t="str">
        <f t="shared" si="50"/>
        <v>3075-37</v>
      </c>
      <c r="C451" s="76" t="s">
        <v>1141</v>
      </c>
      <c r="D451" s="76" t="s">
        <v>1142</v>
      </c>
      <c r="E451" s="76" t="s">
        <v>1143</v>
      </c>
      <c r="F451" s="76" t="s">
        <v>1158</v>
      </c>
      <c r="G451" s="77" t="s">
        <v>1159</v>
      </c>
      <c r="H451" s="78" t="s">
        <v>1160</v>
      </c>
      <c r="I451" s="76" t="s">
        <v>1147</v>
      </c>
      <c r="J451" s="76" t="s">
        <v>1148</v>
      </c>
      <c r="K451" s="76">
        <v>801116</v>
      </c>
      <c r="L451" s="63" t="s">
        <v>1149</v>
      </c>
      <c r="M451" s="63" t="s">
        <v>58</v>
      </c>
      <c r="N451" s="63" t="s">
        <v>59</v>
      </c>
      <c r="O451" s="76" t="s">
        <v>1213</v>
      </c>
      <c r="P451" s="76" t="s">
        <v>1284</v>
      </c>
      <c r="Q451" s="83">
        <v>6180000</v>
      </c>
      <c r="R451" s="63">
        <v>1</v>
      </c>
      <c r="S451" s="80">
        <v>67980000</v>
      </c>
      <c r="T451" s="63" t="s">
        <v>888</v>
      </c>
      <c r="U451" s="63" t="s">
        <v>1163</v>
      </c>
      <c r="V451" s="81" t="s">
        <v>64</v>
      </c>
      <c r="W451" s="82">
        <v>11</v>
      </c>
      <c r="X451" s="63" t="s">
        <v>1285</v>
      </c>
      <c r="Y451" s="81">
        <v>43103</v>
      </c>
      <c r="Z451" s="83">
        <v>67980000</v>
      </c>
      <c r="AA451" s="84" t="s">
        <v>439</v>
      </c>
      <c r="AB451" s="85">
        <v>334</v>
      </c>
      <c r="AC451" s="81">
        <v>43110</v>
      </c>
      <c r="AD451" s="86">
        <v>67980000</v>
      </c>
      <c r="AE451" s="87">
        <f t="shared" si="55"/>
        <v>0</v>
      </c>
      <c r="AF451" s="85">
        <v>192</v>
      </c>
      <c r="AG451" s="81">
        <v>43118</v>
      </c>
      <c r="AH451" s="86">
        <v>67980000</v>
      </c>
      <c r="AI451" s="63" t="s">
        <v>1286</v>
      </c>
      <c r="AJ451" s="63">
        <v>165</v>
      </c>
      <c r="AK451" s="87">
        <f t="shared" si="52"/>
        <v>0</v>
      </c>
      <c r="AL451" s="86">
        <v>45732000</v>
      </c>
      <c r="AM451" s="86">
        <f t="shared" si="53"/>
        <v>22248000</v>
      </c>
      <c r="AN451" s="63" t="s">
        <v>1155</v>
      </c>
      <c r="AO451" s="86">
        <f t="shared" si="54"/>
        <v>0</v>
      </c>
      <c r="AP451" s="63"/>
      <c r="AQ451" s="63"/>
      <c r="AR451" s="63"/>
      <c r="AS451" s="63"/>
      <c r="AT451" s="63"/>
      <c r="AU451" s="220"/>
      <c r="AV451" s="220"/>
      <c r="AW451" s="220"/>
    </row>
    <row r="452" spans="1:49" s="221" customFormat="1" ht="213.75" x14ac:dyDescent="0.25">
      <c r="A452" s="63">
        <v>38</v>
      </c>
      <c r="B452" s="63" t="str">
        <f t="shared" si="50"/>
        <v>3075-38</v>
      </c>
      <c r="C452" s="76" t="s">
        <v>1141</v>
      </c>
      <c r="D452" s="76" t="s">
        <v>1142</v>
      </c>
      <c r="E452" s="76" t="s">
        <v>1143</v>
      </c>
      <c r="F452" s="76" t="s">
        <v>1158</v>
      </c>
      <c r="G452" s="77" t="s">
        <v>1159</v>
      </c>
      <c r="H452" s="78" t="s">
        <v>1160</v>
      </c>
      <c r="I452" s="76" t="s">
        <v>1147</v>
      </c>
      <c r="J452" s="76" t="s">
        <v>1148</v>
      </c>
      <c r="K452" s="76">
        <v>801116</v>
      </c>
      <c r="L452" s="63" t="s">
        <v>1149</v>
      </c>
      <c r="M452" s="63" t="s">
        <v>58</v>
      </c>
      <c r="N452" s="63" t="s">
        <v>59</v>
      </c>
      <c r="O452" s="76" t="s">
        <v>1213</v>
      </c>
      <c r="P452" s="76" t="s">
        <v>1287</v>
      </c>
      <c r="Q452" s="83">
        <v>4120000</v>
      </c>
      <c r="R452" s="63">
        <v>8</v>
      </c>
      <c r="S452" s="80">
        <v>24720000</v>
      </c>
      <c r="T452" s="63" t="s">
        <v>888</v>
      </c>
      <c r="U452" s="63" t="s">
        <v>1163</v>
      </c>
      <c r="V452" s="81" t="s">
        <v>64</v>
      </c>
      <c r="W452" s="82">
        <v>9.75</v>
      </c>
      <c r="X452" s="63" t="s">
        <v>1288</v>
      </c>
      <c r="Y452" s="81">
        <v>43111</v>
      </c>
      <c r="Z452" s="83">
        <v>24720000</v>
      </c>
      <c r="AA452" s="84" t="s">
        <v>439</v>
      </c>
      <c r="AB452" s="85">
        <v>470</v>
      </c>
      <c r="AC452" s="81">
        <v>43112</v>
      </c>
      <c r="AD452" s="86">
        <v>24720000</v>
      </c>
      <c r="AE452" s="87">
        <f t="shared" si="55"/>
        <v>0</v>
      </c>
      <c r="AF452" s="85">
        <v>243</v>
      </c>
      <c r="AG452" s="81">
        <v>43119</v>
      </c>
      <c r="AH452" s="86">
        <v>24720000</v>
      </c>
      <c r="AI452" s="63" t="s">
        <v>1289</v>
      </c>
      <c r="AJ452" s="63">
        <v>218</v>
      </c>
      <c r="AK452" s="87">
        <f t="shared" si="52"/>
        <v>0</v>
      </c>
      <c r="AL452" s="86">
        <v>24720000</v>
      </c>
      <c r="AM452" s="86">
        <f t="shared" si="53"/>
        <v>0</v>
      </c>
      <c r="AN452" s="63" t="s">
        <v>1155</v>
      </c>
      <c r="AO452" s="86">
        <f t="shared" si="54"/>
        <v>0</v>
      </c>
      <c r="AP452" s="63"/>
      <c r="AQ452" s="63"/>
      <c r="AR452" s="63"/>
      <c r="AS452" s="63"/>
      <c r="AT452" s="63"/>
      <c r="AU452" s="220"/>
      <c r="AV452" s="220"/>
      <c r="AW452" s="220"/>
    </row>
    <row r="453" spans="1:49" s="221" customFormat="1" ht="313.5" x14ac:dyDescent="0.25">
      <c r="A453" s="63">
        <v>39</v>
      </c>
      <c r="B453" s="63" t="str">
        <f t="shared" si="50"/>
        <v>3075-39</v>
      </c>
      <c r="C453" s="76" t="s">
        <v>1141</v>
      </c>
      <c r="D453" s="76" t="s">
        <v>1142</v>
      </c>
      <c r="E453" s="76" t="s">
        <v>1143</v>
      </c>
      <c r="F453" s="76" t="s">
        <v>1158</v>
      </c>
      <c r="G453" s="77" t="s">
        <v>1159</v>
      </c>
      <c r="H453" s="78" t="s">
        <v>1160</v>
      </c>
      <c r="I453" s="76" t="s">
        <v>1147</v>
      </c>
      <c r="J453" s="76" t="s">
        <v>1148</v>
      </c>
      <c r="K453" s="76">
        <v>801116</v>
      </c>
      <c r="L453" s="63" t="s">
        <v>1149</v>
      </c>
      <c r="M453" s="63" t="s">
        <v>58</v>
      </c>
      <c r="N453" s="63" t="s">
        <v>59</v>
      </c>
      <c r="O453" s="76" t="s">
        <v>1213</v>
      </c>
      <c r="P453" s="63" t="s">
        <v>1290</v>
      </c>
      <c r="Q453" s="83">
        <v>4120000</v>
      </c>
      <c r="R453" s="63">
        <v>1</v>
      </c>
      <c r="S453" s="80">
        <v>41200000</v>
      </c>
      <c r="T453" s="63" t="s">
        <v>888</v>
      </c>
      <c r="U453" s="63" t="s">
        <v>1163</v>
      </c>
      <c r="V453" s="81" t="s">
        <v>64</v>
      </c>
      <c r="W453" s="82">
        <v>10</v>
      </c>
      <c r="X453" s="63" t="s">
        <v>1291</v>
      </c>
      <c r="Y453" s="81">
        <v>43102</v>
      </c>
      <c r="Z453" s="83">
        <v>41200000</v>
      </c>
      <c r="AA453" s="84" t="s">
        <v>439</v>
      </c>
      <c r="AB453" s="85">
        <v>314</v>
      </c>
      <c r="AC453" s="81">
        <v>43110</v>
      </c>
      <c r="AD453" s="86">
        <v>41200000</v>
      </c>
      <c r="AE453" s="87">
        <f t="shared" si="55"/>
        <v>0</v>
      </c>
      <c r="AF453" s="85">
        <v>325</v>
      </c>
      <c r="AG453" s="81">
        <v>43123</v>
      </c>
      <c r="AH453" s="86">
        <v>41200000</v>
      </c>
      <c r="AI453" s="63" t="s">
        <v>1292</v>
      </c>
      <c r="AJ453" s="63">
        <v>286</v>
      </c>
      <c r="AK453" s="87">
        <f t="shared" si="52"/>
        <v>0</v>
      </c>
      <c r="AL453" s="86">
        <v>29938667</v>
      </c>
      <c r="AM453" s="86">
        <f t="shared" si="53"/>
        <v>11261333</v>
      </c>
      <c r="AN453" s="63" t="s">
        <v>1155</v>
      </c>
      <c r="AO453" s="86">
        <f t="shared" si="54"/>
        <v>0</v>
      </c>
      <c r="AP453" s="63"/>
      <c r="AQ453" s="63"/>
      <c r="AR453" s="63"/>
      <c r="AS453" s="63"/>
      <c r="AT453" s="63"/>
      <c r="AU453" s="220"/>
      <c r="AV453" s="220"/>
      <c r="AW453" s="220"/>
    </row>
    <row r="454" spans="1:49" s="221" customFormat="1" ht="199.5" x14ac:dyDescent="0.25">
      <c r="A454" s="63">
        <v>40</v>
      </c>
      <c r="B454" s="63" t="str">
        <f t="shared" si="50"/>
        <v>3075-40</v>
      </c>
      <c r="C454" s="76" t="s">
        <v>1141</v>
      </c>
      <c r="D454" s="76" t="s">
        <v>1142</v>
      </c>
      <c r="E454" s="76" t="s">
        <v>1143</v>
      </c>
      <c r="F454" s="76" t="s">
        <v>1158</v>
      </c>
      <c r="G454" s="77" t="s">
        <v>1159</v>
      </c>
      <c r="H454" s="78" t="s">
        <v>1160</v>
      </c>
      <c r="I454" s="76" t="s">
        <v>1147</v>
      </c>
      <c r="J454" s="76" t="s">
        <v>1148</v>
      </c>
      <c r="K454" s="76">
        <v>801116</v>
      </c>
      <c r="L454" s="63" t="s">
        <v>1149</v>
      </c>
      <c r="M454" s="63" t="s">
        <v>58</v>
      </c>
      <c r="N454" s="63" t="s">
        <v>59</v>
      </c>
      <c r="O454" s="76" t="s">
        <v>1213</v>
      </c>
      <c r="P454" s="76" t="s">
        <v>1293</v>
      </c>
      <c r="Q454" s="83">
        <v>4120000</v>
      </c>
      <c r="R454" s="63">
        <v>4</v>
      </c>
      <c r="S454" s="80">
        <v>0</v>
      </c>
      <c r="T454" s="63"/>
      <c r="U454" s="63"/>
      <c r="V454" s="81"/>
      <c r="W454" s="82"/>
      <c r="X454" s="63"/>
      <c r="Y454" s="81"/>
      <c r="Z454" s="83"/>
      <c r="AA454" s="84"/>
      <c r="AB454" s="85"/>
      <c r="AC454" s="81"/>
      <c r="AD454" s="86"/>
      <c r="AE454" s="87">
        <f t="shared" si="55"/>
        <v>0</v>
      </c>
      <c r="AF454" s="85"/>
      <c r="AG454" s="81"/>
      <c r="AH454" s="86"/>
      <c r="AI454" s="63"/>
      <c r="AJ454" s="63"/>
      <c r="AK454" s="87">
        <f t="shared" si="52"/>
        <v>0</v>
      </c>
      <c r="AL454" s="86"/>
      <c r="AM454" s="86">
        <f t="shared" si="53"/>
        <v>0</v>
      </c>
      <c r="AN454" s="63" t="s">
        <v>1155</v>
      </c>
      <c r="AO454" s="86">
        <f t="shared" si="54"/>
        <v>0</v>
      </c>
      <c r="AP454" s="63"/>
      <c r="AQ454" s="63"/>
      <c r="AR454" s="63" t="s">
        <v>1157</v>
      </c>
      <c r="AS454" s="63"/>
      <c r="AT454" s="63"/>
      <c r="AU454" s="220"/>
      <c r="AV454" s="220"/>
      <c r="AW454" s="220"/>
    </row>
    <row r="455" spans="1:49" s="221" customFormat="1" ht="342" x14ac:dyDescent="0.25">
      <c r="A455" s="63">
        <v>41</v>
      </c>
      <c r="B455" s="63" t="str">
        <f t="shared" si="50"/>
        <v>3075-41</v>
      </c>
      <c r="C455" s="76" t="s">
        <v>1141</v>
      </c>
      <c r="D455" s="76" t="s">
        <v>1142</v>
      </c>
      <c r="E455" s="76" t="s">
        <v>1143</v>
      </c>
      <c r="F455" s="76" t="s">
        <v>1158</v>
      </c>
      <c r="G455" s="77" t="s">
        <v>1159</v>
      </c>
      <c r="H455" s="78" t="s">
        <v>1160</v>
      </c>
      <c r="I455" s="76" t="s">
        <v>1147</v>
      </c>
      <c r="J455" s="76" t="s">
        <v>1148</v>
      </c>
      <c r="K455" s="76">
        <v>801116</v>
      </c>
      <c r="L455" s="63" t="s">
        <v>1149</v>
      </c>
      <c r="M455" s="63" t="s">
        <v>58</v>
      </c>
      <c r="N455" s="63" t="s">
        <v>59</v>
      </c>
      <c r="O455" s="76" t="s">
        <v>1213</v>
      </c>
      <c r="P455" s="76" t="s">
        <v>1294</v>
      </c>
      <c r="Q455" s="83">
        <v>4120000</v>
      </c>
      <c r="R455" s="63">
        <v>2</v>
      </c>
      <c r="S455" s="80">
        <v>0</v>
      </c>
      <c r="T455" s="63"/>
      <c r="U455" s="63"/>
      <c r="V455" s="81"/>
      <c r="W455" s="82"/>
      <c r="X455" s="63"/>
      <c r="Y455" s="81"/>
      <c r="Z455" s="83"/>
      <c r="AA455" s="84"/>
      <c r="AB455" s="85"/>
      <c r="AC455" s="81"/>
      <c r="AD455" s="86"/>
      <c r="AE455" s="87">
        <f t="shared" si="55"/>
        <v>0</v>
      </c>
      <c r="AF455" s="85"/>
      <c r="AG455" s="81"/>
      <c r="AH455" s="86"/>
      <c r="AI455" s="63"/>
      <c r="AJ455" s="63"/>
      <c r="AK455" s="87">
        <f t="shared" si="52"/>
        <v>0</v>
      </c>
      <c r="AL455" s="86"/>
      <c r="AM455" s="86">
        <f t="shared" si="53"/>
        <v>0</v>
      </c>
      <c r="AN455" s="63" t="s">
        <v>1155</v>
      </c>
      <c r="AO455" s="86">
        <f t="shared" si="54"/>
        <v>0</v>
      </c>
      <c r="AP455" s="63"/>
      <c r="AQ455" s="63"/>
      <c r="AR455" s="63" t="s">
        <v>1157</v>
      </c>
      <c r="AS455" s="63"/>
      <c r="AT455" s="63"/>
      <c r="AU455" s="220"/>
      <c r="AV455" s="220"/>
      <c r="AW455" s="220"/>
    </row>
    <row r="456" spans="1:49" s="221" customFormat="1" ht="270.75" x14ac:dyDescent="0.25">
      <c r="A456" s="63">
        <v>42</v>
      </c>
      <c r="B456" s="63" t="str">
        <f t="shared" si="50"/>
        <v>3075-42</v>
      </c>
      <c r="C456" s="76" t="s">
        <v>1141</v>
      </c>
      <c r="D456" s="76" t="s">
        <v>1142</v>
      </c>
      <c r="E456" s="76" t="s">
        <v>1143</v>
      </c>
      <c r="F456" s="76" t="s">
        <v>1158</v>
      </c>
      <c r="G456" s="77" t="s">
        <v>1159</v>
      </c>
      <c r="H456" s="78" t="s">
        <v>1160</v>
      </c>
      <c r="I456" s="76" t="s">
        <v>1147</v>
      </c>
      <c r="J456" s="76" t="s">
        <v>1148</v>
      </c>
      <c r="K456" s="76">
        <v>801116</v>
      </c>
      <c r="L456" s="63" t="s">
        <v>1149</v>
      </c>
      <c r="M456" s="63" t="s">
        <v>58</v>
      </c>
      <c r="N456" s="63" t="s">
        <v>59</v>
      </c>
      <c r="O456" s="76" t="s">
        <v>1213</v>
      </c>
      <c r="P456" s="76" t="s">
        <v>1295</v>
      </c>
      <c r="Q456" s="83">
        <v>5036700</v>
      </c>
      <c r="R456" s="63">
        <v>1</v>
      </c>
      <c r="S456" s="80">
        <v>55403700</v>
      </c>
      <c r="T456" s="63" t="s">
        <v>888</v>
      </c>
      <c r="U456" s="63" t="s">
        <v>1163</v>
      </c>
      <c r="V456" s="81" t="s">
        <v>64</v>
      </c>
      <c r="W456" s="82">
        <v>11</v>
      </c>
      <c r="X456" s="63" t="s">
        <v>1296</v>
      </c>
      <c r="Y456" s="81">
        <v>43103</v>
      </c>
      <c r="Z456" s="83">
        <v>55403700</v>
      </c>
      <c r="AA456" s="84" t="s">
        <v>439</v>
      </c>
      <c r="AB456" s="85">
        <v>346</v>
      </c>
      <c r="AC456" s="81">
        <v>43110</v>
      </c>
      <c r="AD456" s="86">
        <v>55403700</v>
      </c>
      <c r="AE456" s="87">
        <f t="shared" si="55"/>
        <v>0</v>
      </c>
      <c r="AF456" s="85">
        <v>194</v>
      </c>
      <c r="AG456" s="81">
        <v>43118</v>
      </c>
      <c r="AH456" s="86">
        <v>55403700</v>
      </c>
      <c r="AI456" s="63" t="s">
        <v>1297</v>
      </c>
      <c r="AJ456" s="63">
        <v>162</v>
      </c>
      <c r="AK456" s="87">
        <f t="shared" si="52"/>
        <v>0</v>
      </c>
      <c r="AL456" s="86">
        <v>37271580</v>
      </c>
      <c r="AM456" s="86">
        <f t="shared" si="53"/>
        <v>18132120</v>
      </c>
      <c r="AN456" s="63" t="s">
        <v>1155</v>
      </c>
      <c r="AO456" s="86">
        <f t="shared" si="54"/>
        <v>0</v>
      </c>
      <c r="AP456" s="63"/>
      <c r="AQ456" s="63"/>
      <c r="AR456" s="63"/>
      <c r="AS456" s="63"/>
      <c r="AT456" s="63"/>
      <c r="AU456" s="220"/>
      <c r="AV456" s="220"/>
      <c r="AW456" s="220"/>
    </row>
    <row r="457" spans="1:49" s="221" customFormat="1" ht="285" x14ac:dyDescent="0.25">
      <c r="A457" s="63">
        <v>43</v>
      </c>
      <c r="B457" s="63" t="str">
        <f t="shared" si="50"/>
        <v>3075-43</v>
      </c>
      <c r="C457" s="76" t="s">
        <v>1141</v>
      </c>
      <c r="D457" s="76" t="s">
        <v>1142</v>
      </c>
      <c r="E457" s="76" t="s">
        <v>1143</v>
      </c>
      <c r="F457" s="76" t="s">
        <v>1158</v>
      </c>
      <c r="G457" s="77" t="s">
        <v>1159</v>
      </c>
      <c r="H457" s="78" t="s">
        <v>1160</v>
      </c>
      <c r="I457" s="76" t="s">
        <v>1147</v>
      </c>
      <c r="J457" s="76" t="s">
        <v>1148</v>
      </c>
      <c r="K457" s="76">
        <v>801116</v>
      </c>
      <c r="L457" s="63" t="s">
        <v>1149</v>
      </c>
      <c r="M457" s="63" t="s">
        <v>58</v>
      </c>
      <c r="N457" s="63" t="s">
        <v>59</v>
      </c>
      <c r="O457" s="76" t="s">
        <v>1213</v>
      </c>
      <c r="P457" s="76" t="s">
        <v>1298</v>
      </c>
      <c r="Q457" s="83">
        <v>5665000</v>
      </c>
      <c r="R457" s="63">
        <v>1</v>
      </c>
      <c r="S457" s="80">
        <v>45320000</v>
      </c>
      <c r="T457" s="63" t="s">
        <v>888</v>
      </c>
      <c r="U457" s="63" t="s">
        <v>1163</v>
      </c>
      <c r="V457" s="81" t="s">
        <v>64</v>
      </c>
      <c r="W457" s="82">
        <v>8</v>
      </c>
      <c r="X457" s="63" t="s">
        <v>1299</v>
      </c>
      <c r="Y457" s="81">
        <v>43103</v>
      </c>
      <c r="Z457" s="83">
        <v>45320000</v>
      </c>
      <c r="AA457" s="84" t="s">
        <v>439</v>
      </c>
      <c r="AB457" s="85">
        <v>355</v>
      </c>
      <c r="AC457" s="81">
        <v>43110</v>
      </c>
      <c r="AD457" s="86">
        <v>45320000</v>
      </c>
      <c r="AE457" s="87">
        <f t="shared" si="55"/>
        <v>0</v>
      </c>
      <c r="AF457" s="85">
        <v>139</v>
      </c>
      <c r="AG457" s="81">
        <v>43117</v>
      </c>
      <c r="AH457" s="86">
        <v>45320000</v>
      </c>
      <c r="AI457" s="63" t="s">
        <v>1300</v>
      </c>
      <c r="AJ457" s="63">
        <v>146</v>
      </c>
      <c r="AK457" s="87">
        <f t="shared" si="52"/>
        <v>0</v>
      </c>
      <c r="AL457" s="86">
        <v>42109833</v>
      </c>
      <c r="AM457" s="86">
        <f t="shared" si="53"/>
        <v>3210167</v>
      </c>
      <c r="AN457" s="63" t="s">
        <v>1155</v>
      </c>
      <c r="AO457" s="86">
        <f t="shared" si="54"/>
        <v>0</v>
      </c>
      <c r="AP457" s="63"/>
      <c r="AQ457" s="63"/>
      <c r="AR457" s="63"/>
      <c r="AS457" s="63"/>
      <c r="AT457" s="63"/>
      <c r="AU457" s="220"/>
      <c r="AV457" s="220"/>
      <c r="AW457" s="220"/>
    </row>
    <row r="458" spans="1:49" s="221" customFormat="1" ht="228" x14ac:dyDescent="0.25">
      <c r="A458" s="63">
        <v>44</v>
      </c>
      <c r="B458" s="63" t="str">
        <f t="shared" si="50"/>
        <v>3075-44</v>
      </c>
      <c r="C458" s="76" t="s">
        <v>1141</v>
      </c>
      <c r="D458" s="76" t="s">
        <v>1142</v>
      </c>
      <c r="E458" s="76" t="s">
        <v>1143</v>
      </c>
      <c r="F458" s="76" t="s">
        <v>1158</v>
      </c>
      <c r="G458" s="77" t="s">
        <v>1159</v>
      </c>
      <c r="H458" s="78" t="s">
        <v>1160</v>
      </c>
      <c r="I458" s="76" t="s">
        <v>1147</v>
      </c>
      <c r="J458" s="76" t="s">
        <v>1148</v>
      </c>
      <c r="K458" s="76">
        <v>801116</v>
      </c>
      <c r="L458" s="63" t="s">
        <v>1149</v>
      </c>
      <c r="M458" s="63" t="s">
        <v>58</v>
      </c>
      <c r="N458" s="63" t="s">
        <v>59</v>
      </c>
      <c r="O458" s="76" t="s">
        <v>1213</v>
      </c>
      <c r="P458" s="76" t="s">
        <v>1301</v>
      </c>
      <c r="Q458" s="83">
        <v>8240000</v>
      </c>
      <c r="R458" s="63">
        <v>2</v>
      </c>
      <c r="S458" s="80">
        <v>0</v>
      </c>
      <c r="T458" s="63"/>
      <c r="U458" s="63"/>
      <c r="V458" s="81"/>
      <c r="W458" s="82"/>
      <c r="X458" s="63"/>
      <c r="Y458" s="81"/>
      <c r="Z458" s="83"/>
      <c r="AA458" s="84"/>
      <c r="AB458" s="85"/>
      <c r="AC458" s="81"/>
      <c r="AD458" s="86"/>
      <c r="AE458" s="87">
        <f t="shared" si="55"/>
        <v>0</v>
      </c>
      <c r="AF458" s="85"/>
      <c r="AG458" s="81"/>
      <c r="AH458" s="86"/>
      <c r="AI458" s="63"/>
      <c r="AJ458" s="63"/>
      <c r="AK458" s="87">
        <f t="shared" si="52"/>
        <v>0</v>
      </c>
      <c r="AL458" s="86"/>
      <c r="AM458" s="86">
        <f t="shared" si="53"/>
        <v>0</v>
      </c>
      <c r="AN458" s="63" t="s">
        <v>1155</v>
      </c>
      <c r="AO458" s="86">
        <f t="shared" si="54"/>
        <v>0</v>
      </c>
      <c r="AP458" s="63"/>
      <c r="AQ458" s="63"/>
      <c r="AR458" s="63" t="s">
        <v>1157</v>
      </c>
      <c r="AS458" s="63"/>
      <c r="AT458" s="63"/>
      <c r="AU458" s="220"/>
      <c r="AV458" s="220"/>
      <c r="AW458" s="220"/>
    </row>
    <row r="459" spans="1:49" s="221" customFormat="1" ht="256.5" x14ac:dyDescent="0.25">
      <c r="A459" s="63">
        <v>45</v>
      </c>
      <c r="B459" s="63" t="str">
        <f t="shared" si="50"/>
        <v>3075-45</v>
      </c>
      <c r="C459" s="76" t="s">
        <v>1141</v>
      </c>
      <c r="D459" s="76" t="s">
        <v>1142</v>
      </c>
      <c r="E459" s="76" t="s">
        <v>1143</v>
      </c>
      <c r="F459" s="76" t="s">
        <v>1158</v>
      </c>
      <c r="G459" s="77" t="s">
        <v>1159</v>
      </c>
      <c r="H459" s="78" t="s">
        <v>1160</v>
      </c>
      <c r="I459" s="76" t="s">
        <v>1147</v>
      </c>
      <c r="J459" s="76" t="s">
        <v>1148</v>
      </c>
      <c r="K459" s="76">
        <v>801116</v>
      </c>
      <c r="L459" s="63" t="s">
        <v>1149</v>
      </c>
      <c r="M459" s="63" t="s">
        <v>58</v>
      </c>
      <c r="N459" s="63" t="s">
        <v>59</v>
      </c>
      <c r="O459" s="76" t="s">
        <v>1213</v>
      </c>
      <c r="P459" s="76" t="s">
        <v>1302</v>
      </c>
      <c r="Q459" s="83">
        <v>8240000</v>
      </c>
      <c r="R459" s="63">
        <v>1</v>
      </c>
      <c r="S459" s="80">
        <v>90640000</v>
      </c>
      <c r="T459" s="63" t="s">
        <v>888</v>
      </c>
      <c r="U459" s="63" t="s">
        <v>1163</v>
      </c>
      <c r="V459" s="81" t="s">
        <v>64</v>
      </c>
      <c r="W459" s="82">
        <v>11</v>
      </c>
      <c r="X459" s="63" t="s">
        <v>1303</v>
      </c>
      <c r="Y459" s="81">
        <v>43103</v>
      </c>
      <c r="Z459" s="83">
        <v>90640000</v>
      </c>
      <c r="AA459" s="84" t="s">
        <v>439</v>
      </c>
      <c r="AB459" s="85">
        <v>364</v>
      </c>
      <c r="AC459" s="81">
        <v>43110</v>
      </c>
      <c r="AD459" s="86">
        <v>90640000</v>
      </c>
      <c r="AE459" s="87">
        <f t="shared" si="55"/>
        <v>0</v>
      </c>
      <c r="AF459" s="85">
        <v>116</v>
      </c>
      <c r="AG459" s="81">
        <v>43117</v>
      </c>
      <c r="AH459" s="86">
        <v>90640000</v>
      </c>
      <c r="AI459" s="63" t="s">
        <v>1304</v>
      </c>
      <c r="AJ459" s="63">
        <v>94</v>
      </c>
      <c r="AK459" s="87">
        <f t="shared" si="52"/>
        <v>0</v>
      </c>
      <c r="AL459" s="86">
        <v>61525334</v>
      </c>
      <c r="AM459" s="86">
        <f t="shared" si="53"/>
        <v>29114666</v>
      </c>
      <c r="AN459" s="63" t="s">
        <v>1155</v>
      </c>
      <c r="AO459" s="86">
        <f t="shared" si="54"/>
        <v>0</v>
      </c>
      <c r="AP459" s="63"/>
      <c r="AQ459" s="63"/>
      <c r="AR459" s="63"/>
      <c r="AS459" s="63"/>
      <c r="AT459" s="63"/>
      <c r="AU459" s="220"/>
      <c r="AV459" s="220"/>
      <c r="AW459" s="220"/>
    </row>
    <row r="460" spans="1:49" s="221" customFormat="1" ht="270.75" x14ac:dyDescent="0.25">
      <c r="A460" s="63">
        <v>46</v>
      </c>
      <c r="B460" s="63" t="str">
        <f t="shared" si="50"/>
        <v>3075-46</v>
      </c>
      <c r="C460" s="76" t="s">
        <v>1141</v>
      </c>
      <c r="D460" s="76" t="s">
        <v>1142</v>
      </c>
      <c r="E460" s="76" t="s">
        <v>1305</v>
      </c>
      <c r="F460" s="76" t="s">
        <v>1158</v>
      </c>
      <c r="G460" s="77" t="s">
        <v>1159</v>
      </c>
      <c r="H460" s="78" t="s">
        <v>1160</v>
      </c>
      <c r="I460" s="76" t="s">
        <v>1147</v>
      </c>
      <c r="J460" s="76" t="s">
        <v>1148</v>
      </c>
      <c r="K460" s="76">
        <v>801116</v>
      </c>
      <c r="L460" s="63" t="s">
        <v>1149</v>
      </c>
      <c r="M460" s="63" t="s">
        <v>58</v>
      </c>
      <c r="N460" s="63" t="s">
        <v>59</v>
      </c>
      <c r="O460" s="76" t="s">
        <v>1213</v>
      </c>
      <c r="P460" s="76" t="s">
        <v>1306</v>
      </c>
      <c r="Q460" s="83">
        <v>8240000</v>
      </c>
      <c r="R460" s="63">
        <v>1</v>
      </c>
      <c r="S460" s="80">
        <v>90640000</v>
      </c>
      <c r="T460" s="63" t="s">
        <v>888</v>
      </c>
      <c r="U460" s="63" t="s">
        <v>1163</v>
      </c>
      <c r="V460" s="81" t="s">
        <v>64</v>
      </c>
      <c r="W460" s="82">
        <v>11</v>
      </c>
      <c r="X460" s="63" t="s">
        <v>1307</v>
      </c>
      <c r="Y460" s="81">
        <v>43103</v>
      </c>
      <c r="Z460" s="83">
        <v>90640000</v>
      </c>
      <c r="AA460" s="84" t="s">
        <v>439</v>
      </c>
      <c r="AB460" s="85">
        <v>319</v>
      </c>
      <c r="AC460" s="81">
        <v>43110</v>
      </c>
      <c r="AD460" s="86">
        <v>90640000</v>
      </c>
      <c r="AE460" s="87">
        <f t="shared" si="55"/>
        <v>0</v>
      </c>
      <c r="AF460" s="85">
        <v>127</v>
      </c>
      <c r="AG460" s="81">
        <v>43117</v>
      </c>
      <c r="AH460" s="86">
        <v>90640000</v>
      </c>
      <c r="AI460" s="63" t="s">
        <v>1308</v>
      </c>
      <c r="AJ460" s="63">
        <v>119</v>
      </c>
      <c r="AK460" s="87">
        <f t="shared" si="52"/>
        <v>0</v>
      </c>
      <c r="AL460" s="86">
        <v>61250667</v>
      </c>
      <c r="AM460" s="86">
        <f t="shared" si="53"/>
        <v>29389333</v>
      </c>
      <c r="AN460" s="63" t="s">
        <v>1155</v>
      </c>
      <c r="AO460" s="86">
        <f t="shared" si="54"/>
        <v>0</v>
      </c>
      <c r="AP460" s="63"/>
      <c r="AQ460" s="63"/>
      <c r="AR460" s="63"/>
      <c r="AS460" s="63"/>
      <c r="AT460" s="63"/>
      <c r="AU460" s="220"/>
      <c r="AV460" s="220"/>
      <c r="AW460" s="220"/>
    </row>
    <row r="461" spans="1:49" s="221" customFormat="1" ht="242.25" x14ac:dyDescent="0.25">
      <c r="A461" s="63">
        <v>47</v>
      </c>
      <c r="B461" s="63" t="str">
        <f t="shared" si="50"/>
        <v>3075-47</v>
      </c>
      <c r="C461" s="76" t="s">
        <v>1141</v>
      </c>
      <c r="D461" s="76" t="s">
        <v>1142</v>
      </c>
      <c r="E461" s="76" t="s">
        <v>1143</v>
      </c>
      <c r="F461" s="76" t="s">
        <v>1158</v>
      </c>
      <c r="G461" s="77" t="s">
        <v>1159</v>
      </c>
      <c r="H461" s="78" t="s">
        <v>1160</v>
      </c>
      <c r="I461" s="76" t="s">
        <v>1147</v>
      </c>
      <c r="J461" s="76" t="s">
        <v>1148</v>
      </c>
      <c r="K461" s="76">
        <v>801116</v>
      </c>
      <c r="L461" s="63" t="s">
        <v>1149</v>
      </c>
      <c r="M461" s="63" t="s">
        <v>58</v>
      </c>
      <c r="N461" s="63" t="s">
        <v>59</v>
      </c>
      <c r="O461" s="76" t="s">
        <v>1213</v>
      </c>
      <c r="P461" s="76" t="s">
        <v>1309</v>
      </c>
      <c r="Q461" s="83">
        <v>6180000</v>
      </c>
      <c r="R461" s="63">
        <v>1</v>
      </c>
      <c r="S461" s="80">
        <v>61800000</v>
      </c>
      <c r="T461" s="63" t="s">
        <v>888</v>
      </c>
      <c r="U461" s="63" t="s">
        <v>1163</v>
      </c>
      <c r="V461" s="81" t="s">
        <v>64</v>
      </c>
      <c r="W461" s="82">
        <v>10</v>
      </c>
      <c r="X461" s="63" t="s">
        <v>1310</v>
      </c>
      <c r="Y461" s="81">
        <v>43103</v>
      </c>
      <c r="Z461" s="83">
        <v>61800000</v>
      </c>
      <c r="AA461" s="84" t="s">
        <v>439</v>
      </c>
      <c r="AB461" s="85">
        <v>329</v>
      </c>
      <c r="AC461" s="81">
        <v>43110</v>
      </c>
      <c r="AD461" s="86">
        <v>61800000</v>
      </c>
      <c r="AE461" s="87">
        <f t="shared" si="55"/>
        <v>0</v>
      </c>
      <c r="AF461" s="85">
        <v>389</v>
      </c>
      <c r="AG461" s="81">
        <v>43124</v>
      </c>
      <c r="AH461" s="86">
        <v>61800000</v>
      </c>
      <c r="AI461" s="63" t="s">
        <v>1311</v>
      </c>
      <c r="AJ461" s="63">
        <v>312</v>
      </c>
      <c r="AK461" s="87">
        <f t="shared" si="52"/>
        <v>0</v>
      </c>
      <c r="AL461" s="86">
        <v>44702000</v>
      </c>
      <c r="AM461" s="86">
        <f t="shared" si="53"/>
        <v>17098000</v>
      </c>
      <c r="AN461" s="63" t="s">
        <v>1155</v>
      </c>
      <c r="AO461" s="86">
        <f t="shared" si="54"/>
        <v>0</v>
      </c>
      <c r="AP461" s="63"/>
      <c r="AQ461" s="63"/>
      <c r="AR461" s="63"/>
      <c r="AS461" s="63"/>
      <c r="AT461" s="63"/>
      <c r="AU461" s="220"/>
      <c r="AV461" s="220"/>
      <c r="AW461" s="220"/>
    </row>
    <row r="462" spans="1:49" s="221" customFormat="1" ht="409.5" x14ac:dyDescent="0.25">
      <c r="A462" s="63">
        <v>48</v>
      </c>
      <c r="B462" s="63" t="str">
        <f t="shared" si="50"/>
        <v>3075-48</v>
      </c>
      <c r="C462" s="76" t="s">
        <v>1141</v>
      </c>
      <c r="D462" s="76" t="s">
        <v>1142</v>
      </c>
      <c r="E462" s="76" t="s">
        <v>1143</v>
      </c>
      <c r="F462" s="76" t="s">
        <v>1158</v>
      </c>
      <c r="G462" s="77" t="s">
        <v>1159</v>
      </c>
      <c r="H462" s="78" t="s">
        <v>1160</v>
      </c>
      <c r="I462" s="76" t="s">
        <v>1147</v>
      </c>
      <c r="J462" s="76" t="s">
        <v>1148</v>
      </c>
      <c r="K462" s="76">
        <v>801116</v>
      </c>
      <c r="L462" s="63" t="s">
        <v>1149</v>
      </c>
      <c r="M462" s="63" t="s">
        <v>58</v>
      </c>
      <c r="N462" s="63" t="s">
        <v>59</v>
      </c>
      <c r="O462" s="76" t="s">
        <v>1213</v>
      </c>
      <c r="P462" s="76" t="s">
        <v>1312</v>
      </c>
      <c r="Q462" s="83">
        <v>5036700</v>
      </c>
      <c r="R462" s="63">
        <v>2</v>
      </c>
      <c r="S462" s="80">
        <v>50367000</v>
      </c>
      <c r="T462" s="63" t="s">
        <v>888</v>
      </c>
      <c r="U462" s="63" t="s">
        <v>1163</v>
      </c>
      <c r="V462" s="81" t="s">
        <v>64</v>
      </c>
      <c r="W462" s="82">
        <v>10</v>
      </c>
      <c r="X462" s="63" t="s">
        <v>1313</v>
      </c>
      <c r="Y462" s="81">
        <v>43111</v>
      </c>
      <c r="Z462" s="83">
        <v>50367000</v>
      </c>
      <c r="AA462" s="84" t="s">
        <v>1314</v>
      </c>
      <c r="AB462" s="85">
        <v>453</v>
      </c>
      <c r="AC462" s="81">
        <v>43111</v>
      </c>
      <c r="AD462" s="86">
        <v>50367000</v>
      </c>
      <c r="AE462" s="87">
        <f t="shared" si="55"/>
        <v>0</v>
      </c>
      <c r="AF462" s="85">
        <v>419</v>
      </c>
      <c r="AG462" s="81">
        <v>43124</v>
      </c>
      <c r="AH462" s="86">
        <v>50367000</v>
      </c>
      <c r="AI462" s="63" t="s">
        <v>1315</v>
      </c>
      <c r="AJ462" s="63">
        <v>368</v>
      </c>
      <c r="AK462" s="87">
        <f t="shared" si="52"/>
        <v>0</v>
      </c>
      <c r="AL462" s="86">
        <v>36264240</v>
      </c>
      <c r="AM462" s="86">
        <f t="shared" si="53"/>
        <v>14102760</v>
      </c>
      <c r="AN462" s="63" t="s">
        <v>1155</v>
      </c>
      <c r="AO462" s="86">
        <f t="shared" si="54"/>
        <v>0</v>
      </c>
      <c r="AP462" s="63" t="s">
        <v>1316</v>
      </c>
      <c r="AQ462" s="63"/>
      <c r="AR462" s="63"/>
      <c r="AS462" s="63"/>
      <c r="AT462" s="63"/>
      <c r="AU462" s="220"/>
      <c r="AV462" s="220"/>
      <c r="AW462" s="220"/>
    </row>
    <row r="463" spans="1:49" s="221" customFormat="1" ht="285" x14ac:dyDescent="0.25">
      <c r="A463" s="63">
        <v>49</v>
      </c>
      <c r="B463" s="63" t="str">
        <f t="shared" si="50"/>
        <v>3075-49</v>
      </c>
      <c r="C463" s="76" t="s">
        <v>1141</v>
      </c>
      <c r="D463" s="76" t="s">
        <v>1142</v>
      </c>
      <c r="E463" s="76" t="s">
        <v>1143</v>
      </c>
      <c r="F463" s="76" t="s">
        <v>1158</v>
      </c>
      <c r="G463" s="77" t="s">
        <v>1159</v>
      </c>
      <c r="H463" s="78" t="s">
        <v>1160</v>
      </c>
      <c r="I463" s="76" t="s">
        <v>1147</v>
      </c>
      <c r="J463" s="76" t="s">
        <v>1148</v>
      </c>
      <c r="K463" s="76">
        <v>801116</v>
      </c>
      <c r="L463" s="63" t="s">
        <v>1149</v>
      </c>
      <c r="M463" s="63" t="s">
        <v>58</v>
      </c>
      <c r="N463" s="63" t="s">
        <v>59</v>
      </c>
      <c r="O463" s="76" t="s">
        <v>1213</v>
      </c>
      <c r="P463" s="76" t="s">
        <v>1317</v>
      </c>
      <c r="Q463" s="83">
        <v>8240000</v>
      </c>
      <c r="R463" s="63">
        <v>1</v>
      </c>
      <c r="S463" s="80">
        <v>82400000</v>
      </c>
      <c r="T463" s="63" t="s">
        <v>888</v>
      </c>
      <c r="U463" s="63" t="s">
        <v>1163</v>
      </c>
      <c r="V463" s="81" t="s">
        <v>64</v>
      </c>
      <c r="W463" s="82">
        <v>10</v>
      </c>
      <c r="X463" s="63" t="s">
        <v>1318</v>
      </c>
      <c r="Y463" s="81">
        <v>43103</v>
      </c>
      <c r="Z463" s="83">
        <v>82400000</v>
      </c>
      <c r="AA463" s="84" t="s">
        <v>439</v>
      </c>
      <c r="AB463" s="85">
        <v>363</v>
      </c>
      <c r="AC463" s="81">
        <v>43110</v>
      </c>
      <c r="AD463" s="86">
        <v>82400000</v>
      </c>
      <c r="AE463" s="87">
        <f t="shared" si="55"/>
        <v>0</v>
      </c>
      <c r="AF463" s="85">
        <v>450</v>
      </c>
      <c r="AG463" s="81">
        <v>43125</v>
      </c>
      <c r="AH463" s="86">
        <v>82400000</v>
      </c>
      <c r="AI463" s="63" t="s">
        <v>1319</v>
      </c>
      <c r="AJ463" s="63">
        <v>386</v>
      </c>
      <c r="AK463" s="87">
        <f t="shared" si="52"/>
        <v>0</v>
      </c>
      <c r="AL463" s="86">
        <v>59328000</v>
      </c>
      <c r="AM463" s="86">
        <f t="shared" si="53"/>
        <v>23072000</v>
      </c>
      <c r="AN463" s="63" t="s">
        <v>1155</v>
      </c>
      <c r="AO463" s="86">
        <f t="shared" si="54"/>
        <v>0</v>
      </c>
      <c r="AP463" s="63"/>
      <c r="AQ463" s="63"/>
      <c r="AR463" s="63"/>
      <c r="AS463" s="63"/>
      <c r="AT463" s="63"/>
      <c r="AU463" s="220"/>
      <c r="AV463" s="220"/>
      <c r="AW463" s="220"/>
    </row>
    <row r="464" spans="1:49" s="221" customFormat="1" ht="199.5" x14ac:dyDescent="0.25">
      <c r="A464" s="63">
        <v>50</v>
      </c>
      <c r="B464" s="63" t="str">
        <f t="shared" si="50"/>
        <v>3075-50</v>
      </c>
      <c r="C464" s="76" t="s">
        <v>1141</v>
      </c>
      <c r="D464" s="76" t="s">
        <v>1142</v>
      </c>
      <c r="E464" s="76" t="s">
        <v>1143</v>
      </c>
      <c r="F464" s="76" t="s">
        <v>1158</v>
      </c>
      <c r="G464" s="77" t="s">
        <v>1159</v>
      </c>
      <c r="H464" s="78" t="s">
        <v>1160</v>
      </c>
      <c r="I464" s="76" t="s">
        <v>1147</v>
      </c>
      <c r="J464" s="76" t="s">
        <v>1148</v>
      </c>
      <c r="K464" s="76">
        <v>801116</v>
      </c>
      <c r="L464" s="63" t="s">
        <v>1149</v>
      </c>
      <c r="M464" s="63" t="s">
        <v>58</v>
      </c>
      <c r="N464" s="63" t="s">
        <v>59</v>
      </c>
      <c r="O464" s="76" t="s">
        <v>1213</v>
      </c>
      <c r="P464" s="76" t="s">
        <v>1320</v>
      </c>
      <c r="Q464" s="83">
        <v>7210000</v>
      </c>
      <c r="R464" s="63">
        <v>1</v>
      </c>
      <c r="S464" s="80">
        <f>72100000-25183500-20600000-5922500</f>
        <v>20394000</v>
      </c>
      <c r="T464" s="63" t="s">
        <v>888</v>
      </c>
      <c r="U464" s="63" t="s">
        <v>1163</v>
      </c>
      <c r="V464" s="81" t="s">
        <v>64</v>
      </c>
      <c r="W464" s="82">
        <v>10</v>
      </c>
      <c r="X464" s="63" t="s">
        <v>1321</v>
      </c>
      <c r="Y464" s="81">
        <v>43124</v>
      </c>
      <c r="Z464" s="83">
        <v>20394000</v>
      </c>
      <c r="AA464" s="84" t="s">
        <v>439</v>
      </c>
      <c r="AB464" s="85">
        <v>564</v>
      </c>
      <c r="AC464" s="81">
        <v>43124</v>
      </c>
      <c r="AD464" s="86">
        <v>20394000</v>
      </c>
      <c r="AE464" s="87">
        <f t="shared" si="55"/>
        <v>0</v>
      </c>
      <c r="AF464" s="85">
        <v>484</v>
      </c>
      <c r="AG464" s="81">
        <v>43126</v>
      </c>
      <c r="AH464" s="86">
        <v>20394000</v>
      </c>
      <c r="AI464" s="63" t="s">
        <v>1322</v>
      </c>
      <c r="AJ464" s="63">
        <v>406</v>
      </c>
      <c r="AK464" s="87">
        <f t="shared" si="52"/>
        <v>0</v>
      </c>
      <c r="AL464" s="86">
        <v>20394000</v>
      </c>
      <c r="AM464" s="86">
        <f t="shared" si="53"/>
        <v>0</v>
      </c>
      <c r="AN464" s="63" t="s">
        <v>1155</v>
      </c>
      <c r="AO464" s="86">
        <f t="shared" si="54"/>
        <v>0</v>
      </c>
      <c r="AP464" s="63" t="s">
        <v>1323</v>
      </c>
      <c r="AQ464" s="63"/>
      <c r="AR464" s="63"/>
      <c r="AS464" s="63"/>
      <c r="AT464" s="63"/>
      <c r="AU464" s="220"/>
      <c r="AV464" s="220"/>
      <c r="AW464" s="220"/>
    </row>
    <row r="465" spans="1:49" s="221" customFormat="1" ht="342" x14ac:dyDescent="0.25">
      <c r="A465" s="63">
        <v>51</v>
      </c>
      <c r="B465" s="63" t="str">
        <f t="shared" si="50"/>
        <v>3075-51</v>
      </c>
      <c r="C465" s="76" t="s">
        <v>1141</v>
      </c>
      <c r="D465" s="76" t="s">
        <v>1142</v>
      </c>
      <c r="E465" s="76" t="s">
        <v>1143</v>
      </c>
      <c r="F465" s="76" t="s">
        <v>1158</v>
      </c>
      <c r="G465" s="77" t="s">
        <v>1159</v>
      </c>
      <c r="H465" s="78" t="s">
        <v>1160</v>
      </c>
      <c r="I465" s="76" t="s">
        <v>1147</v>
      </c>
      <c r="J465" s="76" t="s">
        <v>1148</v>
      </c>
      <c r="K465" s="76">
        <v>801116</v>
      </c>
      <c r="L465" s="63" t="s">
        <v>1149</v>
      </c>
      <c r="M465" s="63" t="s">
        <v>58</v>
      </c>
      <c r="N465" s="63" t="s">
        <v>59</v>
      </c>
      <c r="O465" s="76" t="s">
        <v>1213</v>
      </c>
      <c r="P465" s="76" t="s">
        <v>1324</v>
      </c>
      <c r="Q465" s="83">
        <v>6180000</v>
      </c>
      <c r="R465" s="63">
        <v>1</v>
      </c>
      <c r="S465" s="80">
        <v>57783000</v>
      </c>
      <c r="T465" s="63" t="s">
        <v>888</v>
      </c>
      <c r="U465" s="63" t="s">
        <v>1163</v>
      </c>
      <c r="V465" s="81" t="s">
        <v>64</v>
      </c>
      <c r="W465" s="82">
        <v>11.5</v>
      </c>
      <c r="X465" s="63" t="s">
        <v>1325</v>
      </c>
      <c r="Y465" s="81">
        <v>43110</v>
      </c>
      <c r="Z465" s="83">
        <v>57783000</v>
      </c>
      <c r="AA465" s="84" t="s">
        <v>439</v>
      </c>
      <c r="AB465" s="85">
        <v>450</v>
      </c>
      <c r="AC465" s="81">
        <v>43111</v>
      </c>
      <c r="AD465" s="86">
        <v>57783000</v>
      </c>
      <c r="AE465" s="87">
        <f t="shared" si="55"/>
        <v>0</v>
      </c>
      <c r="AF465" s="85">
        <v>263</v>
      </c>
      <c r="AG465" s="81">
        <v>43119</v>
      </c>
      <c r="AH465" s="86">
        <v>57783000</v>
      </c>
      <c r="AI465" s="63" t="s">
        <v>1326</v>
      </c>
      <c r="AJ465" s="63">
        <v>229</v>
      </c>
      <c r="AK465" s="87">
        <f t="shared" si="52"/>
        <v>0</v>
      </c>
      <c r="AL465" s="86">
        <v>38522000</v>
      </c>
      <c r="AM465" s="86">
        <f t="shared" si="53"/>
        <v>19261000</v>
      </c>
      <c r="AN465" s="63" t="s">
        <v>1155</v>
      </c>
      <c r="AO465" s="86">
        <f t="shared" si="54"/>
        <v>0</v>
      </c>
      <c r="AP465" s="63"/>
      <c r="AQ465" s="63"/>
      <c r="AR465" s="63"/>
      <c r="AS465" s="63"/>
      <c r="AT465" s="63"/>
      <c r="AU465" s="220"/>
      <c r="AV465" s="220"/>
      <c r="AW465" s="220"/>
    </row>
    <row r="466" spans="1:49" s="221" customFormat="1" ht="342" x14ac:dyDescent="0.25">
      <c r="A466" s="63">
        <v>52</v>
      </c>
      <c r="B466" s="63" t="str">
        <f t="shared" si="50"/>
        <v>3075-52</v>
      </c>
      <c r="C466" s="76" t="s">
        <v>1141</v>
      </c>
      <c r="D466" s="76" t="s">
        <v>1142</v>
      </c>
      <c r="E466" s="76" t="s">
        <v>1143</v>
      </c>
      <c r="F466" s="76" t="s">
        <v>1158</v>
      </c>
      <c r="G466" s="77" t="s">
        <v>1159</v>
      </c>
      <c r="H466" s="78" t="s">
        <v>1160</v>
      </c>
      <c r="I466" s="76" t="s">
        <v>1147</v>
      </c>
      <c r="J466" s="76" t="s">
        <v>1148</v>
      </c>
      <c r="K466" s="76">
        <v>801116</v>
      </c>
      <c r="L466" s="63" t="s">
        <v>1149</v>
      </c>
      <c r="M466" s="63" t="s">
        <v>58</v>
      </c>
      <c r="N466" s="63" t="s">
        <v>59</v>
      </c>
      <c r="O466" s="76" t="s">
        <v>1213</v>
      </c>
      <c r="P466" s="76" t="s">
        <v>1324</v>
      </c>
      <c r="Q466" s="83">
        <v>4532000</v>
      </c>
      <c r="R466" s="63">
        <v>1</v>
      </c>
      <c r="S466" s="80">
        <f>47380000-17767500-4532000-360500</f>
        <v>24720000</v>
      </c>
      <c r="T466" s="63" t="s">
        <v>888</v>
      </c>
      <c r="U466" s="63" t="s">
        <v>1163</v>
      </c>
      <c r="V466" s="81" t="s">
        <v>64</v>
      </c>
      <c r="W466" s="82">
        <v>11.5</v>
      </c>
      <c r="X466" s="63" t="s">
        <v>1327</v>
      </c>
      <c r="Y466" s="81">
        <v>43109</v>
      </c>
      <c r="Z466" s="83">
        <f>47380000-17767500-4532000-360500</f>
        <v>24720000</v>
      </c>
      <c r="AA466" s="84" t="s">
        <v>439</v>
      </c>
      <c r="AB466" s="85">
        <v>430</v>
      </c>
      <c r="AC466" s="81">
        <v>43111</v>
      </c>
      <c r="AD466" s="86">
        <v>24720000</v>
      </c>
      <c r="AE466" s="87">
        <f t="shared" si="55"/>
        <v>0</v>
      </c>
      <c r="AF466" s="85">
        <v>228</v>
      </c>
      <c r="AG466" s="81">
        <v>43118</v>
      </c>
      <c r="AH466" s="86">
        <v>24720000</v>
      </c>
      <c r="AI466" s="63" t="s">
        <v>1328</v>
      </c>
      <c r="AJ466" s="63">
        <v>161</v>
      </c>
      <c r="AK466" s="87">
        <f t="shared" si="52"/>
        <v>0</v>
      </c>
      <c r="AL466" s="86">
        <v>24720000</v>
      </c>
      <c r="AM466" s="86">
        <f t="shared" si="53"/>
        <v>0</v>
      </c>
      <c r="AN466" s="63" t="s">
        <v>1155</v>
      </c>
      <c r="AO466" s="86">
        <f t="shared" si="54"/>
        <v>0</v>
      </c>
      <c r="AP466" s="63"/>
      <c r="AQ466" s="63"/>
      <c r="AR466" s="63"/>
      <c r="AS466" s="63"/>
      <c r="AT466" s="63"/>
      <c r="AU466" s="220"/>
      <c r="AV466" s="220"/>
      <c r="AW466" s="220"/>
    </row>
    <row r="467" spans="1:49" s="221" customFormat="1" ht="256.5" x14ac:dyDescent="0.25">
      <c r="A467" s="63">
        <v>53</v>
      </c>
      <c r="B467" s="63" t="str">
        <f t="shared" si="50"/>
        <v>3075-53</v>
      </c>
      <c r="C467" s="76" t="s">
        <v>1141</v>
      </c>
      <c r="D467" s="76" t="s">
        <v>1142</v>
      </c>
      <c r="E467" s="76" t="s">
        <v>1143</v>
      </c>
      <c r="F467" s="76" t="s">
        <v>1158</v>
      </c>
      <c r="G467" s="77" t="s">
        <v>1159</v>
      </c>
      <c r="H467" s="78" t="s">
        <v>1160</v>
      </c>
      <c r="I467" s="76" t="s">
        <v>1147</v>
      </c>
      <c r="J467" s="76" t="s">
        <v>1148</v>
      </c>
      <c r="K467" s="76">
        <v>801116</v>
      </c>
      <c r="L467" s="63" t="s">
        <v>1149</v>
      </c>
      <c r="M467" s="63" t="s">
        <v>58</v>
      </c>
      <c r="N467" s="63" t="s">
        <v>59</v>
      </c>
      <c r="O467" s="76" t="s">
        <v>1213</v>
      </c>
      <c r="P467" s="76" t="s">
        <v>1329</v>
      </c>
      <c r="Q467" s="83">
        <v>5036700</v>
      </c>
      <c r="R467" s="63">
        <v>1</v>
      </c>
      <c r="S467" s="80">
        <v>45330300</v>
      </c>
      <c r="T467" s="63" t="s">
        <v>888</v>
      </c>
      <c r="U467" s="63" t="s">
        <v>1163</v>
      </c>
      <c r="V467" s="81" t="s">
        <v>64</v>
      </c>
      <c r="W467" s="82">
        <v>9</v>
      </c>
      <c r="X467" s="63" t="s">
        <v>1330</v>
      </c>
      <c r="Y467" s="81">
        <v>43103</v>
      </c>
      <c r="Z467" s="83">
        <v>45330300</v>
      </c>
      <c r="AA467" s="84" t="s">
        <v>439</v>
      </c>
      <c r="AB467" s="85">
        <v>360</v>
      </c>
      <c r="AC467" s="81">
        <v>43110</v>
      </c>
      <c r="AD467" s="86">
        <v>45330300</v>
      </c>
      <c r="AE467" s="87">
        <f t="shared" si="55"/>
        <v>0</v>
      </c>
      <c r="AF467" s="85">
        <v>125</v>
      </c>
      <c r="AG467" s="81">
        <v>43117</v>
      </c>
      <c r="AH467" s="86">
        <v>45330300</v>
      </c>
      <c r="AI467" s="63" t="s">
        <v>1331</v>
      </c>
      <c r="AJ467" s="63">
        <v>110</v>
      </c>
      <c r="AK467" s="87">
        <f t="shared" si="52"/>
        <v>0</v>
      </c>
      <c r="AL467" s="86">
        <v>37439470</v>
      </c>
      <c r="AM467" s="86">
        <f t="shared" si="53"/>
        <v>7890830</v>
      </c>
      <c r="AN467" s="63" t="s">
        <v>1155</v>
      </c>
      <c r="AO467" s="86">
        <f t="shared" si="54"/>
        <v>0</v>
      </c>
      <c r="AP467" s="63"/>
      <c r="AQ467" s="63"/>
      <c r="AR467" s="63"/>
      <c r="AS467" s="63"/>
      <c r="AT467" s="63"/>
      <c r="AU467" s="220"/>
      <c r="AV467" s="220"/>
      <c r="AW467" s="220"/>
    </row>
    <row r="468" spans="1:49" s="221" customFormat="1" ht="199.5" x14ac:dyDescent="0.25">
      <c r="A468" s="63">
        <v>54</v>
      </c>
      <c r="B468" s="63" t="str">
        <f t="shared" si="50"/>
        <v>3075-54</v>
      </c>
      <c r="C468" s="76" t="s">
        <v>1141</v>
      </c>
      <c r="D468" s="76" t="s">
        <v>1142</v>
      </c>
      <c r="E468" s="76" t="s">
        <v>1143</v>
      </c>
      <c r="F468" s="76" t="s">
        <v>1158</v>
      </c>
      <c r="G468" s="77" t="s">
        <v>1159</v>
      </c>
      <c r="H468" s="78" t="s">
        <v>1160</v>
      </c>
      <c r="I468" s="76" t="s">
        <v>1147</v>
      </c>
      <c r="J468" s="76" t="s">
        <v>1148</v>
      </c>
      <c r="K468" s="76">
        <v>801116</v>
      </c>
      <c r="L468" s="63" t="s">
        <v>1149</v>
      </c>
      <c r="M468" s="63" t="s">
        <v>58</v>
      </c>
      <c r="N468" s="63" t="s">
        <v>59</v>
      </c>
      <c r="O468" s="76" t="s">
        <v>1213</v>
      </c>
      <c r="P468" s="76" t="s">
        <v>1332</v>
      </c>
      <c r="Q468" s="83">
        <v>2060000</v>
      </c>
      <c r="R468" s="63">
        <v>1</v>
      </c>
      <c r="S468" s="80">
        <v>23690000</v>
      </c>
      <c r="T468" s="63" t="s">
        <v>888</v>
      </c>
      <c r="U468" s="63" t="s">
        <v>1163</v>
      </c>
      <c r="V468" s="81" t="s">
        <v>64</v>
      </c>
      <c r="W468" s="82">
        <v>11.5</v>
      </c>
      <c r="X468" s="63" t="s">
        <v>1333</v>
      </c>
      <c r="Y468" s="81">
        <v>43109</v>
      </c>
      <c r="Z468" s="83">
        <v>23690000</v>
      </c>
      <c r="AA468" s="84" t="s">
        <v>439</v>
      </c>
      <c r="AB468" s="85">
        <v>431</v>
      </c>
      <c r="AC468" s="81">
        <v>43111</v>
      </c>
      <c r="AD468" s="86">
        <v>23690000</v>
      </c>
      <c r="AE468" s="87">
        <f t="shared" si="55"/>
        <v>0</v>
      </c>
      <c r="AF468" s="85">
        <v>154</v>
      </c>
      <c r="AG468" s="81">
        <v>43117</v>
      </c>
      <c r="AH468" s="86">
        <v>23690000</v>
      </c>
      <c r="AI468" s="63" t="s">
        <v>324</v>
      </c>
      <c r="AJ468" s="63">
        <v>155</v>
      </c>
      <c r="AK468" s="87">
        <f t="shared" si="52"/>
        <v>0</v>
      </c>
      <c r="AL468" s="86">
        <v>15312666</v>
      </c>
      <c r="AM468" s="86">
        <f t="shared" si="53"/>
        <v>8377334</v>
      </c>
      <c r="AN468" s="63" t="s">
        <v>1155</v>
      </c>
      <c r="AO468" s="86">
        <f t="shared" si="54"/>
        <v>0</v>
      </c>
      <c r="AP468" s="63"/>
      <c r="AQ468" s="63"/>
      <c r="AR468" s="63"/>
      <c r="AS468" s="63"/>
      <c r="AT468" s="63"/>
      <c r="AU468" s="220"/>
      <c r="AV468" s="220"/>
      <c r="AW468" s="220"/>
    </row>
    <row r="469" spans="1:49" s="221" customFormat="1" ht="242.25" x14ac:dyDescent="0.25">
      <c r="A469" s="63">
        <v>55</v>
      </c>
      <c r="B469" s="63" t="str">
        <f t="shared" si="50"/>
        <v>3075-55</v>
      </c>
      <c r="C469" s="76" t="s">
        <v>1141</v>
      </c>
      <c r="D469" s="76" t="s">
        <v>1142</v>
      </c>
      <c r="E469" s="76" t="s">
        <v>1143</v>
      </c>
      <c r="F469" s="76" t="s">
        <v>1158</v>
      </c>
      <c r="G469" s="77" t="s">
        <v>1159</v>
      </c>
      <c r="H469" s="78" t="s">
        <v>1160</v>
      </c>
      <c r="I469" s="76" t="s">
        <v>1147</v>
      </c>
      <c r="J469" s="76" t="s">
        <v>1148</v>
      </c>
      <c r="K469" s="76">
        <v>801116</v>
      </c>
      <c r="L469" s="63" t="s">
        <v>1149</v>
      </c>
      <c r="M469" s="63" t="s">
        <v>58</v>
      </c>
      <c r="N469" s="63" t="s">
        <v>59</v>
      </c>
      <c r="O469" s="76" t="s">
        <v>1213</v>
      </c>
      <c r="P469" s="76" t="s">
        <v>1241</v>
      </c>
      <c r="Q469" s="83">
        <v>4120000</v>
      </c>
      <c r="R469" s="63">
        <v>3</v>
      </c>
      <c r="S469" s="80">
        <v>0</v>
      </c>
      <c r="T469" s="63"/>
      <c r="U469" s="63"/>
      <c r="V469" s="81"/>
      <c r="W469" s="82"/>
      <c r="X469" s="63"/>
      <c r="Y469" s="81"/>
      <c r="Z469" s="83"/>
      <c r="AA469" s="84"/>
      <c r="AB469" s="85"/>
      <c r="AC469" s="81"/>
      <c r="AD469" s="86"/>
      <c r="AE469" s="87">
        <f t="shared" si="55"/>
        <v>0</v>
      </c>
      <c r="AF469" s="85"/>
      <c r="AG469" s="81"/>
      <c r="AH469" s="86"/>
      <c r="AI469" s="63"/>
      <c r="AJ469" s="63"/>
      <c r="AK469" s="87">
        <f t="shared" si="52"/>
        <v>0</v>
      </c>
      <c r="AL469" s="86"/>
      <c r="AM469" s="86">
        <f t="shared" si="53"/>
        <v>0</v>
      </c>
      <c r="AN469" s="63" t="s">
        <v>1155</v>
      </c>
      <c r="AO469" s="86">
        <f t="shared" si="54"/>
        <v>0</v>
      </c>
      <c r="AP469" s="63"/>
      <c r="AQ469" s="63"/>
      <c r="AR469" s="63" t="s">
        <v>1157</v>
      </c>
      <c r="AS469" s="63"/>
      <c r="AT469" s="63"/>
      <c r="AU469" s="220"/>
      <c r="AV469" s="220"/>
      <c r="AW469" s="220"/>
    </row>
    <row r="470" spans="1:49" s="221" customFormat="1" ht="299.25" x14ac:dyDescent="0.25">
      <c r="A470" s="63">
        <v>56</v>
      </c>
      <c r="B470" s="63" t="str">
        <f t="shared" si="50"/>
        <v>3075-56</v>
      </c>
      <c r="C470" s="76" t="s">
        <v>1141</v>
      </c>
      <c r="D470" s="76" t="s">
        <v>1142</v>
      </c>
      <c r="E470" s="76" t="s">
        <v>1143</v>
      </c>
      <c r="F470" s="76" t="s">
        <v>1158</v>
      </c>
      <c r="G470" s="77" t="s">
        <v>1159</v>
      </c>
      <c r="H470" s="78" t="s">
        <v>1160</v>
      </c>
      <c r="I470" s="76" t="s">
        <v>1147</v>
      </c>
      <c r="J470" s="76" t="s">
        <v>1148</v>
      </c>
      <c r="K470" s="76">
        <v>801116</v>
      </c>
      <c r="L470" s="63" t="s">
        <v>1149</v>
      </c>
      <c r="M470" s="63" t="s">
        <v>58</v>
      </c>
      <c r="N470" s="63" t="s">
        <v>59</v>
      </c>
      <c r="O470" s="76" t="s">
        <v>1213</v>
      </c>
      <c r="P470" s="76" t="s">
        <v>1334</v>
      </c>
      <c r="Q470" s="83">
        <v>4120000</v>
      </c>
      <c r="R470" s="63">
        <v>1</v>
      </c>
      <c r="S470" s="80">
        <v>47380000</v>
      </c>
      <c r="T470" s="63" t="s">
        <v>888</v>
      </c>
      <c r="U470" s="63" t="s">
        <v>1163</v>
      </c>
      <c r="V470" s="81" t="s">
        <v>64</v>
      </c>
      <c r="W470" s="82">
        <v>11.5</v>
      </c>
      <c r="X470" s="63" t="s">
        <v>1335</v>
      </c>
      <c r="Y470" s="81">
        <v>43109</v>
      </c>
      <c r="Z470" s="83">
        <v>47380000</v>
      </c>
      <c r="AA470" s="84" t="s">
        <v>439</v>
      </c>
      <c r="AB470" s="85">
        <v>429</v>
      </c>
      <c r="AC470" s="81">
        <v>43111</v>
      </c>
      <c r="AD470" s="86">
        <v>47380000</v>
      </c>
      <c r="AE470" s="87">
        <f t="shared" si="55"/>
        <v>0</v>
      </c>
      <c r="AF470" s="85">
        <v>83</v>
      </c>
      <c r="AG470" s="81">
        <v>43116</v>
      </c>
      <c r="AH470" s="86">
        <v>47380000</v>
      </c>
      <c r="AI470" s="63" t="s">
        <v>855</v>
      </c>
      <c r="AJ470" s="63">
        <v>33</v>
      </c>
      <c r="AK470" s="87">
        <f t="shared" si="52"/>
        <v>0</v>
      </c>
      <c r="AL470" s="86">
        <v>30900000</v>
      </c>
      <c r="AM470" s="86">
        <f t="shared" si="53"/>
        <v>16480000</v>
      </c>
      <c r="AN470" s="63" t="s">
        <v>1155</v>
      </c>
      <c r="AO470" s="86">
        <f t="shared" si="54"/>
        <v>0</v>
      </c>
      <c r="AP470" s="63"/>
      <c r="AQ470" s="63"/>
      <c r="AR470" s="63"/>
      <c r="AS470" s="63"/>
      <c r="AT470" s="63"/>
      <c r="AU470" s="220"/>
      <c r="AV470" s="220"/>
      <c r="AW470" s="220"/>
    </row>
    <row r="471" spans="1:49" s="221" customFormat="1" ht="409.5" x14ac:dyDescent="0.25">
      <c r="A471" s="63">
        <v>57</v>
      </c>
      <c r="B471" s="63" t="str">
        <f t="shared" si="50"/>
        <v>3075-57</v>
      </c>
      <c r="C471" s="76" t="s">
        <v>1141</v>
      </c>
      <c r="D471" s="76" t="s">
        <v>1142</v>
      </c>
      <c r="E471" s="76" t="s">
        <v>1143</v>
      </c>
      <c r="F471" s="76" t="s">
        <v>1158</v>
      </c>
      <c r="G471" s="77" t="s">
        <v>1159</v>
      </c>
      <c r="H471" s="78" t="s">
        <v>1160</v>
      </c>
      <c r="I471" s="76" t="s">
        <v>1147</v>
      </c>
      <c r="J471" s="76" t="s">
        <v>1148</v>
      </c>
      <c r="K471" s="76">
        <v>801116</v>
      </c>
      <c r="L471" s="63" t="s">
        <v>1149</v>
      </c>
      <c r="M471" s="63" t="s">
        <v>58</v>
      </c>
      <c r="N471" s="63" t="s">
        <v>59</v>
      </c>
      <c r="O471" s="76" t="s">
        <v>1213</v>
      </c>
      <c r="P471" s="76" t="s">
        <v>1336</v>
      </c>
      <c r="Q471" s="83">
        <v>5098500</v>
      </c>
      <c r="R471" s="63">
        <v>1</v>
      </c>
      <c r="S471" s="80">
        <v>58632750</v>
      </c>
      <c r="T471" s="63" t="s">
        <v>888</v>
      </c>
      <c r="U471" s="63" t="s">
        <v>1163</v>
      </c>
      <c r="V471" s="81" t="s">
        <v>64</v>
      </c>
      <c r="W471" s="95">
        <v>11.5</v>
      </c>
      <c r="X471" s="63" t="s">
        <v>1337</v>
      </c>
      <c r="Y471" s="81">
        <v>43110</v>
      </c>
      <c r="Z471" s="83">
        <v>58632750</v>
      </c>
      <c r="AA471" s="84" t="s">
        <v>439</v>
      </c>
      <c r="AB471" s="85">
        <v>451</v>
      </c>
      <c r="AC471" s="81">
        <v>43111</v>
      </c>
      <c r="AD471" s="86">
        <v>58632750</v>
      </c>
      <c r="AE471" s="87">
        <f t="shared" si="55"/>
        <v>0</v>
      </c>
      <c r="AF471" s="85">
        <v>411</v>
      </c>
      <c r="AG471" s="81">
        <v>43124</v>
      </c>
      <c r="AH471" s="86">
        <v>58632750</v>
      </c>
      <c r="AI471" s="63" t="s">
        <v>366</v>
      </c>
      <c r="AJ471" s="63">
        <v>314</v>
      </c>
      <c r="AK471" s="87">
        <f t="shared" si="52"/>
        <v>0</v>
      </c>
      <c r="AL471" s="86">
        <v>41888000</v>
      </c>
      <c r="AM471" s="86">
        <f t="shared" si="53"/>
        <v>16744750</v>
      </c>
      <c r="AN471" s="63" t="s">
        <v>1155</v>
      </c>
      <c r="AO471" s="86">
        <f t="shared" si="54"/>
        <v>0</v>
      </c>
      <c r="AP471" s="63"/>
      <c r="AQ471" s="63"/>
      <c r="AR471" s="63"/>
      <c r="AS471" s="63"/>
      <c r="AT471" s="63"/>
      <c r="AU471" s="220"/>
      <c r="AV471" s="220"/>
      <c r="AW471" s="220"/>
    </row>
    <row r="472" spans="1:49" s="221" customFormat="1" ht="313.5" x14ac:dyDescent="0.25">
      <c r="A472" s="63">
        <v>58</v>
      </c>
      <c r="B472" s="63" t="str">
        <f t="shared" si="50"/>
        <v>3075-58</v>
      </c>
      <c r="C472" s="76" t="s">
        <v>1141</v>
      </c>
      <c r="D472" s="76" t="s">
        <v>1142</v>
      </c>
      <c r="E472" s="76" t="s">
        <v>1143</v>
      </c>
      <c r="F472" s="76" t="s">
        <v>1158</v>
      </c>
      <c r="G472" s="77" t="s">
        <v>1159</v>
      </c>
      <c r="H472" s="78" t="s">
        <v>1160</v>
      </c>
      <c r="I472" s="76" t="s">
        <v>1147</v>
      </c>
      <c r="J472" s="76" t="s">
        <v>1148</v>
      </c>
      <c r="K472" s="76">
        <v>801116</v>
      </c>
      <c r="L472" s="63" t="s">
        <v>1149</v>
      </c>
      <c r="M472" s="63" t="s">
        <v>58</v>
      </c>
      <c r="N472" s="63" t="s">
        <v>59</v>
      </c>
      <c r="O472" s="76" t="s">
        <v>1213</v>
      </c>
      <c r="P472" s="76" t="s">
        <v>1338</v>
      </c>
      <c r="Q472" s="96">
        <v>6868146.5217391308</v>
      </c>
      <c r="R472" s="63">
        <v>1</v>
      </c>
      <c r="S472" s="80">
        <f>78983685-10558685</f>
        <v>68425000</v>
      </c>
      <c r="T472" s="63" t="s">
        <v>888</v>
      </c>
      <c r="U472" s="63" t="s">
        <v>1163</v>
      </c>
      <c r="V472" s="81" t="s">
        <v>64</v>
      </c>
      <c r="W472" s="82">
        <v>11.5</v>
      </c>
      <c r="X472" s="63" t="s">
        <v>1339</v>
      </c>
      <c r="Y472" s="81">
        <v>43118</v>
      </c>
      <c r="Z472" s="83">
        <v>68425000</v>
      </c>
      <c r="AA472" s="84" t="s">
        <v>439</v>
      </c>
      <c r="AB472" s="85">
        <v>531</v>
      </c>
      <c r="AC472" s="81">
        <v>43118</v>
      </c>
      <c r="AD472" s="86">
        <v>68425000</v>
      </c>
      <c r="AE472" s="87">
        <f t="shared" si="55"/>
        <v>0</v>
      </c>
      <c r="AF472" s="85">
        <v>309</v>
      </c>
      <c r="AG472" s="81">
        <v>43122</v>
      </c>
      <c r="AH472" s="86">
        <v>68425000</v>
      </c>
      <c r="AI472" s="63" t="s">
        <v>1340</v>
      </c>
      <c r="AJ472" s="63">
        <v>280</v>
      </c>
      <c r="AK472" s="87">
        <f t="shared" si="52"/>
        <v>0</v>
      </c>
      <c r="AL472" s="86">
        <v>40063334</v>
      </c>
      <c r="AM472" s="86">
        <f t="shared" si="53"/>
        <v>28361666</v>
      </c>
      <c r="AN472" s="63" t="s">
        <v>1155</v>
      </c>
      <c r="AO472" s="86">
        <f t="shared" si="54"/>
        <v>0</v>
      </c>
      <c r="AP472" s="63" t="s">
        <v>1341</v>
      </c>
      <c r="AQ472" s="63"/>
      <c r="AR472" s="63"/>
      <c r="AS472" s="63"/>
      <c r="AT472" s="63"/>
      <c r="AU472" s="220"/>
      <c r="AV472" s="220"/>
      <c r="AW472" s="220"/>
    </row>
    <row r="473" spans="1:49" s="221" customFormat="1" ht="342" x14ac:dyDescent="0.25">
      <c r="A473" s="63">
        <v>59</v>
      </c>
      <c r="B473" s="63" t="str">
        <f t="shared" si="50"/>
        <v>3075-59</v>
      </c>
      <c r="C473" s="76" t="s">
        <v>1141</v>
      </c>
      <c r="D473" s="76" t="s">
        <v>1142</v>
      </c>
      <c r="E473" s="76" t="s">
        <v>1143</v>
      </c>
      <c r="F473" s="76" t="s">
        <v>1158</v>
      </c>
      <c r="G473" s="77" t="s">
        <v>1159</v>
      </c>
      <c r="H473" s="78" t="s">
        <v>1160</v>
      </c>
      <c r="I473" s="76" t="s">
        <v>1147</v>
      </c>
      <c r="J473" s="76" t="s">
        <v>1148</v>
      </c>
      <c r="K473" s="76">
        <v>801116</v>
      </c>
      <c r="L473" s="63" t="s">
        <v>1149</v>
      </c>
      <c r="M473" s="63" t="s">
        <v>58</v>
      </c>
      <c r="N473" s="63" t="s">
        <v>59</v>
      </c>
      <c r="O473" s="76" t="s">
        <v>1213</v>
      </c>
      <c r="P473" s="76" t="s">
        <v>1342</v>
      </c>
      <c r="Q473" s="83">
        <v>4532000</v>
      </c>
      <c r="R473" s="63">
        <v>2</v>
      </c>
      <c r="S473" s="80">
        <v>52530000</v>
      </c>
      <c r="T473" s="63" t="s">
        <v>888</v>
      </c>
      <c r="U473" s="63" t="s">
        <v>1163</v>
      </c>
      <c r="V473" s="81" t="s">
        <v>64</v>
      </c>
      <c r="W473" s="82">
        <v>7.5</v>
      </c>
      <c r="X473" s="63" t="s">
        <v>1343</v>
      </c>
      <c r="Y473" s="81">
        <v>43111</v>
      </c>
      <c r="Z473" s="83">
        <v>52530000</v>
      </c>
      <c r="AA473" s="84" t="s">
        <v>1344</v>
      </c>
      <c r="AB473" s="85">
        <v>452</v>
      </c>
      <c r="AC473" s="81">
        <v>43111</v>
      </c>
      <c r="AD473" s="86">
        <v>52530000</v>
      </c>
      <c r="AE473" s="87">
        <f t="shared" si="55"/>
        <v>0</v>
      </c>
      <c r="AF473" s="85">
        <v>430</v>
      </c>
      <c r="AG473" s="81">
        <v>43124</v>
      </c>
      <c r="AH473" s="86">
        <v>52530000</v>
      </c>
      <c r="AI473" s="63" t="s">
        <v>1345</v>
      </c>
      <c r="AJ473" s="63">
        <v>371</v>
      </c>
      <c r="AK473" s="87">
        <f t="shared" si="52"/>
        <v>0</v>
      </c>
      <c r="AL473" s="86">
        <v>37821600</v>
      </c>
      <c r="AM473" s="86">
        <f t="shared" si="53"/>
        <v>14708400</v>
      </c>
      <c r="AN473" s="63" t="s">
        <v>1155</v>
      </c>
      <c r="AO473" s="86">
        <f t="shared" si="54"/>
        <v>0</v>
      </c>
      <c r="AP473" s="63" t="s">
        <v>1346</v>
      </c>
      <c r="AQ473" s="63"/>
      <c r="AR473" s="63"/>
      <c r="AS473" s="63"/>
      <c r="AT473" s="63"/>
      <c r="AU473" s="220"/>
      <c r="AV473" s="220"/>
      <c r="AW473" s="220"/>
    </row>
    <row r="474" spans="1:49" s="221" customFormat="1" ht="199.5" x14ac:dyDescent="0.25">
      <c r="A474" s="63">
        <v>60</v>
      </c>
      <c r="B474" s="63" t="str">
        <f t="shared" si="50"/>
        <v>3075-60</v>
      </c>
      <c r="C474" s="76" t="s">
        <v>1141</v>
      </c>
      <c r="D474" s="76" t="s">
        <v>1142</v>
      </c>
      <c r="E474" s="76" t="s">
        <v>1143</v>
      </c>
      <c r="F474" s="76" t="s">
        <v>1158</v>
      </c>
      <c r="G474" s="77" t="s">
        <v>1159</v>
      </c>
      <c r="H474" s="78" t="s">
        <v>1160</v>
      </c>
      <c r="I474" s="76" t="s">
        <v>1147</v>
      </c>
      <c r="J474" s="76" t="s">
        <v>1148</v>
      </c>
      <c r="K474" s="76">
        <v>801116</v>
      </c>
      <c r="L474" s="63" t="s">
        <v>1149</v>
      </c>
      <c r="M474" s="63" t="s">
        <v>58</v>
      </c>
      <c r="N474" s="63" t="s">
        <v>59</v>
      </c>
      <c r="O474" s="76" t="s">
        <v>1213</v>
      </c>
      <c r="P474" s="76" t="s">
        <v>1347</v>
      </c>
      <c r="Q474" s="83">
        <v>7210000</v>
      </c>
      <c r="R474" s="63">
        <v>3</v>
      </c>
      <c r="S474" s="80">
        <v>0</v>
      </c>
      <c r="T474" s="63"/>
      <c r="U474" s="63"/>
      <c r="V474" s="81"/>
      <c r="W474" s="82"/>
      <c r="X474" s="63"/>
      <c r="Y474" s="81"/>
      <c r="Z474" s="83"/>
      <c r="AA474" s="84"/>
      <c r="AB474" s="85"/>
      <c r="AC474" s="81"/>
      <c r="AD474" s="86"/>
      <c r="AE474" s="87">
        <f t="shared" si="55"/>
        <v>0</v>
      </c>
      <c r="AF474" s="85"/>
      <c r="AG474" s="81"/>
      <c r="AH474" s="86"/>
      <c r="AI474" s="63"/>
      <c r="AJ474" s="63"/>
      <c r="AK474" s="87">
        <f t="shared" si="52"/>
        <v>0</v>
      </c>
      <c r="AL474" s="86"/>
      <c r="AM474" s="86">
        <f t="shared" si="53"/>
        <v>0</v>
      </c>
      <c r="AN474" s="63" t="s">
        <v>1155</v>
      </c>
      <c r="AO474" s="86">
        <f t="shared" si="54"/>
        <v>0</v>
      </c>
      <c r="AP474" s="63"/>
      <c r="AQ474" s="63"/>
      <c r="AR474" s="63" t="s">
        <v>1157</v>
      </c>
      <c r="AS474" s="63"/>
      <c r="AT474" s="63"/>
      <c r="AU474" s="220"/>
      <c r="AV474" s="220"/>
      <c r="AW474" s="220"/>
    </row>
    <row r="475" spans="1:49" s="221" customFormat="1" ht="213.75" x14ac:dyDescent="0.25">
      <c r="A475" s="63">
        <v>61</v>
      </c>
      <c r="B475" s="63" t="str">
        <f t="shared" si="50"/>
        <v>3075-61</v>
      </c>
      <c r="C475" s="76" t="s">
        <v>1141</v>
      </c>
      <c r="D475" s="76" t="s">
        <v>1142</v>
      </c>
      <c r="E475" s="76" t="s">
        <v>1143</v>
      </c>
      <c r="F475" s="76" t="s">
        <v>1158</v>
      </c>
      <c r="G475" s="77" t="s">
        <v>1159</v>
      </c>
      <c r="H475" s="78" t="s">
        <v>1160</v>
      </c>
      <c r="I475" s="76" t="s">
        <v>1147</v>
      </c>
      <c r="J475" s="76" t="s">
        <v>1148</v>
      </c>
      <c r="K475" s="76">
        <v>801116</v>
      </c>
      <c r="L475" s="63" t="s">
        <v>1149</v>
      </c>
      <c r="M475" s="63" t="s">
        <v>58</v>
      </c>
      <c r="N475" s="63" t="s">
        <v>59</v>
      </c>
      <c r="O475" s="76" t="s">
        <v>1213</v>
      </c>
      <c r="P475" s="76" t="s">
        <v>1348</v>
      </c>
      <c r="Q475" s="83">
        <v>4532000</v>
      </c>
      <c r="R475" s="63">
        <v>1</v>
      </c>
      <c r="S475" s="80">
        <v>27192000</v>
      </c>
      <c r="T475" s="63" t="s">
        <v>888</v>
      </c>
      <c r="U475" s="63" t="s">
        <v>1163</v>
      </c>
      <c r="V475" s="81" t="s">
        <v>64</v>
      </c>
      <c r="W475" s="82">
        <v>6</v>
      </c>
      <c r="X475" s="63" t="s">
        <v>1349</v>
      </c>
      <c r="Y475" s="81">
        <v>43103</v>
      </c>
      <c r="Z475" s="83">
        <v>27192000</v>
      </c>
      <c r="AA475" s="84" t="s">
        <v>439</v>
      </c>
      <c r="AB475" s="85">
        <v>333</v>
      </c>
      <c r="AC475" s="81">
        <v>43110</v>
      </c>
      <c r="AD475" s="86">
        <v>27192000</v>
      </c>
      <c r="AE475" s="87">
        <f t="shared" si="55"/>
        <v>0</v>
      </c>
      <c r="AF475" s="85">
        <v>436</v>
      </c>
      <c r="AG475" s="81">
        <v>43125</v>
      </c>
      <c r="AH475" s="86">
        <v>27192000</v>
      </c>
      <c r="AI475" s="63" t="s">
        <v>1350</v>
      </c>
      <c r="AJ475" s="63">
        <v>376</v>
      </c>
      <c r="AK475" s="87">
        <f t="shared" si="52"/>
        <v>0</v>
      </c>
      <c r="AL475" s="86">
        <v>27192000</v>
      </c>
      <c r="AM475" s="86">
        <f t="shared" si="53"/>
        <v>0</v>
      </c>
      <c r="AN475" s="63" t="s">
        <v>1155</v>
      </c>
      <c r="AO475" s="86">
        <f t="shared" si="54"/>
        <v>0</v>
      </c>
      <c r="AP475" s="63"/>
      <c r="AQ475" s="63"/>
      <c r="AR475" s="63"/>
      <c r="AS475" s="63"/>
      <c r="AT475" s="63"/>
      <c r="AU475" s="220"/>
      <c r="AV475" s="220"/>
      <c r="AW475" s="220"/>
    </row>
    <row r="476" spans="1:49" s="221" customFormat="1" ht="213.75" x14ac:dyDescent="0.25">
      <c r="A476" s="63">
        <v>62</v>
      </c>
      <c r="B476" s="63" t="str">
        <f t="shared" si="50"/>
        <v>3075-62</v>
      </c>
      <c r="C476" s="76" t="s">
        <v>1141</v>
      </c>
      <c r="D476" s="76" t="s">
        <v>1142</v>
      </c>
      <c r="E476" s="76" t="s">
        <v>1143</v>
      </c>
      <c r="F476" s="76" t="s">
        <v>1158</v>
      </c>
      <c r="G476" s="77" t="s">
        <v>1159</v>
      </c>
      <c r="H476" s="78" t="s">
        <v>1160</v>
      </c>
      <c r="I476" s="76" t="s">
        <v>1147</v>
      </c>
      <c r="J476" s="76" t="s">
        <v>1148</v>
      </c>
      <c r="K476" s="76">
        <v>801116</v>
      </c>
      <c r="L476" s="63" t="s">
        <v>1149</v>
      </c>
      <c r="M476" s="63" t="s">
        <v>58</v>
      </c>
      <c r="N476" s="63" t="s">
        <v>59</v>
      </c>
      <c r="O476" s="76" t="s">
        <v>1213</v>
      </c>
      <c r="P476" s="76" t="s">
        <v>1269</v>
      </c>
      <c r="Q476" s="83">
        <v>3553500</v>
      </c>
      <c r="R476" s="63">
        <v>2</v>
      </c>
      <c r="S476" s="80">
        <v>17767500</v>
      </c>
      <c r="T476" s="63" t="s">
        <v>888</v>
      </c>
      <c r="U476" s="63" t="s">
        <v>1163</v>
      </c>
      <c r="V476" s="81" t="s">
        <v>64</v>
      </c>
      <c r="W476" s="82">
        <v>8</v>
      </c>
      <c r="X476" s="63" t="s">
        <v>1351</v>
      </c>
      <c r="Y476" s="81">
        <v>43111</v>
      </c>
      <c r="Z476" s="83">
        <v>17767500</v>
      </c>
      <c r="AA476" s="84" t="s">
        <v>1352</v>
      </c>
      <c r="AB476" s="85">
        <v>446</v>
      </c>
      <c r="AC476" s="81">
        <v>43111</v>
      </c>
      <c r="AD476" s="86">
        <v>17767500</v>
      </c>
      <c r="AE476" s="87">
        <f t="shared" si="55"/>
        <v>0</v>
      </c>
      <c r="AF476" s="85">
        <v>385</v>
      </c>
      <c r="AG476" s="81">
        <v>43124</v>
      </c>
      <c r="AH476" s="86">
        <v>17767500</v>
      </c>
      <c r="AI476" s="63" t="s">
        <v>1353</v>
      </c>
      <c r="AJ476" s="63">
        <v>328</v>
      </c>
      <c r="AK476" s="87">
        <f t="shared" si="52"/>
        <v>0</v>
      </c>
      <c r="AL476" s="86">
        <v>17767500</v>
      </c>
      <c r="AM476" s="86">
        <f t="shared" si="53"/>
        <v>0</v>
      </c>
      <c r="AN476" s="63" t="s">
        <v>1155</v>
      </c>
      <c r="AO476" s="86">
        <f t="shared" si="54"/>
        <v>0</v>
      </c>
      <c r="AP476" s="63"/>
      <c r="AQ476" s="63"/>
      <c r="AR476" s="63"/>
      <c r="AS476" s="63"/>
      <c r="AT476" s="63"/>
      <c r="AU476" s="220"/>
      <c r="AV476" s="220"/>
      <c r="AW476" s="220"/>
    </row>
    <row r="477" spans="1:49" s="221" customFormat="1" ht="228" x14ac:dyDescent="0.25">
      <c r="A477" s="63">
        <v>63</v>
      </c>
      <c r="B477" s="63" t="str">
        <f t="shared" si="50"/>
        <v>3075-63</v>
      </c>
      <c r="C477" s="76" t="s">
        <v>1141</v>
      </c>
      <c r="D477" s="76" t="s">
        <v>1142</v>
      </c>
      <c r="E477" s="76" t="s">
        <v>1143</v>
      </c>
      <c r="F477" s="76" t="s">
        <v>1158</v>
      </c>
      <c r="G477" s="77" t="s">
        <v>1159</v>
      </c>
      <c r="H477" s="78" t="s">
        <v>1160</v>
      </c>
      <c r="I477" s="76" t="s">
        <v>1147</v>
      </c>
      <c r="J477" s="76" t="s">
        <v>1148</v>
      </c>
      <c r="K477" s="76">
        <v>801116</v>
      </c>
      <c r="L477" s="63" t="s">
        <v>1149</v>
      </c>
      <c r="M477" s="63" t="s">
        <v>58</v>
      </c>
      <c r="N477" s="63" t="s">
        <v>59</v>
      </c>
      <c r="O477" s="76" t="s">
        <v>1213</v>
      </c>
      <c r="P477" s="76" t="s">
        <v>1354</v>
      </c>
      <c r="Q477" s="83">
        <v>3326900</v>
      </c>
      <c r="R477" s="63">
        <v>1</v>
      </c>
      <c r="S477" s="80">
        <v>19961400</v>
      </c>
      <c r="T477" s="63" t="s">
        <v>928</v>
      </c>
      <c r="U477" s="63" t="s">
        <v>1163</v>
      </c>
      <c r="V477" s="81" t="s">
        <v>64</v>
      </c>
      <c r="W477" s="82">
        <v>6</v>
      </c>
      <c r="X477" s="63" t="s">
        <v>1355</v>
      </c>
      <c r="Y477" s="81">
        <v>43103</v>
      </c>
      <c r="Z477" s="83">
        <v>19961400</v>
      </c>
      <c r="AA477" s="84" t="s">
        <v>439</v>
      </c>
      <c r="AB477" s="85">
        <v>326</v>
      </c>
      <c r="AC477" s="81">
        <v>43110</v>
      </c>
      <c r="AD477" s="86">
        <v>19961400</v>
      </c>
      <c r="AE477" s="87">
        <f t="shared" si="55"/>
        <v>0</v>
      </c>
      <c r="AF477" s="85">
        <v>427</v>
      </c>
      <c r="AG477" s="81">
        <v>43124</v>
      </c>
      <c r="AH477" s="86">
        <v>19961400</v>
      </c>
      <c r="AI477" s="63" t="s">
        <v>1356</v>
      </c>
      <c r="AJ477" s="63">
        <v>362</v>
      </c>
      <c r="AK477" s="87">
        <f t="shared" si="52"/>
        <v>0</v>
      </c>
      <c r="AL477" s="86">
        <v>19961400</v>
      </c>
      <c r="AM477" s="86">
        <f t="shared" si="53"/>
        <v>0</v>
      </c>
      <c r="AN477" s="63" t="s">
        <v>1155</v>
      </c>
      <c r="AO477" s="86">
        <f t="shared" si="54"/>
        <v>0</v>
      </c>
      <c r="AP477" s="63"/>
      <c r="AQ477" s="63"/>
      <c r="AR477" s="63"/>
      <c r="AS477" s="63"/>
      <c r="AT477" s="63"/>
      <c r="AU477" s="220"/>
      <c r="AV477" s="220"/>
      <c r="AW477" s="220"/>
    </row>
    <row r="478" spans="1:49" s="221" customFormat="1" ht="256.5" x14ac:dyDescent="0.25">
      <c r="A478" s="63">
        <v>64</v>
      </c>
      <c r="B478" s="63" t="str">
        <f t="shared" si="50"/>
        <v>3075-64</v>
      </c>
      <c r="C478" s="76" t="s">
        <v>1141</v>
      </c>
      <c r="D478" s="76" t="s">
        <v>1142</v>
      </c>
      <c r="E478" s="76" t="s">
        <v>1143</v>
      </c>
      <c r="F478" s="76" t="s">
        <v>1158</v>
      </c>
      <c r="G478" s="77" t="s">
        <v>1159</v>
      </c>
      <c r="H478" s="78" t="s">
        <v>1160</v>
      </c>
      <c r="I478" s="76" t="s">
        <v>1147</v>
      </c>
      <c r="J478" s="76" t="s">
        <v>1148</v>
      </c>
      <c r="K478" s="76">
        <v>801116</v>
      </c>
      <c r="L478" s="63" t="s">
        <v>1149</v>
      </c>
      <c r="M478" s="63" t="s">
        <v>58</v>
      </c>
      <c r="N478" s="63" t="s">
        <v>59</v>
      </c>
      <c r="O478" s="76" t="s">
        <v>1213</v>
      </c>
      <c r="P478" s="76" t="s">
        <v>1302</v>
      </c>
      <c r="Q478" s="83">
        <v>5253000</v>
      </c>
      <c r="R478" s="63">
        <v>1</v>
      </c>
      <c r="S478" s="80">
        <v>31518000</v>
      </c>
      <c r="T478" s="63" t="s">
        <v>888</v>
      </c>
      <c r="U478" s="63" t="s">
        <v>1163</v>
      </c>
      <c r="V478" s="81" t="s">
        <v>64</v>
      </c>
      <c r="W478" s="82">
        <v>6</v>
      </c>
      <c r="X478" s="63" t="s">
        <v>1357</v>
      </c>
      <c r="Y478" s="81">
        <v>43103</v>
      </c>
      <c r="Z478" s="83">
        <v>31518000</v>
      </c>
      <c r="AA478" s="84" t="s">
        <v>439</v>
      </c>
      <c r="AB478" s="85">
        <v>311</v>
      </c>
      <c r="AC478" s="81">
        <v>43110</v>
      </c>
      <c r="AD478" s="86">
        <v>31518000</v>
      </c>
      <c r="AE478" s="87">
        <f t="shared" si="55"/>
        <v>0</v>
      </c>
      <c r="AF478" s="85">
        <v>454</v>
      </c>
      <c r="AG478" s="81">
        <v>43125</v>
      </c>
      <c r="AH478" s="86">
        <v>31518000</v>
      </c>
      <c r="AI478" s="63" t="s">
        <v>1358</v>
      </c>
      <c r="AJ478" s="63">
        <v>384</v>
      </c>
      <c r="AK478" s="87">
        <f t="shared" si="52"/>
        <v>0</v>
      </c>
      <c r="AL478" s="86">
        <v>31518000</v>
      </c>
      <c r="AM478" s="86">
        <f t="shared" si="53"/>
        <v>0</v>
      </c>
      <c r="AN478" s="63" t="s">
        <v>1155</v>
      </c>
      <c r="AO478" s="86">
        <f t="shared" si="54"/>
        <v>0</v>
      </c>
      <c r="AP478" s="63"/>
      <c r="AQ478" s="63"/>
      <c r="AR478" s="63"/>
      <c r="AS478" s="63"/>
      <c r="AT478" s="63"/>
      <c r="AU478" s="220"/>
      <c r="AV478" s="220"/>
      <c r="AW478" s="220"/>
    </row>
    <row r="479" spans="1:49" s="221" customFormat="1" ht="342" x14ac:dyDescent="0.25">
      <c r="A479" s="63">
        <v>65</v>
      </c>
      <c r="B479" s="63" t="str">
        <f t="shared" ref="B479:B542" si="56">CONCATENATE("3075","-",A479)</f>
        <v>3075-65</v>
      </c>
      <c r="C479" s="76" t="s">
        <v>1141</v>
      </c>
      <c r="D479" s="76" t="s">
        <v>1142</v>
      </c>
      <c r="E479" s="76" t="s">
        <v>1143</v>
      </c>
      <c r="F479" s="76" t="s">
        <v>1158</v>
      </c>
      <c r="G479" s="77" t="s">
        <v>1159</v>
      </c>
      <c r="H479" s="78" t="s">
        <v>1160</v>
      </c>
      <c r="I479" s="76" t="s">
        <v>1147</v>
      </c>
      <c r="J479" s="76" t="s">
        <v>1148</v>
      </c>
      <c r="K479" s="76">
        <v>801116</v>
      </c>
      <c r="L479" s="63" t="s">
        <v>1149</v>
      </c>
      <c r="M479" s="63" t="s">
        <v>58</v>
      </c>
      <c r="N479" s="63" t="s">
        <v>59</v>
      </c>
      <c r="O479" s="76" t="s">
        <v>1213</v>
      </c>
      <c r="P479" s="76" t="s">
        <v>1359</v>
      </c>
      <c r="Q479" s="83">
        <v>5036700</v>
      </c>
      <c r="R479" s="63">
        <v>1</v>
      </c>
      <c r="S479" s="80">
        <v>50367000</v>
      </c>
      <c r="T479" s="63" t="s">
        <v>888</v>
      </c>
      <c r="U479" s="63" t="s">
        <v>1163</v>
      </c>
      <c r="V479" s="81" t="s">
        <v>64</v>
      </c>
      <c r="W479" s="82">
        <v>10</v>
      </c>
      <c r="X479" s="63" t="s">
        <v>1360</v>
      </c>
      <c r="Y479" s="81">
        <v>43103</v>
      </c>
      <c r="Z479" s="83">
        <v>50367000</v>
      </c>
      <c r="AA479" s="84" t="s">
        <v>439</v>
      </c>
      <c r="AB479" s="85">
        <v>325</v>
      </c>
      <c r="AC479" s="81">
        <v>43110</v>
      </c>
      <c r="AD479" s="86">
        <v>50367000</v>
      </c>
      <c r="AE479" s="87">
        <f t="shared" si="55"/>
        <v>0</v>
      </c>
      <c r="AF479" s="85">
        <v>249</v>
      </c>
      <c r="AG479" s="81">
        <v>43119</v>
      </c>
      <c r="AH479" s="86">
        <v>50367000</v>
      </c>
      <c r="AI479" s="63" t="s">
        <v>1361</v>
      </c>
      <c r="AJ479" s="63">
        <v>206</v>
      </c>
      <c r="AK479" s="87">
        <f t="shared" ref="AK479:AK542" si="57">AD479-AH479</f>
        <v>0</v>
      </c>
      <c r="AL479" s="86">
        <v>37271580</v>
      </c>
      <c r="AM479" s="86">
        <f t="shared" ref="AM479:AM542" si="58">AH479-AL479</f>
        <v>13095420</v>
      </c>
      <c r="AN479" s="63" t="s">
        <v>1155</v>
      </c>
      <c r="AO479" s="86">
        <f t="shared" ref="AO479:AO542" si="59">S479-AH479</f>
        <v>0</v>
      </c>
      <c r="AP479" s="63"/>
      <c r="AQ479" s="63"/>
      <c r="AR479" s="63"/>
      <c r="AS479" s="63"/>
      <c r="AT479" s="63"/>
      <c r="AU479" s="220"/>
      <c r="AV479" s="220"/>
      <c r="AW479" s="220"/>
    </row>
    <row r="480" spans="1:49" s="221" customFormat="1" ht="342" x14ac:dyDescent="0.25">
      <c r="A480" s="63">
        <v>66</v>
      </c>
      <c r="B480" s="63" t="str">
        <f t="shared" si="56"/>
        <v>3075-66</v>
      </c>
      <c r="C480" s="76" t="s">
        <v>1141</v>
      </c>
      <c r="D480" s="76" t="s">
        <v>1142</v>
      </c>
      <c r="E480" s="76" t="s">
        <v>1143</v>
      </c>
      <c r="F480" s="76" t="s">
        <v>1158</v>
      </c>
      <c r="G480" s="77" t="s">
        <v>1159</v>
      </c>
      <c r="H480" s="78" t="s">
        <v>1160</v>
      </c>
      <c r="I480" s="76" t="s">
        <v>1147</v>
      </c>
      <c r="J480" s="76" t="s">
        <v>1148</v>
      </c>
      <c r="K480" s="76">
        <v>801116</v>
      </c>
      <c r="L480" s="63" t="s">
        <v>1149</v>
      </c>
      <c r="M480" s="63" t="s">
        <v>58</v>
      </c>
      <c r="N480" s="63" t="s">
        <v>59</v>
      </c>
      <c r="O480" s="76" t="s">
        <v>1213</v>
      </c>
      <c r="P480" s="76" t="s">
        <v>1294</v>
      </c>
      <c r="Q480" s="83">
        <v>7210000</v>
      </c>
      <c r="R480" s="63">
        <v>1</v>
      </c>
      <c r="S480" s="80">
        <v>72100000</v>
      </c>
      <c r="T480" s="63" t="s">
        <v>888</v>
      </c>
      <c r="U480" s="63" t="s">
        <v>1163</v>
      </c>
      <c r="V480" s="81" t="s">
        <v>64</v>
      </c>
      <c r="W480" s="82">
        <v>10</v>
      </c>
      <c r="X480" s="63" t="s">
        <v>1362</v>
      </c>
      <c r="Y480" s="81">
        <v>43103</v>
      </c>
      <c r="Z480" s="83">
        <v>72100000</v>
      </c>
      <c r="AA480" s="84" t="s">
        <v>439</v>
      </c>
      <c r="AB480" s="85">
        <v>339</v>
      </c>
      <c r="AC480" s="81">
        <v>43110</v>
      </c>
      <c r="AD480" s="86">
        <v>72100000</v>
      </c>
      <c r="AE480" s="87">
        <f t="shared" si="55"/>
        <v>0</v>
      </c>
      <c r="AF480" s="85">
        <v>500</v>
      </c>
      <c r="AG480" s="81">
        <v>43126</v>
      </c>
      <c r="AH480" s="86">
        <v>72100000</v>
      </c>
      <c r="AI480" s="63" t="s">
        <v>1363</v>
      </c>
      <c r="AJ480" s="63">
        <v>410</v>
      </c>
      <c r="AK480" s="87">
        <f t="shared" si="57"/>
        <v>0</v>
      </c>
      <c r="AL480" s="86">
        <v>50950667</v>
      </c>
      <c r="AM480" s="86">
        <f t="shared" si="58"/>
        <v>21149333</v>
      </c>
      <c r="AN480" s="63" t="s">
        <v>1155</v>
      </c>
      <c r="AO480" s="86">
        <f t="shared" si="59"/>
        <v>0</v>
      </c>
      <c r="AP480" s="63"/>
      <c r="AQ480" s="63"/>
      <c r="AR480" s="63"/>
      <c r="AS480" s="63"/>
      <c r="AT480" s="63"/>
      <c r="AU480" s="220"/>
      <c r="AV480" s="220"/>
      <c r="AW480" s="220"/>
    </row>
    <row r="481" spans="1:49" s="221" customFormat="1" ht="242.25" x14ac:dyDescent="0.25">
      <c r="A481" s="63">
        <v>67</v>
      </c>
      <c r="B481" s="63" t="str">
        <f t="shared" si="56"/>
        <v>3075-67</v>
      </c>
      <c r="C481" s="76" t="s">
        <v>1141</v>
      </c>
      <c r="D481" s="76" t="s">
        <v>1142</v>
      </c>
      <c r="E481" s="76" t="s">
        <v>1143</v>
      </c>
      <c r="F481" s="76" t="s">
        <v>1158</v>
      </c>
      <c r="G481" s="77" t="s">
        <v>1159</v>
      </c>
      <c r="H481" s="78" t="s">
        <v>1160</v>
      </c>
      <c r="I481" s="76" t="s">
        <v>1147</v>
      </c>
      <c r="J481" s="76" t="s">
        <v>1148</v>
      </c>
      <c r="K481" s="76">
        <v>801116</v>
      </c>
      <c r="L481" s="63" t="s">
        <v>1149</v>
      </c>
      <c r="M481" s="63" t="s">
        <v>58</v>
      </c>
      <c r="N481" s="63" t="s">
        <v>59</v>
      </c>
      <c r="O481" s="76" t="s">
        <v>1213</v>
      </c>
      <c r="P481" s="76" t="s">
        <v>1364</v>
      </c>
      <c r="Q481" s="83">
        <v>6180000</v>
      </c>
      <c r="R481" s="63">
        <v>1</v>
      </c>
      <c r="S481" s="80">
        <v>67980000</v>
      </c>
      <c r="T481" s="63" t="s">
        <v>888</v>
      </c>
      <c r="U481" s="63" t="s">
        <v>1163</v>
      </c>
      <c r="V481" s="81" t="s">
        <v>64</v>
      </c>
      <c r="W481" s="82">
        <v>11</v>
      </c>
      <c r="X481" s="63" t="s">
        <v>1365</v>
      </c>
      <c r="Y481" s="81">
        <v>43103</v>
      </c>
      <c r="Z481" s="83">
        <v>67980000</v>
      </c>
      <c r="AA481" s="84" t="s">
        <v>439</v>
      </c>
      <c r="AB481" s="85">
        <v>341</v>
      </c>
      <c r="AC481" s="81">
        <v>43110</v>
      </c>
      <c r="AD481" s="86">
        <v>67980000</v>
      </c>
      <c r="AE481" s="87">
        <f t="shared" si="55"/>
        <v>0</v>
      </c>
      <c r="AF481" s="85">
        <v>91</v>
      </c>
      <c r="AG481" s="81">
        <v>43116</v>
      </c>
      <c r="AH481" s="86">
        <v>67980000</v>
      </c>
      <c r="AI481" s="63" t="s">
        <v>1366</v>
      </c>
      <c r="AJ481" s="63">
        <v>80</v>
      </c>
      <c r="AK481" s="87">
        <f t="shared" si="57"/>
        <v>0</v>
      </c>
      <c r="AL481" s="86">
        <v>42848000</v>
      </c>
      <c r="AM481" s="86">
        <f t="shared" si="58"/>
        <v>25132000</v>
      </c>
      <c r="AN481" s="63" t="s">
        <v>1155</v>
      </c>
      <c r="AO481" s="86">
        <f t="shared" si="59"/>
        <v>0</v>
      </c>
      <c r="AP481" s="63"/>
      <c r="AQ481" s="63"/>
      <c r="AR481" s="63"/>
      <c r="AS481" s="63"/>
      <c r="AT481" s="63"/>
      <c r="AU481" s="220"/>
      <c r="AV481" s="220"/>
      <c r="AW481" s="220"/>
    </row>
    <row r="482" spans="1:49" s="221" customFormat="1" ht="313.5" x14ac:dyDescent="0.25">
      <c r="A482" s="63">
        <v>68</v>
      </c>
      <c r="B482" s="63" t="str">
        <f t="shared" si="56"/>
        <v>3075-68</v>
      </c>
      <c r="C482" s="76" t="s">
        <v>1141</v>
      </c>
      <c r="D482" s="76" t="s">
        <v>1142</v>
      </c>
      <c r="E482" s="76" t="s">
        <v>1143</v>
      </c>
      <c r="F482" s="76" t="s">
        <v>1158</v>
      </c>
      <c r="G482" s="77" t="s">
        <v>1159</v>
      </c>
      <c r="H482" s="78" t="s">
        <v>1160</v>
      </c>
      <c r="I482" s="76" t="s">
        <v>1147</v>
      </c>
      <c r="J482" s="76" t="s">
        <v>1148</v>
      </c>
      <c r="K482" s="76">
        <v>801116</v>
      </c>
      <c r="L482" s="63" t="s">
        <v>1149</v>
      </c>
      <c r="M482" s="63" t="s">
        <v>58</v>
      </c>
      <c r="N482" s="63" t="s">
        <v>59</v>
      </c>
      <c r="O482" s="76" t="s">
        <v>1213</v>
      </c>
      <c r="P482" s="76" t="s">
        <v>1367</v>
      </c>
      <c r="Q482" s="83">
        <v>5036700</v>
      </c>
      <c r="R482" s="63">
        <v>1</v>
      </c>
      <c r="S482" s="80">
        <v>50367000</v>
      </c>
      <c r="T482" s="63" t="s">
        <v>888</v>
      </c>
      <c r="U482" s="63" t="s">
        <v>1163</v>
      </c>
      <c r="V482" s="81" t="s">
        <v>64</v>
      </c>
      <c r="W482" s="82">
        <v>10</v>
      </c>
      <c r="X482" s="63" t="s">
        <v>1368</v>
      </c>
      <c r="Y482" s="81">
        <v>43103</v>
      </c>
      <c r="Z482" s="83">
        <v>50367000</v>
      </c>
      <c r="AA482" s="84" t="s">
        <v>439</v>
      </c>
      <c r="AB482" s="85">
        <v>330</v>
      </c>
      <c r="AC482" s="81">
        <v>43110</v>
      </c>
      <c r="AD482" s="86">
        <v>50367000</v>
      </c>
      <c r="AE482" s="87">
        <f t="shared" si="55"/>
        <v>0</v>
      </c>
      <c r="AF482" s="85">
        <v>89</v>
      </c>
      <c r="AG482" s="81">
        <v>43116</v>
      </c>
      <c r="AH482" s="86">
        <v>50367000</v>
      </c>
      <c r="AI482" s="63" t="s">
        <v>1369</v>
      </c>
      <c r="AJ482" s="63">
        <v>77</v>
      </c>
      <c r="AK482" s="87">
        <f t="shared" si="57"/>
        <v>0</v>
      </c>
      <c r="AL482" s="86">
        <v>37607360</v>
      </c>
      <c r="AM482" s="86">
        <f t="shared" si="58"/>
        <v>12759640</v>
      </c>
      <c r="AN482" s="63" t="s">
        <v>1155</v>
      </c>
      <c r="AO482" s="86">
        <f t="shared" si="59"/>
        <v>0</v>
      </c>
      <c r="AP482" s="63"/>
      <c r="AQ482" s="63"/>
      <c r="AR482" s="63"/>
      <c r="AS482" s="63"/>
      <c r="AT482" s="63"/>
      <c r="AU482" s="220"/>
      <c r="AV482" s="220"/>
      <c r="AW482" s="220"/>
    </row>
    <row r="483" spans="1:49" s="221" customFormat="1" ht="213.75" x14ac:dyDescent="0.25">
      <c r="A483" s="63">
        <v>69</v>
      </c>
      <c r="B483" s="63" t="str">
        <f t="shared" si="56"/>
        <v>3075-69</v>
      </c>
      <c r="C483" s="76" t="s">
        <v>1141</v>
      </c>
      <c r="D483" s="76" t="s">
        <v>1142</v>
      </c>
      <c r="E483" s="76" t="s">
        <v>1143</v>
      </c>
      <c r="F483" s="76" t="s">
        <v>1158</v>
      </c>
      <c r="G483" s="77" t="s">
        <v>1159</v>
      </c>
      <c r="H483" s="78" t="s">
        <v>1160</v>
      </c>
      <c r="I483" s="76" t="s">
        <v>1147</v>
      </c>
      <c r="J483" s="76" t="s">
        <v>1148</v>
      </c>
      <c r="K483" s="76">
        <v>801116</v>
      </c>
      <c r="L483" s="63" t="s">
        <v>1149</v>
      </c>
      <c r="M483" s="63" t="s">
        <v>58</v>
      </c>
      <c r="N483" s="63" t="s">
        <v>59</v>
      </c>
      <c r="O483" s="76" t="s">
        <v>1213</v>
      </c>
      <c r="P483" s="76" t="s">
        <v>1370</v>
      </c>
      <c r="Q483" s="83">
        <v>3553500</v>
      </c>
      <c r="R483" s="63">
        <v>1</v>
      </c>
      <c r="S483" s="80">
        <f>35535000-1545000</f>
        <v>33990000</v>
      </c>
      <c r="T483" s="63" t="s">
        <v>888</v>
      </c>
      <c r="U483" s="63" t="s">
        <v>1163</v>
      </c>
      <c r="V483" s="81" t="s">
        <v>64</v>
      </c>
      <c r="W483" s="82">
        <v>10</v>
      </c>
      <c r="X483" s="63" t="s">
        <v>1371</v>
      </c>
      <c r="Y483" s="81">
        <v>43102</v>
      </c>
      <c r="Z483" s="83">
        <f>35535000-1545000</f>
        <v>33990000</v>
      </c>
      <c r="AA483" s="84" t="s">
        <v>439</v>
      </c>
      <c r="AB483" s="85">
        <v>409</v>
      </c>
      <c r="AC483" s="81">
        <v>43110</v>
      </c>
      <c r="AD483" s="86">
        <v>33990000</v>
      </c>
      <c r="AE483" s="87">
        <f t="shared" si="55"/>
        <v>0</v>
      </c>
      <c r="AF483" s="85">
        <v>474</v>
      </c>
      <c r="AG483" s="81">
        <v>43126</v>
      </c>
      <c r="AH483" s="86">
        <v>33990000</v>
      </c>
      <c r="AI483" s="63" t="s">
        <v>1372</v>
      </c>
      <c r="AJ483" s="63">
        <v>400</v>
      </c>
      <c r="AK483" s="87">
        <f t="shared" si="57"/>
        <v>0</v>
      </c>
      <c r="AL483" s="86">
        <v>24359500</v>
      </c>
      <c r="AM483" s="86">
        <f t="shared" si="58"/>
        <v>9630500</v>
      </c>
      <c r="AN483" s="63" t="s">
        <v>1155</v>
      </c>
      <c r="AO483" s="86">
        <f t="shared" si="59"/>
        <v>0</v>
      </c>
      <c r="AP483" s="63"/>
      <c r="AQ483" s="63"/>
      <c r="AR483" s="63"/>
      <c r="AS483" s="63"/>
      <c r="AT483" s="63"/>
      <c r="AU483" s="220"/>
      <c r="AV483" s="220"/>
      <c r="AW483" s="220"/>
    </row>
    <row r="484" spans="1:49" s="221" customFormat="1" ht="213.75" x14ac:dyDescent="0.25">
      <c r="A484" s="63">
        <v>70</v>
      </c>
      <c r="B484" s="63" t="str">
        <f t="shared" si="56"/>
        <v>3075-70</v>
      </c>
      <c r="C484" s="76" t="s">
        <v>1141</v>
      </c>
      <c r="D484" s="76" t="s">
        <v>1142</v>
      </c>
      <c r="E484" s="76" t="s">
        <v>1143</v>
      </c>
      <c r="F484" s="76" t="s">
        <v>1158</v>
      </c>
      <c r="G484" s="77" t="s">
        <v>1159</v>
      </c>
      <c r="H484" s="78" t="s">
        <v>1160</v>
      </c>
      <c r="I484" s="76" t="s">
        <v>1147</v>
      </c>
      <c r="J484" s="76" t="s">
        <v>1148</v>
      </c>
      <c r="K484" s="76">
        <v>801116</v>
      </c>
      <c r="L484" s="63" t="s">
        <v>1149</v>
      </c>
      <c r="M484" s="63" t="s">
        <v>58</v>
      </c>
      <c r="N484" s="63" t="s">
        <v>59</v>
      </c>
      <c r="O484" s="76" t="s">
        <v>1213</v>
      </c>
      <c r="P484" s="76" t="s">
        <v>1370</v>
      </c>
      <c r="Q484" s="83">
        <v>3399000</v>
      </c>
      <c r="R484" s="63">
        <v>2</v>
      </c>
      <c r="S484" s="80">
        <v>37389000</v>
      </c>
      <c r="T484" s="63" t="s">
        <v>888</v>
      </c>
      <c r="U484" s="63" t="s">
        <v>1163</v>
      </c>
      <c r="V484" s="81" t="s">
        <v>64</v>
      </c>
      <c r="W484" s="82">
        <v>9.5</v>
      </c>
      <c r="X484" s="63" t="s">
        <v>1373</v>
      </c>
      <c r="Y484" s="81">
        <v>43102</v>
      </c>
      <c r="Z484" s="83">
        <v>37389000</v>
      </c>
      <c r="AA484" s="84" t="s">
        <v>439</v>
      </c>
      <c r="AB484" s="85">
        <v>345</v>
      </c>
      <c r="AC484" s="81">
        <v>43110</v>
      </c>
      <c r="AD484" s="86">
        <v>37389000</v>
      </c>
      <c r="AE484" s="87">
        <f t="shared" si="55"/>
        <v>0</v>
      </c>
      <c r="AF484" s="85">
        <v>92</v>
      </c>
      <c r="AG484" s="81">
        <v>43116</v>
      </c>
      <c r="AH484" s="86">
        <v>37389000</v>
      </c>
      <c r="AI484" s="63" t="s">
        <v>1374</v>
      </c>
      <c r="AJ484" s="63">
        <v>79</v>
      </c>
      <c r="AK484" s="87">
        <f t="shared" si="57"/>
        <v>0</v>
      </c>
      <c r="AL484" s="86">
        <v>25379200</v>
      </c>
      <c r="AM484" s="86">
        <f t="shared" si="58"/>
        <v>12009800</v>
      </c>
      <c r="AN484" s="63" t="s">
        <v>1155</v>
      </c>
      <c r="AO484" s="86">
        <f t="shared" si="59"/>
        <v>0</v>
      </c>
      <c r="AP484" s="63"/>
      <c r="AQ484" s="63"/>
      <c r="AR484" s="63"/>
      <c r="AS484" s="63"/>
      <c r="AT484" s="63"/>
      <c r="AU484" s="220"/>
      <c r="AV484" s="220"/>
      <c r="AW484" s="220"/>
    </row>
    <row r="485" spans="1:49" s="221" customFormat="1" ht="242.25" x14ac:dyDescent="0.25">
      <c r="A485" s="63">
        <v>71</v>
      </c>
      <c r="B485" s="63" t="str">
        <f t="shared" si="56"/>
        <v>3075-71</v>
      </c>
      <c r="C485" s="76" t="s">
        <v>1141</v>
      </c>
      <c r="D485" s="76" t="s">
        <v>1142</v>
      </c>
      <c r="E485" s="76" t="s">
        <v>1143</v>
      </c>
      <c r="F485" s="76" t="s">
        <v>1158</v>
      </c>
      <c r="G485" s="77" t="s">
        <v>1159</v>
      </c>
      <c r="H485" s="78" t="s">
        <v>1160</v>
      </c>
      <c r="I485" s="76" t="s">
        <v>1147</v>
      </c>
      <c r="J485" s="76" t="s">
        <v>1148</v>
      </c>
      <c r="K485" s="76">
        <v>801116</v>
      </c>
      <c r="L485" s="63" t="s">
        <v>1149</v>
      </c>
      <c r="M485" s="63" t="s">
        <v>58</v>
      </c>
      <c r="N485" s="63" t="s">
        <v>59</v>
      </c>
      <c r="O485" s="76" t="s">
        <v>1213</v>
      </c>
      <c r="P485" s="76" t="s">
        <v>1375</v>
      </c>
      <c r="Q485" s="83">
        <v>3038500</v>
      </c>
      <c r="R485" s="63">
        <v>2</v>
      </c>
      <c r="S485" s="80">
        <v>0</v>
      </c>
      <c r="T485" s="63"/>
      <c r="U485" s="63"/>
      <c r="V485" s="81"/>
      <c r="W485" s="82"/>
      <c r="X485" s="63"/>
      <c r="Y485" s="81"/>
      <c r="Z485" s="83"/>
      <c r="AA485" s="84"/>
      <c r="AB485" s="85"/>
      <c r="AC485" s="81"/>
      <c r="AD485" s="86"/>
      <c r="AE485" s="87">
        <f t="shared" si="55"/>
        <v>0</v>
      </c>
      <c r="AF485" s="85"/>
      <c r="AG485" s="81"/>
      <c r="AH485" s="86"/>
      <c r="AI485" s="63"/>
      <c r="AJ485" s="63"/>
      <c r="AK485" s="87">
        <f t="shared" si="57"/>
        <v>0</v>
      </c>
      <c r="AL485" s="86"/>
      <c r="AM485" s="86">
        <f t="shared" si="58"/>
        <v>0</v>
      </c>
      <c r="AN485" s="63" t="s">
        <v>1155</v>
      </c>
      <c r="AO485" s="86">
        <f t="shared" si="59"/>
        <v>0</v>
      </c>
      <c r="AP485" s="63"/>
      <c r="AQ485" s="63"/>
      <c r="AR485" s="63" t="s">
        <v>1157</v>
      </c>
      <c r="AS485" s="63"/>
      <c r="AT485" s="63"/>
      <c r="AU485" s="220"/>
      <c r="AV485" s="220"/>
      <c r="AW485" s="220"/>
    </row>
    <row r="486" spans="1:49" s="221" customFormat="1" ht="242.25" x14ac:dyDescent="0.25">
      <c r="A486" s="63">
        <v>72</v>
      </c>
      <c r="B486" s="63" t="str">
        <f t="shared" si="56"/>
        <v>3075-72</v>
      </c>
      <c r="C486" s="76" t="s">
        <v>1141</v>
      </c>
      <c r="D486" s="76" t="s">
        <v>1142</v>
      </c>
      <c r="E486" s="76" t="s">
        <v>1143</v>
      </c>
      <c r="F486" s="76" t="s">
        <v>1158</v>
      </c>
      <c r="G486" s="77" t="s">
        <v>1159</v>
      </c>
      <c r="H486" s="78" t="s">
        <v>1160</v>
      </c>
      <c r="I486" s="76" t="s">
        <v>1147</v>
      </c>
      <c r="J486" s="76" t="s">
        <v>1148</v>
      </c>
      <c r="K486" s="76">
        <v>801116</v>
      </c>
      <c r="L486" s="63" t="s">
        <v>1149</v>
      </c>
      <c r="M486" s="63" t="s">
        <v>58</v>
      </c>
      <c r="N486" s="63" t="s">
        <v>59</v>
      </c>
      <c r="O486" s="76" t="s">
        <v>1213</v>
      </c>
      <c r="P486" s="76" t="s">
        <v>1376</v>
      </c>
      <c r="Q486" s="83">
        <v>7210000</v>
      </c>
      <c r="R486" s="63">
        <v>1</v>
      </c>
      <c r="S486" s="80">
        <v>72100000</v>
      </c>
      <c r="T486" s="63" t="s">
        <v>888</v>
      </c>
      <c r="U486" s="63" t="s">
        <v>1163</v>
      </c>
      <c r="V486" s="81" t="s">
        <v>64</v>
      </c>
      <c r="W486" s="82">
        <v>10</v>
      </c>
      <c r="X486" s="63" t="s">
        <v>1377</v>
      </c>
      <c r="Y486" s="81">
        <v>43103</v>
      </c>
      <c r="Z486" s="83">
        <v>72100000</v>
      </c>
      <c r="AA486" s="84" t="s">
        <v>439</v>
      </c>
      <c r="AB486" s="85">
        <v>348</v>
      </c>
      <c r="AC486" s="81">
        <v>43110</v>
      </c>
      <c r="AD486" s="86">
        <v>72100000</v>
      </c>
      <c r="AE486" s="87">
        <f t="shared" si="55"/>
        <v>0</v>
      </c>
      <c r="AF486" s="85">
        <v>162</v>
      </c>
      <c r="AG486" s="81">
        <v>43118</v>
      </c>
      <c r="AH486" s="86">
        <v>72100000</v>
      </c>
      <c r="AI486" s="63" t="s">
        <v>1378</v>
      </c>
      <c r="AJ486" s="63">
        <v>123</v>
      </c>
      <c r="AK486" s="87">
        <f t="shared" si="57"/>
        <v>0</v>
      </c>
      <c r="AL486" s="86">
        <v>53594333</v>
      </c>
      <c r="AM486" s="86">
        <f t="shared" si="58"/>
        <v>18505667</v>
      </c>
      <c r="AN486" s="63" t="s">
        <v>1155</v>
      </c>
      <c r="AO486" s="86">
        <f t="shared" si="59"/>
        <v>0</v>
      </c>
      <c r="AP486" s="63"/>
      <c r="AQ486" s="63"/>
      <c r="AR486" s="63"/>
      <c r="AS486" s="63"/>
      <c r="AT486" s="63"/>
      <c r="AU486" s="220"/>
      <c r="AV486" s="220"/>
      <c r="AW486" s="220"/>
    </row>
    <row r="487" spans="1:49" s="221" customFormat="1" ht="242.25" x14ac:dyDescent="0.25">
      <c r="A487" s="63">
        <v>73</v>
      </c>
      <c r="B487" s="63" t="str">
        <f t="shared" si="56"/>
        <v>3075-73</v>
      </c>
      <c r="C487" s="76" t="s">
        <v>1141</v>
      </c>
      <c r="D487" s="76" t="s">
        <v>1142</v>
      </c>
      <c r="E487" s="76" t="s">
        <v>1143</v>
      </c>
      <c r="F487" s="76" t="s">
        <v>1158</v>
      </c>
      <c r="G487" s="77" t="s">
        <v>1159</v>
      </c>
      <c r="H487" s="78" t="s">
        <v>1160</v>
      </c>
      <c r="I487" s="76" t="s">
        <v>1147</v>
      </c>
      <c r="J487" s="76" t="s">
        <v>1148</v>
      </c>
      <c r="K487" s="76">
        <v>801116</v>
      </c>
      <c r="L487" s="63" t="s">
        <v>1149</v>
      </c>
      <c r="M487" s="63" t="s">
        <v>58</v>
      </c>
      <c r="N487" s="63" t="s">
        <v>59</v>
      </c>
      <c r="O487" s="76" t="s">
        <v>1213</v>
      </c>
      <c r="P487" s="76" t="s">
        <v>1376</v>
      </c>
      <c r="Q487" s="83">
        <v>6695000</v>
      </c>
      <c r="R487" s="63">
        <v>1</v>
      </c>
      <c r="S487" s="80">
        <v>66950000</v>
      </c>
      <c r="T487" s="63" t="s">
        <v>888</v>
      </c>
      <c r="U487" s="63" t="s">
        <v>1163</v>
      </c>
      <c r="V487" s="81" t="s">
        <v>64</v>
      </c>
      <c r="W487" s="82">
        <v>10</v>
      </c>
      <c r="X487" s="63" t="s">
        <v>1379</v>
      </c>
      <c r="Y487" s="81">
        <v>43103</v>
      </c>
      <c r="Z487" s="83">
        <v>66950000</v>
      </c>
      <c r="AA487" s="84" t="s">
        <v>439</v>
      </c>
      <c r="AB487" s="85">
        <v>332</v>
      </c>
      <c r="AC487" s="81">
        <v>43110</v>
      </c>
      <c r="AD487" s="86">
        <v>66950000</v>
      </c>
      <c r="AE487" s="87">
        <f t="shared" si="55"/>
        <v>0</v>
      </c>
      <c r="AF487" s="85">
        <v>289</v>
      </c>
      <c r="AG487" s="81">
        <v>43122</v>
      </c>
      <c r="AH487" s="86">
        <v>66950000</v>
      </c>
      <c r="AI487" s="63" t="s">
        <v>1380</v>
      </c>
      <c r="AJ487" s="63">
        <v>258</v>
      </c>
      <c r="AK487" s="87">
        <f t="shared" si="57"/>
        <v>0</v>
      </c>
      <c r="AL487" s="86">
        <v>48650333</v>
      </c>
      <c r="AM487" s="86">
        <f t="shared" si="58"/>
        <v>18299667</v>
      </c>
      <c r="AN487" s="63" t="s">
        <v>1155</v>
      </c>
      <c r="AO487" s="86">
        <f t="shared" si="59"/>
        <v>0</v>
      </c>
      <c r="AP487" s="63"/>
      <c r="AQ487" s="63"/>
      <c r="AR487" s="63"/>
      <c r="AS487" s="63"/>
      <c r="AT487" s="63"/>
      <c r="AU487" s="220"/>
      <c r="AV487" s="220"/>
      <c r="AW487" s="220"/>
    </row>
    <row r="488" spans="1:49" s="221" customFormat="1" ht="228" x14ac:dyDescent="0.25">
      <c r="A488" s="63">
        <v>74</v>
      </c>
      <c r="B488" s="63" t="str">
        <f t="shared" si="56"/>
        <v>3075-74</v>
      </c>
      <c r="C488" s="76" t="s">
        <v>1141</v>
      </c>
      <c r="D488" s="76" t="s">
        <v>1142</v>
      </c>
      <c r="E488" s="76" t="s">
        <v>1143</v>
      </c>
      <c r="F488" s="76" t="s">
        <v>1158</v>
      </c>
      <c r="G488" s="77" t="s">
        <v>1159</v>
      </c>
      <c r="H488" s="78" t="s">
        <v>1160</v>
      </c>
      <c r="I488" s="76" t="s">
        <v>1147</v>
      </c>
      <c r="J488" s="76" t="s">
        <v>1148</v>
      </c>
      <c r="K488" s="76">
        <v>801116</v>
      </c>
      <c r="L488" s="63" t="s">
        <v>1149</v>
      </c>
      <c r="M488" s="63" t="s">
        <v>58</v>
      </c>
      <c r="N488" s="63" t="s">
        <v>59</v>
      </c>
      <c r="O488" s="76" t="s">
        <v>1213</v>
      </c>
      <c r="P488" s="76" t="s">
        <v>1381</v>
      </c>
      <c r="Q488" s="83">
        <v>3553500</v>
      </c>
      <c r="R488" s="63">
        <v>1</v>
      </c>
      <c r="S488" s="80">
        <v>28428000</v>
      </c>
      <c r="T488" s="63" t="s">
        <v>888</v>
      </c>
      <c r="U488" s="63" t="s">
        <v>1163</v>
      </c>
      <c r="V488" s="81" t="s">
        <v>64</v>
      </c>
      <c r="W488" s="82">
        <v>8</v>
      </c>
      <c r="X488" s="63" t="s">
        <v>1382</v>
      </c>
      <c r="Y488" s="81">
        <v>43102</v>
      </c>
      <c r="Z488" s="83">
        <v>28428000</v>
      </c>
      <c r="AA488" s="84" t="s">
        <v>439</v>
      </c>
      <c r="AB488" s="85">
        <v>217</v>
      </c>
      <c r="AC488" s="81">
        <v>43105</v>
      </c>
      <c r="AD488" s="86">
        <v>28428000</v>
      </c>
      <c r="AE488" s="87">
        <f t="shared" si="55"/>
        <v>0</v>
      </c>
      <c r="AF488" s="85">
        <v>421</v>
      </c>
      <c r="AG488" s="81">
        <v>43124</v>
      </c>
      <c r="AH488" s="86">
        <v>28428000</v>
      </c>
      <c r="AI488" s="63" t="s">
        <v>1383</v>
      </c>
      <c r="AJ488" s="63">
        <v>370</v>
      </c>
      <c r="AK488" s="87">
        <f t="shared" si="57"/>
        <v>0</v>
      </c>
      <c r="AL488" s="86">
        <v>25585200</v>
      </c>
      <c r="AM488" s="86">
        <f t="shared" si="58"/>
        <v>2842800</v>
      </c>
      <c r="AN488" s="63" t="s">
        <v>1155</v>
      </c>
      <c r="AO488" s="86">
        <f t="shared" si="59"/>
        <v>0</v>
      </c>
      <c r="AP488" s="63"/>
      <c r="AQ488" s="63"/>
      <c r="AR488" s="63"/>
      <c r="AS488" s="63"/>
      <c r="AT488" s="63"/>
      <c r="AU488" s="220"/>
      <c r="AV488" s="220"/>
      <c r="AW488" s="220"/>
    </row>
    <row r="489" spans="1:49" s="221" customFormat="1" ht="213.75" x14ac:dyDescent="0.25">
      <c r="A489" s="63">
        <v>75</v>
      </c>
      <c r="B489" s="63" t="str">
        <f t="shared" si="56"/>
        <v>3075-75</v>
      </c>
      <c r="C489" s="76" t="s">
        <v>1141</v>
      </c>
      <c r="D489" s="76" t="s">
        <v>1142</v>
      </c>
      <c r="E489" s="76" t="s">
        <v>1143</v>
      </c>
      <c r="F489" s="76" t="s">
        <v>1158</v>
      </c>
      <c r="G489" s="77" t="s">
        <v>1159</v>
      </c>
      <c r="H489" s="78" t="s">
        <v>1160</v>
      </c>
      <c r="I489" s="76" t="s">
        <v>1147</v>
      </c>
      <c r="J489" s="76" t="s">
        <v>1148</v>
      </c>
      <c r="K489" s="76">
        <v>801116</v>
      </c>
      <c r="L489" s="63" t="s">
        <v>1149</v>
      </c>
      <c r="M489" s="63" t="s">
        <v>58</v>
      </c>
      <c r="N489" s="63" t="s">
        <v>59</v>
      </c>
      <c r="O489" s="76" t="s">
        <v>1213</v>
      </c>
      <c r="P489" s="76" t="s">
        <v>1384</v>
      </c>
      <c r="Q489" s="83">
        <v>3553500</v>
      </c>
      <c r="R489" s="63">
        <v>4</v>
      </c>
      <c r="S489" s="80">
        <v>17767500</v>
      </c>
      <c r="T489" s="63" t="s">
        <v>888</v>
      </c>
      <c r="U489" s="63" t="s">
        <v>1163</v>
      </c>
      <c r="V489" s="81" t="s">
        <v>64</v>
      </c>
      <c r="W489" s="82">
        <v>9.5</v>
      </c>
      <c r="X489" s="63" t="s">
        <v>1385</v>
      </c>
      <c r="Y489" s="81">
        <v>43111</v>
      </c>
      <c r="Z489" s="83">
        <v>17767500</v>
      </c>
      <c r="AA489" s="84" t="s">
        <v>1386</v>
      </c>
      <c r="AB489" s="85">
        <v>445</v>
      </c>
      <c r="AC489" s="81">
        <v>43111</v>
      </c>
      <c r="AD489" s="86">
        <v>17767500</v>
      </c>
      <c r="AE489" s="87">
        <f t="shared" si="55"/>
        <v>0</v>
      </c>
      <c r="AF489" s="85">
        <v>400</v>
      </c>
      <c r="AG489" s="81">
        <v>43124</v>
      </c>
      <c r="AH489" s="86">
        <v>17767500</v>
      </c>
      <c r="AI489" s="63" t="s">
        <v>1387</v>
      </c>
      <c r="AJ489" s="63">
        <v>321</v>
      </c>
      <c r="AK489" s="87">
        <f t="shared" si="57"/>
        <v>0</v>
      </c>
      <c r="AL489" s="86">
        <v>17767500</v>
      </c>
      <c r="AM489" s="86">
        <f t="shared" si="58"/>
        <v>0</v>
      </c>
      <c r="AN489" s="63" t="s">
        <v>1155</v>
      </c>
      <c r="AO489" s="86">
        <f t="shared" si="59"/>
        <v>0</v>
      </c>
      <c r="AP489" s="63"/>
      <c r="AQ489" s="63"/>
      <c r="AR489" s="63"/>
      <c r="AS489" s="63"/>
      <c r="AT489" s="63"/>
      <c r="AU489" s="220"/>
      <c r="AV489" s="220"/>
      <c r="AW489" s="220"/>
    </row>
    <row r="490" spans="1:49" s="221" customFormat="1" ht="256.5" x14ac:dyDescent="0.25">
      <c r="A490" s="63">
        <v>76</v>
      </c>
      <c r="B490" s="63" t="str">
        <f t="shared" si="56"/>
        <v>3075-76</v>
      </c>
      <c r="C490" s="76" t="s">
        <v>1141</v>
      </c>
      <c r="D490" s="76" t="s">
        <v>1142</v>
      </c>
      <c r="E490" s="76" t="s">
        <v>1143</v>
      </c>
      <c r="F490" s="76" t="s">
        <v>1158</v>
      </c>
      <c r="G490" s="77" t="s">
        <v>1159</v>
      </c>
      <c r="H490" s="78" t="s">
        <v>1160</v>
      </c>
      <c r="I490" s="76" t="s">
        <v>1147</v>
      </c>
      <c r="J490" s="76" t="s">
        <v>1148</v>
      </c>
      <c r="K490" s="76">
        <v>801116</v>
      </c>
      <c r="L490" s="63" t="s">
        <v>1149</v>
      </c>
      <c r="M490" s="63" t="s">
        <v>58</v>
      </c>
      <c r="N490" s="63" t="s">
        <v>59</v>
      </c>
      <c r="O490" s="76" t="s">
        <v>1213</v>
      </c>
      <c r="P490" s="76" t="s">
        <v>1302</v>
      </c>
      <c r="Q490" s="83">
        <v>4532000</v>
      </c>
      <c r="R490" s="63">
        <v>1</v>
      </c>
      <c r="S490" s="80">
        <v>49852000</v>
      </c>
      <c r="T490" s="63" t="s">
        <v>888</v>
      </c>
      <c r="U490" s="63" t="s">
        <v>1163</v>
      </c>
      <c r="V490" s="81" t="s">
        <v>64</v>
      </c>
      <c r="W490" s="82">
        <v>11</v>
      </c>
      <c r="X490" s="63" t="s">
        <v>1388</v>
      </c>
      <c r="Y490" s="81">
        <v>43103</v>
      </c>
      <c r="Z490" s="83">
        <v>49852000</v>
      </c>
      <c r="AA490" s="84" t="s">
        <v>439</v>
      </c>
      <c r="AB490" s="85">
        <v>337</v>
      </c>
      <c r="AC490" s="81">
        <v>43110</v>
      </c>
      <c r="AD490" s="86">
        <v>49852000</v>
      </c>
      <c r="AE490" s="87">
        <f t="shared" si="55"/>
        <v>0</v>
      </c>
      <c r="AF490" s="85">
        <v>35</v>
      </c>
      <c r="AG490" s="81">
        <v>43116</v>
      </c>
      <c r="AH490" s="86">
        <v>49852000</v>
      </c>
      <c r="AI490" s="63" t="s">
        <v>1389</v>
      </c>
      <c r="AJ490" s="63">
        <v>34</v>
      </c>
      <c r="AK490" s="87">
        <f t="shared" si="57"/>
        <v>0</v>
      </c>
      <c r="AL490" s="86">
        <v>33990000</v>
      </c>
      <c r="AM490" s="86">
        <f t="shared" si="58"/>
        <v>15862000</v>
      </c>
      <c r="AN490" s="63" t="s">
        <v>1155</v>
      </c>
      <c r="AO490" s="86">
        <f t="shared" si="59"/>
        <v>0</v>
      </c>
      <c r="AP490" s="63"/>
      <c r="AQ490" s="63"/>
      <c r="AR490" s="63"/>
      <c r="AS490" s="63"/>
      <c r="AT490" s="63"/>
      <c r="AU490" s="220"/>
      <c r="AV490" s="220"/>
      <c r="AW490" s="220"/>
    </row>
    <row r="491" spans="1:49" s="221" customFormat="1" ht="313.5" x14ac:dyDescent="0.25">
      <c r="A491" s="63">
        <v>77</v>
      </c>
      <c r="B491" s="63" t="str">
        <f t="shared" si="56"/>
        <v>3075-77</v>
      </c>
      <c r="C491" s="76" t="s">
        <v>1141</v>
      </c>
      <c r="D491" s="76" t="s">
        <v>1142</v>
      </c>
      <c r="E491" s="76" t="s">
        <v>1143</v>
      </c>
      <c r="F491" s="76" t="s">
        <v>1158</v>
      </c>
      <c r="G491" s="77" t="s">
        <v>1159</v>
      </c>
      <c r="H491" s="78" t="s">
        <v>1160</v>
      </c>
      <c r="I491" s="76" t="s">
        <v>1147</v>
      </c>
      <c r="J491" s="76" t="s">
        <v>1148</v>
      </c>
      <c r="K491" s="76">
        <v>801116</v>
      </c>
      <c r="L491" s="63" t="s">
        <v>1149</v>
      </c>
      <c r="M491" s="63" t="s">
        <v>58</v>
      </c>
      <c r="N491" s="63" t="s">
        <v>59</v>
      </c>
      <c r="O491" s="76" t="s">
        <v>1213</v>
      </c>
      <c r="P491" s="76" t="s">
        <v>1367</v>
      </c>
      <c r="Q491" s="83">
        <v>4532000</v>
      </c>
      <c r="R491" s="63">
        <v>1</v>
      </c>
      <c r="S491" s="80">
        <v>45320000</v>
      </c>
      <c r="T491" s="63" t="s">
        <v>888</v>
      </c>
      <c r="U491" s="63" t="s">
        <v>1163</v>
      </c>
      <c r="V491" s="81" t="s">
        <v>64</v>
      </c>
      <c r="W491" s="82">
        <v>10</v>
      </c>
      <c r="X491" s="63" t="s">
        <v>1390</v>
      </c>
      <c r="Y491" s="81">
        <v>43103</v>
      </c>
      <c r="Z491" s="83">
        <v>45320000</v>
      </c>
      <c r="AA491" s="84" t="s">
        <v>439</v>
      </c>
      <c r="AB491" s="85">
        <v>310</v>
      </c>
      <c r="AC491" s="81">
        <v>43110</v>
      </c>
      <c r="AD491" s="86">
        <v>45320000</v>
      </c>
      <c r="AE491" s="87">
        <f t="shared" si="55"/>
        <v>0</v>
      </c>
      <c r="AF491" s="85">
        <v>205</v>
      </c>
      <c r="AG491" s="81">
        <v>43118</v>
      </c>
      <c r="AH491" s="86">
        <v>45320000</v>
      </c>
      <c r="AI491" s="63" t="s">
        <v>1391</v>
      </c>
      <c r="AJ491" s="63">
        <v>163</v>
      </c>
      <c r="AK491" s="87">
        <f t="shared" si="57"/>
        <v>0</v>
      </c>
      <c r="AL491" s="86">
        <v>33536800</v>
      </c>
      <c r="AM491" s="86">
        <f t="shared" si="58"/>
        <v>11783200</v>
      </c>
      <c r="AN491" s="63" t="s">
        <v>1155</v>
      </c>
      <c r="AO491" s="86">
        <f t="shared" si="59"/>
        <v>0</v>
      </c>
      <c r="AP491" s="63"/>
      <c r="AQ491" s="63"/>
      <c r="AR491" s="63"/>
      <c r="AS491" s="63"/>
      <c r="AT491" s="63"/>
      <c r="AU491" s="220"/>
      <c r="AV491" s="220"/>
      <c r="AW491" s="220"/>
    </row>
    <row r="492" spans="1:49" s="221" customFormat="1" ht="213.75" x14ac:dyDescent="0.25">
      <c r="A492" s="63">
        <v>78</v>
      </c>
      <c r="B492" s="63" t="str">
        <f t="shared" si="56"/>
        <v>3075-78</v>
      </c>
      <c r="C492" s="76" t="s">
        <v>1141</v>
      </c>
      <c r="D492" s="76" t="s">
        <v>1142</v>
      </c>
      <c r="E492" s="76" t="s">
        <v>1143</v>
      </c>
      <c r="F492" s="76" t="s">
        <v>1158</v>
      </c>
      <c r="G492" s="77" t="s">
        <v>1159</v>
      </c>
      <c r="H492" s="78" t="s">
        <v>1160</v>
      </c>
      <c r="I492" s="76" t="s">
        <v>1147</v>
      </c>
      <c r="J492" s="76" t="s">
        <v>1148</v>
      </c>
      <c r="K492" s="76">
        <v>801116</v>
      </c>
      <c r="L492" s="63" t="s">
        <v>1149</v>
      </c>
      <c r="M492" s="63" t="s">
        <v>58</v>
      </c>
      <c r="N492" s="63" t="s">
        <v>59</v>
      </c>
      <c r="O492" s="76" t="s">
        <v>1213</v>
      </c>
      <c r="P492" s="76" t="s">
        <v>1287</v>
      </c>
      <c r="Q492" s="83">
        <v>5036700</v>
      </c>
      <c r="R492" s="63">
        <v>1</v>
      </c>
      <c r="S492" s="80">
        <v>45330300</v>
      </c>
      <c r="T492" s="63" t="s">
        <v>888</v>
      </c>
      <c r="U492" s="63" t="s">
        <v>1163</v>
      </c>
      <c r="V492" s="81" t="s">
        <v>64</v>
      </c>
      <c r="W492" s="82">
        <v>9</v>
      </c>
      <c r="X492" s="63" t="s">
        <v>1392</v>
      </c>
      <c r="Y492" s="81">
        <v>43103</v>
      </c>
      <c r="Z492" s="83">
        <v>45330300</v>
      </c>
      <c r="AA492" s="84" t="s">
        <v>439</v>
      </c>
      <c r="AB492" s="85">
        <v>328</v>
      </c>
      <c r="AC492" s="81">
        <v>43110</v>
      </c>
      <c r="AD492" s="86">
        <v>45330300</v>
      </c>
      <c r="AE492" s="87">
        <f t="shared" si="55"/>
        <v>0</v>
      </c>
      <c r="AF492" s="85">
        <v>227</v>
      </c>
      <c r="AG492" s="81">
        <v>43118</v>
      </c>
      <c r="AH492" s="86">
        <v>45330300</v>
      </c>
      <c r="AI492" s="63" t="s">
        <v>1393</v>
      </c>
      <c r="AJ492" s="63">
        <v>194</v>
      </c>
      <c r="AK492" s="87">
        <f t="shared" si="57"/>
        <v>0</v>
      </c>
      <c r="AL492" s="86">
        <v>37271580</v>
      </c>
      <c r="AM492" s="86">
        <f t="shared" si="58"/>
        <v>8058720</v>
      </c>
      <c r="AN492" s="63" t="s">
        <v>1155</v>
      </c>
      <c r="AO492" s="86">
        <f t="shared" si="59"/>
        <v>0</v>
      </c>
      <c r="AP492" s="63"/>
      <c r="AQ492" s="63"/>
      <c r="AR492" s="63"/>
      <c r="AS492" s="63"/>
      <c r="AT492" s="63"/>
      <c r="AU492" s="220"/>
      <c r="AV492" s="220"/>
      <c r="AW492" s="220"/>
    </row>
    <row r="493" spans="1:49" s="221" customFormat="1" ht="242.25" x14ac:dyDescent="0.25">
      <c r="A493" s="63">
        <v>79</v>
      </c>
      <c r="B493" s="63" t="str">
        <f t="shared" si="56"/>
        <v>3075-79</v>
      </c>
      <c r="C493" s="76" t="s">
        <v>1141</v>
      </c>
      <c r="D493" s="76" t="s">
        <v>1142</v>
      </c>
      <c r="E493" s="76" t="s">
        <v>1143</v>
      </c>
      <c r="F493" s="76" t="s">
        <v>1158</v>
      </c>
      <c r="G493" s="77" t="s">
        <v>1159</v>
      </c>
      <c r="H493" s="78" t="s">
        <v>1160</v>
      </c>
      <c r="I493" s="76" t="s">
        <v>1147</v>
      </c>
      <c r="J493" s="76" t="s">
        <v>1148</v>
      </c>
      <c r="K493" s="76">
        <v>801116</v>
      </c>
      <c r="L493" s="63" t="s">
        <v>1149</v>
      </c>
      <c r="M493" s="63" t="s">
        <v>58</v>
      </c>
      <c r="N493" s="63" t="s">
        <v>59</v>
      </c>
      <c r="O493" s="76" t="s">
        <v>1213</v>
      </c>
      <c r="P493" s="76" t="s">
        <v>1394</v>
      </c>
      <c r="Q493" s="83">
        <v>5253000</v>
      </c>
      <c r="R493" s="63">
        <v>1</v>
      </c>
      <c r="S493" s="80">
        <v>36771000</v>
      </c>
      <c r="T493" s="63" t="s">
        <v>888</v>
      </c>
      <c r="U493" s="63" t="s">
        <v>1163</v>
      </c>
      <c r="V493" s="81" t="s">
        <v>64</v>
      </c>
      <c r="W493" s="82">
        <v>7</v>
      </c>
      <c r="X493" s="63" t="s">
        <v>1395</v>
      </c>
      <c r="Y493" s="81">
        <v>43103</v>
      </c>
      <c r="Z493" s="83">
        <v>36771000</v>
      </c>
      <c r="AA493" s="84" t="s">
        <v>439</v>
      </c>
      <c r="AB493" s="85">
        <v>343</v>
      </c>
      <c r="AC493" s="81">
        <v>43110</v>
      </c>
      <c r="AD493" s="86">
        <v>36771000</v>
      </c>
      <c r="AE493" s="87">
        <f t="shared" si="55"/>
        <v>0</v>
      </c>
      <c r="AF493" s="85">
        <v>303</v>
      </c>
      <c r="AG493" s="81">
        <v>43122</v>
      </c>
      <c r="AH493" s="86">
        <v>36771000</v>
      </c>
      <c r="AI493" s="63" t="s">
        <v>1396</v>
      </c>
      <c r="AJ493" s="63">
        <v>269</v>
      </c>
      <c r="AK493" s="87">
        <f t="shared" si="57"/>
        <v>0</v>
      </c>
      <c r="AL493" s="86">
        <v>36771000</v>
      </c>
      <c r="AM493" s="86">
        <f t="shared" si="58"/>
        <v>0</v>
      </c>
      <c r="AN493" s="63" t="s">
        <v>1155</v>
      </c>
      <c r="AO493" s="86">
        <f t="shared" si="59"/>
        <v>0</v>
      </c>
      <c r="AP493" s="63"/>
      <c r="AQ493" s="63"/>
      <c r="AR493" s="63"/>
      <c r="AS493" s="63"/>
      <c r="AT493" s="63"/>
      <c r="AU493" s="220"/>
      <c r="AV493" s="220"/>
      <c r="AW493" s="220"/>
    </row>
    <row r="494" spans="1:49" s="221" customFormat="1" ht="213.75" x14ac:dyDescent="0.25">
      <c r="A494" s="63">
        <v>80</v>
      </c>
      <c r="B494" s="63" t="str">
        <f t="shared" si="56"/>
        <v>3075-80</v>
      </c>
      <c r="C494" s="76" t="s">
        <v>1141</v>
      </c>
      <c r="D494" s="76" t="s">
        <v>1142</v>
      </c>
      <c r="E494" s="76" t="s">
        <v>1305</v>
      </c>
      <c r="F494" s="76" t="s">
        <v>1158</v>
      </c>
      <c r="G494" s="77" t="s">
        <v>1159</v>
      </c>
      <c r="H494" s="78" t="s">
        <v>1160</v>
      </c>
      <c r="I494" s="76" t="s">
        <v>1147</v>
      </c>
      <c r="J494" s="76" t="s">
        <v>1148</v>
      </c>
      <c r="K494" s="76">
        <v>801116</v>
      </c>
      <c r="L494" s="63" t="s">
        <v>1149</v>
      </c>
      <c r="M494" s="63" t="s">
        <v>58</v>
      </c>
      <c r="N494" s="63" t="s">
        <v>59</v>
      </c>
      <c r="O494" s="76" t="s">
        <v>1213</v>
      </c>
      <c r="P494" s="76" t="s">
        <v>1287</v>
      </c>
      <c r="Q494" s="83">
        <v>5253000</v>
      </c>
      <c r="R494" s="63">
        <v>1</v>
      </c>
      <c r="S494" s="80">
        <v>57783000</v>
      </c>
      <c r="T494" s="63" t="s">
        <v>888</v>
      </c>
      <c r="U494" s="63" t="s">
        <v>1163</v>
      </c>
      <c r="V494" s="81" t="s">
        <v>64</v>
      </c>
      <c r="W494" s="82">
        <v>11</v>
      </c>
      <c r="X494" s="63" t="s">
        <v>1397</v>
      </c>
      <c r="Y494" s="81">
        <v>43103</v>
      </c>
      <c r="Z494" s="83">
        <v>57783000</v>
      </c>
      <c r="AA494" s="84" t="s">
        <v>439</v>
      </c>
      <c r="AB494" s="85">
        <v>335</v>
      </c>
      <c r="AC494" s="81">
        <v>43110</v>
      </c>
      <c r="AD494" s="86">
        <v>57783000</v>
      </c>
      <c r="AE494" s="87">
        <f t="shared" si="55"/>
        <v>0</v>
      </c>
      <c r="AF494" s="85">
        <v>187</v>
      </c>
      <c r="AG494" s="81">
        <v>43118</v>
      </c>
      <c r="AH494" s="86">
        <v>57783000</v>
      </c>
      <c r="AI494" s="63" t="s">
        <v>1398</v>
      </c>
      <c r="AJ494" s="63">
        <v>156</v>
      </c>
      <c r="AK494" s="87">
        <f t="shared" si="57"/>
        <v>0</v>
      </c>
      <c r="AL494" s="86">
        <v>39047300</v>
      </c>
      <c r="AM494" s="86">
        <f t="shared" si="58"/>
        <v>18735700</v>
      </c>
      <c r="AN494" s="63" t="s">
        <v>1155</v>
      </c>
      <c r="AO494" s="86">
        <f t="shared" si="59"/>
        <v>0</v>
      </c>
      <c r="AP494" s="63"/>
      <c r="AQ494" s="63"/>
      <c r="AR494" s="63"/>
      <c r="AS494" s="63"/>
      <c r="AT494" s="63"/>
      <c r="AU494" s="220"/>
      <c r="AV494" s="220"/>
      <c r="AW494" s="220"/>
    </row>
    <row r="495" spans="1:49" s="221" customFormat="1" ht="342" x14ac:dyDescent="0.25">
      <c r="A495" s="63">
        <v>81</v>
      </c>
      <c r="B495" s="63" t="str">
        <f t="shared" si="56"/>
        <v>3075-81</v>
      </c>
      <c r="C495" s="76" t="s">
        <v>1141</v>
      </c>
      <c r="D495" s="76" t="s">
        <v>1142</v>
      </c>
      <c r="E495" s="76" t="s">
        <v>1143</v>
      </c>
      <c r="F495" s="76" t="s">
        <v>1158</v>
      </c>
      <c r="G495" s="77" t="s">
        <v>1159</v>
      </c>
      <c r="H495" s="78" t="s">
        <v>1160</v>
      </c>
      <c r="I495" s="76" t="s">
        <v>1147</v>
      </c>
      <c r="J495" s="76" t="s">
        <v>1148</v>
      </c>
      <c r="K495" s="76">
        <v>801116</v>
      </c>
      <c r="L495" s="63" t="s">
        <v>1149</v>
      </c>
      <c r="M495" s="63" t="s">
        <v>58</v>
      </c>
      <c r="N495" s="63" t="s">
        <v>59</v>
      </c>
      <c r="O495" s="76" t="s">
        <v>1213</v>
      </c>
      <c r="P495" s="76" t="s">
        <v>1399</v>
      </c>
      <c r="Q495" s="83">
        <v>6180000</v>
      </c>
      <c r="R495" s="63">
        <v>1</v>
      </c>
      <c r="S495" s="80">
        <v>61800000</v>
      </c>
      <c r="T495" s="63" t="s">
        <v>888</v>
      </c>
      <c r="U495" s="63" t="s">
        <v>1163</v>
      </c>
      <c r="V495" s="81" t="s">
        <v>64</v>
      </c>
      <c r="W495" s="82">
        <v>10</v>
      </c>
      <c r="X495" s="63" t="s">
        <v>1400</v>
      </c>
      <c r="Y495" s="81">
        <v>43103</v>
      </c>
      <c r="Z495" s="83">
        <v>61800000</v>
      </c>
      <c r="AA495" s="84" t="s">
        <v>439</v>
      </c>
      <c r="AB495" s="85">
        <v>327</v>
      </c>
      <c r="AC495" s="81">
        <v>43110</v>
      </c>
      <c r="AD495" s="86">
        <v>61800000</v>
      </c>
      <c r="AE495" s="87">
        <f t="shared" ref="AE495:AE558" si="60">S495-Z495</f>
        <v>0</v>
      </c>
      <c r="AF495" s="85">
        <v>369</v>
      </c>
      <c r="AG495" s="81">
        <v>43124</v>
      </c>
      <c r="AH495" s="86">
        <v>61800000</v>
      </c>
      <c r="AI495" s="63" t="s">
        <v>1401</v>
      </c>
      <c r="AJ495" s="63">
        <v>324</v>
      </c>
      <c r="AK495" s="87">
        <f t="shared" si="57"/>
        <v>0</v>
      </c>
      <c r="AL495" s="86">
        <v>44702000</v>
      </c>
      <c r="AM495" s="86">
        <f t="shared" si="58"/>
        <v>17098000</v>
      </c>
      <c r="AN495" s="63" t="s">
        <v>1155</v>
      </c>
      <c r="AO495" s="86">
        <f t="shared" si="59"/>
        <v>0</v>
      </c>
      <c r="AP495" s="63"/>
      <c r="AQ495" s="63"/>
      <c r="AR495" s="63"/>
      <c r="AS495" s="63"/>
      <c r="AT495" s="63"/>
      <c r="AU495" s="220"/>
      <c r="AV495" s="220"/>
      <c r="AW495" s="220"/>
    </row>
    <row r="496" spans="1:49" s="221" customFormat="1" ht="299.25" x14ac:dyDescent="0.25">
      <c r="A496" s="63">
        <v>82</v>
      </c>
      <c r="B496" s="63" t="str">
        <f t="shared" si="56"/>
        <v>3075-82</v>
      </c>
      <c r="C496" s="76" t="s">
        <v>1141</v>
      </c>
      <c r="D496" s="76" t="s">
        <v>1142</v>
      </c>
      <c r="E496" s="76" t="s">
        <v>1143</v>
      </c>
      <c r="F496" s="76" t="s">
        <v>1158</v>
      </c>
      <c r="G496" s="77" t="s">
        <v>1159</v>
      </c>
      <c r="H496" s="78" t="s">
        <v>1160</v>
      </c>
      <c r="I496" s="76" t="s">
        <v>1147</v>
      </c>
      <c r="J496" s="76" t="s">
        <v>1148</v>
      </c>
      <c r="K496" s="76">
        <v>801116</v>
      </c>
      <c r="L496" s="63" t="s">
        <v>1149</v>
      </c>
      <c r="M496" s="63" t="s">
        <v>58</v>
      </c>
      <c r="N496" s="63" t="s">
        <v>59</v>
      </c>
      <c r="O496" s="76" t="s">
        <v>1213</v>
      </c>
      <c r="P496" s="76" t="s">
        <v>1402</v>
      </c>
      <c r="Q496" s="83">
        <v>6180000</v>
      </c>
      <c r="R496" s="63">
        <v>1</v>
      </c>
      <c r="S496" s="80">
        <v>61800000</v>
      </c>
      <c r="T496" s="63" t="s">
        <v>888</v>
      </c>
      <c r="U496" s="63" t="s">
        <v>1163</v>
      </c>
      <c r="V496" s="81" t="s">
        <v>64</v>
      </c>
      <c r="W496" s="82">
        <v>10</v>
      </c>
      <c r="X496" s="63" t="s">
        <v>1403</v>
      </c>
      <c r="Y496" s="81">
        <v>43103</v>
      </c>
      <c r="Z496" s="83">
        <v>61800000</v>
      </c>
      <c r="AA496" s="84" t="s">
        <v>439</v>
      </c>
      <c r="AB496" s="85">
        <v>312</v>
      </c>
      <c r="AC496" s="81">
        <v>43110</v>
      </c>
      <c r="AD496" s="86">
        <v>61800000</v>
      </c>
      <c r="AE496" s="87">
        <f t="shared" si="60"/>
        <v>0</v>
      </c>
      <c r="AF496" s="85">
        <v>295</v>
      </c>
      <c r="AG496" s="81">
        <v>43122</v>
      </c>
      <c r="AH496" s="86">
        <v>61800000</v>
      </c>
      <c r="AI496" s="63" t="s">
        <v>1404</v>
      </c>
      <c r="AJ496" s="63">
        <v>263</v>
      </c>
      <c r="AK496" s="87">
        <f t="shared" si="57"/>
        <v>0</v>
      </c>
      <c r="AL496" s="86">
        <v>45114000</v>
      </c>
      <c r="AM496" s="86">
        <f t="shared" si="58"/>
        <v>16686000</v>
      </c>
      <c r="AN496" s="63" t="s">
        <v>1155</v>
      </c>
      <c r="AO496" s="86">
        <f t="shared" si="59"/>
        <v>0</v>
      </c>
      <c r="AP496" s="63"/>
      <c r="AQ496" s="63"/>
      <c r="AR496" s="63"/>
      <c r="AS496" s="63"/>
      <c r="AT496" s="63"/>
      <c r="AU496" s="220"/>
      <c r="AV496" s="220"/>
      <c r="AW496" s="220"/>
    </row>
    <row r="497" spans="1:49" s="221" customFormat="1" ht="327.75" x14ac:dyDescent="0.25">
      <c r="A497" s="63">
        <v>83</v>
      </c>
      <c r="B497" s="63" t="str">
        <f t="shared" si="56"/>
        <v>3075-83</v>
      </c>
      <c r="C497" s="76" t="s">
        <v>1141</v>
      </c>
      <c r="D497" s="76" t="s">
        <v>1142</v>
      </c>
      <c r="E497" s="76" t="s">
        <v>1143</v>
      </c>
      <c r="F497" s="76" t="s">
        <v>1158</v>
      </c>
      <c r="G497" s="77" t="s">
        <v>1159</v>
      </c>
      <c r="H497" s="78" t="s">
        <v>1160</v>
      </c>
      <c r="I497" s="76" t="s">
        <v>1147</v>
      </c>
      <c r="J497" s="76" t="s">
        <v>1148</v>
      </c>
      <c r="K497" s="76">
        <v>801116</v>
      </c>
      <c r="L497" s="63" t="s">
        <v>1149</v>
      </c>
      <c r="M497" s="63" t="s">
        <v>58</v>
      </c>
      <c r="N497" s="63" t="s">
        <v>59</v>
      </c>
      <c r="O497" s="76" t="s">
        <v>1213</v>
      </c>
      <c r="P497" s="76" t="s">
        <v>1405</v>
      </c>
      <c r="Q497" s="83">
        <v>6180000</v>
      </c>
      <c r="R497" s="63">
        <v>1</v>
      </c>
      <c r="S497" s="80">
        <v>67980000</v>
      </c>
      <c r="T497" s="63" t="s">
        <v>888</v>
      </c>
      <c r="U497" s="63" t="s">
        <v>1163</v>
      </c>
      <c r="V497" s="81" t="s">
        <v>64</v>
      </c>
      <c r="W497" s="82">
        <v>11</v>
      </c>
      <c r="X497" s="63" t="s">
        <v>1406</v>
      </c>
      <c r="Y497" s="81">
        <v>43103</v>
      </c>
      <c r="Z497" s="83">
        <v>67980000</v>
      </c>
      <c r="AA497" s="84" t="s">
        <v>439</v>
      </c>
      <c r="AB497" s="85">
        <v>357</v>
      </c>
      <c r="AC497" s="81">
        <v>43110</v>
      </c>
      <c r="AD497" s="86">
        <v>67980000</v>
      </c>
      <c r="AE497" s="87">
        <f t="shared" si="60"/>
        <v>0</v>
      </c>
      <c r="AF497" s="85">
        <v>87</v>
      </c>
      <c r="AG497" s="81">
        <v>43116</v>
      </c>
      <c r="AH497" s="86">
        <v>67980000</v>
      </c>
      <c r="AI497" s="63" t="s">
        <v>1407</v>
      </c>
      <c r="AJ497" s="63">
        <v>75</v>
      </c>
      <c r="AK497" s="87">
        <f t="shared" si="57"/>
        <v>0</v>
      </c>
      <c r="AL497" s="86">
        <v>46144000</v>
      </c>
      <c r="AM497" s="86">
        <f t="shared" si="58"/>
        <v>21836000</v>
      </c>
      <c r="AN497" s="63" t="s">
        <v>1155</v>
      </c>
      <c r="AO497" s="86">
        <f t="shared" si="59"/>
        <v>0</v>
      </c>
      <c r="AP497" s="63"/>
      <c r="AQ497" s="63"/>
      <c r="AR497" s="63"/>
      <c r="AS497" s="63"/>
      <c r="AT497" s="63"/>
      <c r="AU497" s="220"/>
      <c r="AV497" s="220"/>
      <c r="AW497" s="220"/>
    </row>
    <row r="498" spans="1:49" s="221" customFormat="1" ht="242.25" x14ac:dyDescent="0.25">
      <c r="A498" s="63">
        <v>84</v>
      </c>
      <c r="B498" s="63" t="str">
        <f t="shared" si="56"/>
        <v>3075-84</v>
      </c>
      <c r="C498" s="76" t="s">
        <v>1141</v>
      </c>
      <c r="D498" s="76" t="s">
        <v>1142</v>
      </c>
      <c r="E498" s="76" t="s">
        <v>1143</v>
      </c>
      <c r="F498" s="76" t="s">
        <v>1158</v>
      </c>
      <c r="G498" s="77" t="s">
        <v>1159</v>
      </c>
      <c r="H498" s="78" t="s">
        <v>1160</v>
      </c>
      <c r="I498" s="76" t="s">
        <v>1147</v>
      </c>
      <c r="J498" s="76" t="s">
        <v>1148</v>
      </c>
      <c r="K498" s="76">
        <v>801116</v>
      </c>
      <c r="L498" s="63" t="s">
        <v>1149</v>
      </c>
      <c r="M498" s="63" t="s">
        <v>58</v>
      </c>
      <c r="N498" s="63" t="s">
        <v>59</v>
      </c>
      <c r="O498" s="76" t="s">
        <v>1213</v>
      </c>
      <c r="P498" s="76" t="s">
        <v>1309</v>
      </c>
      <c r="Q498" s="83">
        <v>8240000</v>
      </c>
      <c r="R498" s="63">
        <v>1</v>
      </c>
      <c r="S498" s="80">
        <v>90640000</v>
      </c>
      <c r="T498" s="63" t="s">
        <v>888</v>
      </c>
      <c r="U498" s="63" t="s">
        <v>1163</v>
      </c>
      <c r="V498" s="81" t="s">
        <v>64</v>
      </c>
      <c r="W498" s="82">
        <v>11</v>
      </c>
      <c r="X498" s="63" t="s">
        <v>1408</v>
      </c>
      <c r="Y498" s="81">
        <v>43103</v>
      </c>
      <c r="Z498" s="83">
        <v>90640000</v>
      </c>
      <c r="AA498" s="84" t="s">
        <v>439</v>
      </c>
      <c r="AB498" s="85">
        <v>236</v>
      </c>
      <c r="AC498" s="81">
        <v>43105</v>
      </c>
      <c r="AD498" s="86">
        <v>90640000</v>
      </c>
      <c r="AE498" s="87">
        <f t="shared" si="60"/>
        <v>0</v>
      </c>
      <c r="AF498" s="85">
        <v>130</v>
      </c>
      <c r="AG498" s="81">
        <v>43117</v>
      </c>
      <c r="AH498" s="86">
        <v>90640000</v>
      </c>
      <c r="AI498" s="63" t="s">
        <v>1409</v>
      </c>
      <c r="AJ498" s="63">
        <v>121</v>
      </c>
      <c r="AK498" s="87">
        <f t="shared" si="57"/>
        <v>0</v>
      </c>
      <c r="AL498" s="86">
        <v>61250667</v>
      </c>
      <c r="AM498" s="86">
        <f t="shared" si="58"/>
        <v>29389333</v>
      </c>
      <c r="AN498" s="63" t="s">
        <v>1155</v>
      </c>
      <c r="AO498" s="86">
        <f t="shared" si="59"/>
        <v>0</v>
      </c>
      <c r="AP498" s="63"/>
      <c r="AQ498" s="63"/>
      <c r="AR498" s="63"/>
      <c r="AS498" s="63"/>
      <c r="AT498" s="63"/>
      <c r="AU498" s="220"/>
      <c r="AV498" s="220"/>
      <c r="AW498" s="220"/>
    </row>
    <row r="499" spans="1:49" s="221" customFormat="1" ht="242.25" x14ac:dyDescent="0.25">
      <c r="A499" s="63">
        <v>85</v>
      </c>
      <c r="B499" s="63" t="str">
        <f t="shared" si="56"/>
        <v>3075-85</v>
      </c>
      <c r="C499" s="76" t="s">
        <v>1141</v>
      </c>
      <c r="D499" s="76" t="s">
        <v>1142</v>
      </c>
      <c r="E499" s="76" t="s">
        <v>1143</v>
      </c>
      <c r="F499" s="76" t="s">
        <v>1158</v>
      </c>
      <c r="G499" s="77" t="s">
        <v>1159</v>
      </c>
      <c r="H499" s="78" t="s">
        <v>1160</v>
      </c>
      <c r="I499" s="76" t="s">
        <v>1147</v>
      </c>
      <c r="J499" s="76" t="s">
        <v>1148</v>
      </c>
      <c r="K499" s="76">
        <v>801116</v>
      </c>
      <c r="L499" s="63" t="s">
        <v>1149</v>
      </c>
      <c r="M499" s="63" t="s">
        <v>58</v>
      </c>
      <c r="N499" s="63" t="s">
        <v>59</v>
      </c>
      <c r="O499" s="76" t="s">
        <v>1213</v>
      </c>
      <c r="P499" s="76" t="s">
        <v>1241</v>
      </c>
      <c r="Q499" s="83">
        <v>5665000</v>
      </c>
      <c r="R499" s="63">
        <v>1</v>
      </c>
      <c r="S499" s="80">
        <v>50985000</v>
      </c>
      <c r="T499" s="63" t="s">
        <v>888</v>
      </c>
      <c r="U499" s="63" t="s">
        <v>1163</v>
      </c>
      <c r="V499" s="81" t="s">
        <v>64</v>
      </c>
      <c r="W499" s="82">
        <v>9</v>
      </c>
      <c r="X499" s="63" t="s">
        <v>1410</v>
      </c>
      <c r="Y499" s="81">
        <v>43103</v>
      </c>
      <c r="Z499" s="83">
        <v>50985000</v>
      </c>
      <c r="AA499" s="84" t="s">
        <v>439</v>
      </c>
      <c r="AB499" s="85">
        <v>331</v>
      </c>
      <c r="AC499" s="81">
        <v>43110</v>
      </c>
      <c r="AD499" s="86">
        <v>50985000</v>
      </c>
      <c r="AE499" s="87">
        <f t="shared" si="60"/>
        <v>0</v>
      </c>
      <c r="AF499" s="85">
        <v>210</v>
      </c>
      <c r="AG499" s="81">
        <v>43118</v>
      </c>
      <c r="AH499" s="86">
        <v>50985000</v>
      </c>
      <c r="AI499" s="63" t="s">
        <v>1411</v>
      </c>
      <c r="AJ499" s="63">
        <v>170</v>
      </c>
      <c r="AK499" s="87">
        <f t="shared" si="57"/>
        <v>0</v>
      </c>
      <c r="AL499" s="86">
        <v>41921000</v>
      </c>
      <c r="AM499" s="86">
        <f t="shared" si="58"/>
        <v>9064000</v>
      </c>
      <c r="AN499" s="63" t="s">
        <v>1155</v>
      </c>
      <c r="AO499" s="86">
        <f t="shared" si="59"/>
        <v>0</v>
      </c>
      <c r="AP499" s="63"/>
      <c r="AQ499" s="63"/>
      <c r="AR499" s="63"/>
      <c r="AS499" s="63"/>
      <c r="AT499" s="63"/>
      <c r="AU499" s="220"/>
      <c r="AV499" s="220"/>
      <c r="AW499" s="220"/>
    </row>
    <row r="500" spans="1:49" s="221" customFormat="1" ht="313.5" x14ac:dyDescent="0.25">
      <c r="A500" s="63">
        <v>86</v>
      </c>
      <c r="B500" s="63" t="str">
        <f t="shared" si="56"/>
        <v>3075-86</v>
      </c>
      <c r="C500" s="76" t="s">
        <v>1141</v>
      </c>
      <c r="D500" s="76" t="s">
        <v>1142</v>
      </c>
      <c r="E500" s="76" t="s">
        <v>1143</v>
      </c>
      <c r="F500" s="76" t="s">
        <v>1158</v>
      </c>
      <c r="G500" s="77" t="s">
        <v>1159</v>
      </c>
      <c r="H500" s="78" t="s">
        <v>1160</v>
      </c>
      <c r="I500" s="76" t="s">
        <v>1147</v>
      </c>
      <c r="J500" s="76" t="s">
        <v>1148</v>
      </c>
      <c r="K500" s="76">
        <v>801116</v>
      </c>
      <c r="L500" s="63" t="s">
        <v>1149</v>
      </c>
      <c r="M500" s="63" t="s">
        <v>58</v>
      </c>
      <c r="N500" s="63" t="s">
        <v>59</v>
      </c>
      <c r="O500" s="76" t="s">
        <v>1213</v>
      </c>
      <c r="P500" s="76" t="s">
        <v>1412</v>
      </c>
      <c r="Q500" s="83">
        <v>5665000</v>
      </c>
      <c r="R500" s="63">
        <v>1</v>
      </c>
      <c r="S500" s="80">
        <v>56650000</v>
      </c>
      <c r="T500" s="63" t="s">
        <v>888</v>
      </c>
      <c r="U500" s="63" t="s">
        <v>1163</v>
      </c>
      <c r="V500" s="81" t="s">
        <v>64</v>
      </c>
      <c r="W500" s="82">
        <v>10</v>
      </c>
      <c r="X500" s="63" t="s">
        <v>1413</v>
      </c>
      <c r="Y500" s="81">
        <v>43103</v>
      </c>
      <c r="Z500" s="83">
        <v>56650000</v>
      </c>
      <c r="AA500" s="84" t="s">
        <v>439</v>
      </c>
      <c r="AB500" s="85">
        <v>353</v>
      </c>
      <c r="AC500" s="81">
        <v>43110</v>
      </c>
      <c r="AD500" s="86">
        <v>56650000</v>
      </c>
      <c r="AE500" s="87">
        <f t="shared" si="60"/>
        <v>0</v>
      </c>
      <c r="AF500" s="85">
        <v>396</v>
      </c>
      <c r="AG500" s="81">
        <v>43124</v>
      </c>
      <c r="AH500" s="86">
        <v>56650000</v>
      </c>
      <c r="AI500" s="63" t="s">
        <v>1414</v>
      </c>
      <c r="AJ500" s="63">
        <v>317</v>
      </c>
      <c r="AK500" s="87">
        <f t="shared" si="57"/>
        <v>0</v>
      </c>
      <c r="AL500" s="86">
        <v>40976833</v>
      </c>
      <c r="AM500" s="86">
        <f t="shared" si="58"/>
        <v>15673167</v>
      </c>
      <c r="AN500" s="63" t="s">
        <v>1155</v>
      </c>
      <c r="AO500" s="86">
        <f t="shared" si="59"/>
        <v>0</v>
      </c>
      <c r="AP500" s="63"/>
      <c r="AQ500" s="63"/>
      <c r="AR500" s="63"/>
      <c r="AS500" s="63"/>
      <c r="AT500" s="63"/>
      <c r="AU500" s="220"/>
      <c r="AV500" s="220"/>
      <c r="AW500" s="220"/>
    </row>
    <row r="501" spans="1:49" s="221" customFormat="1" ht="342" x14ac:dyDescent="0.25">
      <c r="A501" s="63">
        <v>87</v>
      </c>
      <c r="B501" s="63" t="str">
        <f t="shared" si="56"/>
        <v>3075-87</v>
      </c>
      <c r="C501" s="76" t="s">
        <v>1141</v>
      </c>
      <c r="D501" s="76" t="s">
        <v>1142</v>
      </c>
      <c r="E501" s="76" t="s">
        <v>1143</v>
      </c>
      <c r="F501" s="76" t="s">
        <v>1158</v>
      </c>
      <c r="G501" s="77" t="s">
        <v>1159</v>
      </c>
      <c r="H501" s="78" t="s">
        <v>1160</v>
      </c>
      <c r="I501" s="76" t="s">
        <v>1147</v>
      </c>
      <c r="J501" s="76" t="s">
        <v>1148</v>
      </c>
      <c r="K501" s="76">
        <v>801116</v>
      </c>
      <c r="L501" s="63" t="s">
        <v>1149</v>
      </c>
      <c r="M501" s="63" t="s">
        <v>58</v>
      </c>
      <c r="N501" s="63" t="s">
        <v>59</v>
      </c>
      <c r="O501" s="76" t="s">
        <v>1213</v>
      </c>
      <c r="P501" s="76" t="s">
        <v>1415</v>
      </c>
      <c r="Q501" s="83">
        <v>888375</v>
      </c>
      <c r="R501" s="63">
        <v>1</v>
      </c>
      <c r="S501" s="80">
        <f>10216313-444188</f>
        <v>9772125</v>
      </c>
      <c r="T501" s="63" t="s">
        <v>888</v>
      </c>
      <c r="U501" s="63" t="s">
        <v>1163</v>
      </c>
      <c r="V501" s="81" t="s">
        <v>64</v>
      </c>
      <c r="W501" s="82">
        <v>11.5</v>
      </c>
      <c r="X501" s="63" t="s">
        <v>1416</v>
      </c>
      <c r="Y501" s="81">
        <v>43109</v>
      </c>
      <c r="Z501" s="83">
        <f>10216313-444188</f>
        <v>9772125</v>
      </c>
      <c r="AA501" s="84" t="s">
        <v>439</v>
      </c>
      <c r="AB501" s="85">
        <v>472</v>
      </c>
      <c r="AC501" s="81">
        <v>43112</v>
      </c>
      <c r="AD501" s="86">
        <v>9772125</v>
      </c>
      <c r="AE501" s="87">
        <f t="shared" si="60"/>
        <v>0</v>
      </c>
      <c r="AF501" s="85">
        <v>294</v>
      </c>
      <c r="AG501" s="81">
        <v>43122</v>
      </c>
      <c r="AH501" s="86">
        <v>9772125</v>
      </c>
      <c r="AI501" s="63" t="s">
        <v>388</v>
      </c>
      <c r="AJ501" s="63">
        <v>261</v>
      </c>
      <c r="AK501" s="87">
        <f t="shared" si="57"/>
        <v>0</v>
      </c>
      <c r="AL501" s="86">
        <v>6485162</v>
      </c>
      <c r="AM501" s="86">
        <f t="shared" si="58"/>
        <v>3286963</v>
      </c>
      <c r="AN501" s="63" t="s">
        <v>1155</v>
      </c>
      <c r="AO501" s="86">
        <f t="shared" si="59"/>
        <v>0</v>
      </c>
      <c r="AP501" s="63"/>
      <c r="AQ501" s="63"/>
      <c r="AR501" s="63"/>
      <c r="AS501" s="63"/>
      <c r="AT501" s="63"/>
      <c r="AU501" s="220"/>
      <c r="AV501" s="220"/>
      <c r="AW501" s="220"/>
    </row>
    <row r="502" spans="1:49" s="221" customFormat="1" ht="270.75" x14ac:dyDescent="0.25">
      <c r="A502" s="63">
        <v>88</v>
      </c>
      <c r="B502" s="63" t="str">
        <f t="shared" si="56"/>
        <v>3075-88</v>
      </c>
      <c r="C502" s="76" t="s">
        <v>1141</v>
      </c>
      <c r="D502" s="76" t="s">
        <v>1142</v>
      </c>
      <c r="E502" s="76" t="s">
        <v>1143</v>
      </c>
      <c r="F502" s="76" t="s">
        <v>1158</v>
      </c>
      <c r="G502" s="77" t="s">
        <v>1159</v>
      </c>
      <c r="H502" s="78" t="s">
        <v>1160</v>
      </c>
      <c r="I502" s="76" t="s">
        <v>1147</v>
      </c>
      <c r="J502" s="76" t="s">
        <v>1148</v>
      </c>
      <c r="K502" s="76">
        <v>801116</v>
      </c>
      <c r="L502" s="63" t="s">
        <v>1149</v>
      </c>
      <c r="M502" s="63" t="s">
        <v>58</v>
      </c>
      <c r="N502" s="63" t="s">
        <v>59</v>
      </c>
      <c r="O502" s="76" t="s">
        <v>1213</v>
      </c>
      <c r="P502" s="76" t="s">
        <v>1417</v>
      </c>
      <c r="Q502" s="83">
        <v>1030000</v>
      </c>
      <c r="R502" s="63">
        <v>1</v>
      </c>
      <c r="S502" s="80">
        <f>11845000-515000</f>
        <v>11330000</v>
      </c>
      <c r="T502" s="63" t="s">
        <v>888</v>
      </c>
      <c r="U502" s="63" t="s">
        <v>1163</v>
      </c>
      <c r="V502" s="81" t="s">
        <v>64</v>
      </c>
      <c r="W502" s="82">
        <v>11.5</v>
      </c>
      <c r="X502" s="63" t="s">
        <v>1418</v>
      </c>
      <c r="Y502" s="81">
        <v>43110</v>
      </c>
      <c r="Z502" s="83">
        <f>11845000-515000</f>
        <v>11330000</v>
      </c>
      <c r="AA502" s="84" t="s">
        <v>439</v>
      </c>
      <c r="AB502" s="85">
        <v>471</v>
      </c>
      <c r="AC502" s="81">
        <v>43112</v>
      </c>
      <c r="AD502" s="86">
        <v>11330000</v>
      </c>
      <c r="AE502" s="87">
        <f t="shared" si="60"/>
        <v>0</v>
      </c>
      <c r="AF502" s="85">
        <v>373</v>
      </c>
      <c r="AG502" s="81">
        <v>43124</v>
      </c>
      <c r="AH502" s="86">
        <v>11330000</v>
      </c>
      <c r="AI502" s="63" t="s">
        <v>348</v>
      </c>
      <c r="AJ502" s="63">
        <v>304</v>
      </c>
      <c r="AK502" s="87">
        <f t="shared" si="57"/>
        <v>0</v>
      </c>
      <c r="AL502" s="86">
        <v>7450333</v>
      </c>
      <c r="AM502" s="86">
        <f t="shared" si="58"/>
        <v>3879667</v>
      </c>
      <c r="AN502" s="63" t="s">
        <v>1155</v>
      </c>
      <c r="AO502" s="86">
        <f t="shared" si="59"/>
        <v>0</v>
      </c>
      <c r="AP502" s="63"/>
      <c r="AQ502" s="63"/>
      <c r="AR502" s="63"/>
      <c r="AS502" s="63"/>
      <c r="AT502" s="63"/>
      <c r="AU502" s="220"/>
      <c r="AV502" s="220"/>
      <c r="AW502" s="220"/>
    </row>
    <row r="503" spans="1:49" s="221" customFormat="1" ht="285" x14ac:dyDescent="0.25">
      <c r="A503" s="63">
        <v>89</v>
      </c>
      <c r="B503" s="63" t="str">
        <f t="shared" si="56"/>
        <v>3075-89</v>
      </c>
      <c r="C503" s="76" t="s">
        <v>1141</v>
      </c>
      <c r="D503" s="76" t="s">
        <v>1142</v>
      </c>
      <c r="E503" s="76" t="s">
        <v>1143</v>
      </c>
      <c r="F503" s="76" t="s">
        <v>1158</v>
      </c>
      <c r="G503" s="77" t="s">
        <v>1159</v>
      </c>
      <c r="H503" s="78" t="s">
        <v>1160</v>
      </c>
      <c r="I503" s="76" t="s">
        <v>1147</v>
      </c>
      <c r="J503" s="76" t="s">
        <v>1148</v>
      </c>
      <c r="K503" s="76">
        <v>801116</v>
      </c>
      <c r="L503" s="63" t="s">
        <v>1149</v>
      </c>
      <c r="M503" s="63" t="s">
        <v>58</v>
      </c>
      <c r="N503" s="63" t="s">
        <v>59</v>
      </c>
      <c r="O503" s="76" t="s">
        <v>1213</v>
      </c>
      <c r="P503" s="76" t="s">
        <v>1419</v>
      </c>
      <c r="Q503" s="97">
        <v>1259175</v>
      </c>
      <c r="R503" s="63">
        <v>1</v>
      </c>
      <c r="S503" s="80">
        <f>14480513-25488-604100</f>
        <v>13850925</v>
      </c>
      <c r="T503" s="63" t="s">
        <v>888</v>
      </c>
      <c r="U503" s="63" t="s">
        <v>1163</v>
      </c>
      <c r="V503" s="81" t="s">
        <v>64</v>
      </c>
      <c r="W503" s="82">
        <v>11.5</v>
      </c>
      <c r="X503" s="63" t="s">
        <v>1420</v>
      </c>
      <c r="Y503" s="81">
        <v>43110</v>
      </c>
      <c r="Z503" s="83">
        <f>14480513-25488-604100</f>
        <v>13850925</v>
      </c>
      <c r="AA503" s="84" t="s">
        <v>439</v>
      </c>
      <c r="AB503" s="85">
        <v>447</v>
      </c>
      <c r="AC503" s="81">
        <v>43111</v>
      </c>
      <c r="AD503" s="86">
        <v>13850925</v>
      </c>
      <c r="AE503" s="87">
        <f t="shared" si="60"/>
        <v>0</v>
      </c>
      <c r="AF503" s="85">
        <v>176</v>
      </c>
      <c r="AG503" s="81">
        <v>43118</v>
      </c>
      <c r="AH503" s="86">
        <v>13850925</v>
      </c>
      <c r="AI503" s="63" t="s">
        <v>344</v>
      </c>
      <c r="AJ503" s="63">
        <v>160</v>
      </c>
      <c r="AK503" s="87">
        <f t="shared" si="57"/>
        <v>0</v>
      </c>
      <c r="AL503" s="86">
        <v>9359867</v>
      </c>
      <c r="AM503" s="86">
        <f t="shared" si="58"/>
        <v>4491058</v>
      </c>
      <c r="AN503" s="63" t="s">
        <v>1155</v>
      </c>
      <c r="AO503" s="86">
        <f t="shared" si="59"/>
        <v>0</v>
      </c>
      <c r="AP503" s="63"/>
      <c r="AQ503" s="63"/>
      <c r="AR503" s="63"/>
      <c r="AS503" s="63"/>
      <c r="AT503" s="63"/>
      <c r="AU503" s="220"/>
      <c r="AV503" s="220"/>
      <c r="AW503" s="220"/>
    </row>
    <row r="504" spans="1:49" s="221" customFormat="1" ht="213.75" x14ac:dyDescent="0.25">
      <c r="A504" s="63">
        <v>90</v>
      </c>
      <c r="B504" s="63" t="str">
        <f t="shared" si="56"/>
        <v>3075-90</v>
      </c>
      <c r="C504" s="76" t="s">
        <v>1141</v>
      </c>
      <c r="D504" s="76" t="s">
        <v>1142</v>
      </c>
      <c r="E504" s="76" t="s">
        <v>1143</v>
      </c>
      <c r="F504" s="76" t="s">
        <v>1158</v>
      </c>
      <c r="G504" s="77" t="s">
        <v>1159</v>
      </c>
      <c r="H504" s="78" t="s">
        <v>1160</v>
      </c>
      <c r="I504" s="76" t="s">
        <v>1147</v>
      </c>
      <c r="J504" s="76" t="s">
        <v>1148</v>
      </c>
      <c r="K504" s="76">
        <v>801116</v>
      </c>
      <c r="L504" s="63" t="s">
        <v>1149</v>
      </c>
      <c r="M504" s="63" t="s">
        <v>58</v>
      </c>
      <c r="N504" s="63" t="s">
        <v>59</v>
      </c>
      <c r="O504" s="76" t="s">
        <v>1213</v>
      </c>
      <c r="P504" s="76" t="s">
        <v>1421</v>
      </c>
      <c r="Q504" s="83">
        <v>1751000</v>
      </c>
      <c r="R504" s="63">
        <v>1</v>
      </c>
      <c r="S504" s="80">
        <v>19261000</v>
      </c>
      <c r="T504" s="63" t="s">
        <v>928</v>
      </c>
      <c r="U504" s="63" t="s">
        <v>1163</v>
      </c>
      <c r="V504" s="81" t="s">
        <v>64</v>
      </c>
      <c r="W504" s="82">
        <v>11.257999999999999</v>
      </c>
      <c r="X504" s="63" t="s">
        <v>1422</v>
      </c>
      <c r="Y504" s="81">
        <v>43109</v>
      </c>
      <c r="Z504" s="83">
        <v>19261000</v>
      </c>
      <c r="AA504" s="84" t="s">
        <v>439</v>
      </c>
      <c r="AB504" s="85">
        <v>457</v>
      </c>
      <c r="AC504" s="81">
        <v>43111</v>
      </c>
      <c r="AD504" s="86">
        <v>19261000</v>
      </c>
      <c r="AE504" s="87">
        <f t="shared" si="60"/>
        <v>0</v>
      </c>
      <c r="AF504" s="85">
        <v>209</v>
      </c>
      <c r="AG504" s="81">
        <v>43118</v>
      </c>
      <c r="AH504" s="86">
        <v>19261000</v>
      </c>
      <c r="AI504" s="63" t="s">
        <v>1423</v>
      </c>
      <c r="AJ504" s="63">
        <v>169</v>
      </c>
      <c r="AK504" s="87">
        <f t="shared" si="57"/>
        <v>0</v>
      </c>
      <c r="AL504" s="86">
        <v>12957400</v>
      </c>
      <c r="AM504" s="86">
        <f t="shared" si="58"/>
        <v>6303600</v>
      </c>
      <c r="AN504" s="63" t="s">
        <v>1155</v>
      </c>
      <c r="AO504" s="86">
        <f t="shared" si="59"/>
        <v>0</v>
      </c>
      <c r="AP504" s="63"/>
      <c r="AQ504" s="63"/>
      <c r="AR504" s="63"/>
      <c r="AS504" s="63"/>
      <c r="AT504" s="63"/>
      <c r="AU504" s="220"/>
      <c r="AV504" s="220"/>
      <c r="AW504" s="220"/>
    </row>
    <row r="505" spans="1:49" s="221" customFormat="1" ht="342" x14ac:dyDescent="0.25">
      <c r="A505" s="63">
        <v>91</v>
      </c>
      <c r="B505" s="63" t="str">
        <f t="shared" si="56"/>
        <v>3075-91</v>
      </c>
      <c r="C505" s="76" t="s">
        <v>1141</v>
      </c>
      <c r="D505" s="76" t="s">
        <v>1142</v>
      </c>
      <c r="E505" s="76" t="s">
        <v>1424</v>
      </c>
      <c r="F505" s="76" t="s">
        <v>1175</v>
      </c>
      <c r="G505" s="77" t="s">
        <v>1176</v>
      </c>
      <c r="H505" s="78" t="s">
        <v>1425</v>
      </c>
      <c r="I505" s="76" t="s">
        <v>1147</v>
      </c>
      <c r="J505" s="76" t="s">
        <v>1148</v>
      </c>
      <c r="K505" s="76" t="s">
        <v>439</v>
      </c>
      <c r="L505" s="63" t="s">
        <v>1149</v>
      </c>
      <c r="M505" s="63" t="s">
        <v>58</v>
      </c>
      <c r="N505" s="63" t="s">
        <v>59</v>
      </c>
      <c r="O505" s="76" t="s">
        <v>1213</v>
      </c>
      <c r="P505" s="63" t="s">
        <v>1426</v>
      </c>
      <c r="Q505" s="83">
        <v>57510750</v>
      </c>
      <c r="R505" s="98">
        <v>1.2463756775907113E-3</v>
      </c>
      <c r="S505" s="80">
        <v>71680</v>
      </c>
      <c r="T505" s="63"/>
      <c r="U505" s="63" t="s">
        <v>1171</v>
      </c>
      <c r="V505" s="81" t="s">
        <v>830</v>
      </c>
      <c r="W505" s="82" t="s">
        <v>439</v>
      </c>
      <c r="X505" s="99"/>
      <c r="Y505" s="81"/>
      <c r="Z505" s="83"/>
      <c r="AA505" s="84"/>
      <c r="AB505" s="85"/>
      <c r="AC505" s="81"/>
      <c r="AD505" s="86"/>
      <c r="AE505" s="87">
        <f t="shared" si="60"/>
        <v>71680</v>
      </c>
      <c r="AF505" s="85"/>
      <c r="AG505" s="81"/>
      <c r="AH505" s="86"/>
      <c r="AI505" s="63"/>
      <c r="AJ505" s="63"/>
      <c r="AK505" s="87">
        <f t="shared" si="57"/>
        <v>0</v>
      </c>
      <c r="AL505" s="86"/>
      <c r="AM505" s="86">
        <f t="shared" si="58"/>
        <v>0</v>
      </c>
      <c r="AN505" s="63" t="s">
        <v>1155</v>
      </c>
      <c r="AO505" s="86">
        <f t="shared" si="59"/>
        <v>71680</v>
      </c>
      <c r="AP505" s="63"/>
      <c r="AQ505" s="63"/>
      <c r="AR505" s="63"/>
      <c r="AS505" s="63"/>
      <c r="AT505" s="63"/>
      <c r="AU505" s="220"/>
      <c r="AV505" s="220"/>
      <c r="AW505" s="220"/>
    </row>
    <row r="506" spans="1:49" s="221" customFormat="1" ht="370.5" x14ac:dyDescent="0.25">
      <c r="A506" s="63">
        <v>92</v>
      </c>
      <c r="B506" s="63" t="str">
        <f t="shared" si="56"/>
        <v>3075-92</v>
      </c>
      <c r="C506" s="76" t="s">
        <v>1141</v>
      </c>
      <c r="D506" s="76" t="s">
        <v>1142</v>
      </c>
      <c r="E506" s="76" t="s">
        <v>1424</v>
      </c>
      <c r="F506" s="76" t="s">
        <v>1175</v>
      </c>
      <c r="G506" s="77" t="s">
        <v>1176</v>
      </c>
      <c r="H506" s="78" t="s">
        <v>1425</v>
      </c>
      <c r="I506" s="76" t="s">
        <v>1147</v>
      </c>
      <c r="J506" s="76" t="s">
        <v>1148</v>
      </c>
      <c r="K506" s="76"/>
      <c r="L506" s="63" t="s">
        <v>1149</v>
      </c>
      <c r="M506" s="63" t="s">
        <v>58</v>
      </c>
      <c r="N506" s="63" t="s">
        <v>59</v>
      </c>
      <c r="O506" s="76" t="s">
        <v>1213</v>
      </c>
      <c r="P506" s="63" t="s">
        <v>1427</v>
      </c>
      <c r="Q506" s="83">
        <v>54686940</v>
      </c>
      <c r="R506" s="98">
        <v>1</v>
      </c>
      <c r="S506" s="80">
        <f>74378010-54686940+34995870</f>
        <v>54686940</v>
      </c>
      <c r="T506" s="63" t="s">
        <v>1171</v>
      </c>
      <c r="U506" s="63" t="s">
        <v>1171</v>
      </c>
      <c r="V506" s="81" t="s">
        <v>1208</v>
      </c>
      <c r="W506" s="82" t="s">
        <v>439</v>
      </c>
      <c r="X506" s="99" t="s">
        <v>1428</v>
      </c>
      <c r="Y506" s="81">
        <v>43237</v>
      </c>
      <c r="Z506" s="83">
        <v>54686940</v>
      </c>
      <c r="AA506" s="84" t="s">
        <v>1429</v>
      </c>
      <c r="AB506" s="85">
        <v>839</v>
      </c>
      <c r="AC506" s="81">
        <v>43238</v>
      </c>
      <c r="AD506" s="86">
        <v>54686940</v>
      </c>
      <c r="AE506" s="87">
        <f t="shared" si="60"/>
        <v>0</v>
      </c>
      <c r="AF506" s="85">
        <v>2171</v>
      </c>
      <c r="AG506" s="81">
        <v>43277</v>
      </c>
      <c r="AH506" s="86">
        <v>54686940</v>
      </c>
      <c r="AI506" s="63" t="s">
        <v>1430</v>
      </c>
      <c r="AJ506" s="63">
        <v>2492</v>
      </c>
      <c r="AK506" s="87">
        <f t="shared" si="57"/>
        <v>0</v>
      </c>
      <c r="AL506" s="86">
        <v>54686940</v>
      </c>
      <c r="AM506" s="86">
        <f t="shared" si="58"/>
        <v>0</v>
      </c>
      <c r="AN506" s="63" t="s">
        <v>1155</v>
      </c>
      <c r="AO506" s="86">
        <f t="shared" si="59"/>
        <v>0</v>
      </c>
      <c r="AP506" s="63"/>
      <c r="AQ506" s="81">
        <v>43236</v>
      </c>
      <c r="AR506" s="63" t="s">
        <v>1156</v>
      </c>
      <c r="AS506" s="81">
        <v>43237</v>
      </c>
      <c r="AT506" s="63" t="s">
        <v>1427</v>
      </c>
      <c r="AU506" s="220"/>
      <c r="AV506" s="220"/>
      <c r="AW506" s="220"/>
    </row>
    <row r="507" spans="1:49" s="221" customFormat="1" ht="370.5" x14ac:dyDescent="0.25">
      <c r="A507" s="63">
        <v>93</v>
      </c>
      <c r="B507" s="63" t="str">
        <f t="shared" si="56"/>
        <v>3075-93</v>
      </c>
      <c r="C507" s="76" t="s">
        <v>1141</v>
      </c>
      <c r="D507" s="76" t="s">
        <v>1142</v>
      </c>
      <c r="E507" s="76" t="s">
        <v>1424</v>
      </c>
      <c r="F507" s="76" t="s">
        <v>1175</v>
      </c>
      <c r="G507" s="77" t="s">
        <v>1176</v>
      </c>
      <c r="H507" s="78" t="s">
        <v>1425</v>
      </c>
      <c r="I507" s="76" t="s">
        <v>1147</v>
      </c>
      <c r="J507" s="76" t="s">
        <v>1148</v>
      </c>
      <c r="K507" s="76"/>
      <c r="L507" s="63" t="s">
        <v>1149</v>
      </c>
      <c r="M507" s="63" t="s">
        <v>58</v>
      </c>
      <c r="N507" s="63" t="s">
        <v>59</v>
      </c>
      <c r="O507" s="76" t="s">
        <v>1213</v>
      </c>
      <c r="P507" s="63" t="s">
        <v>1431</v>
      </c>
      <c r="Q507" s="83">
        <v>54686940</v>
      </c>
      <c r="R507" s="98">
        <v>1</v>
      </c>
      <c r="S507" s="80">
        <f>155939786-54686940-11570036-34995870</f>
        <v>54686940</v>
      </c>
      <c r="T507" s="63" t="s">
        <v>1171</v>
      </c>
      <c r="U507" s="63" t="s">
        <v>1171</v>
      </c>
      <c r="V507" s="81" t="s">
        <v>1208</v>
      </c>
      <c r="W507" s="82" t="s">
        <v>439</v>
      </c>
      <c r="X507" s="79" t="s">
        <v>1432</v>
      </c>
      <c r="Y507" s="81">
        <v>43237</v>
      </c>
      <c r="Z507" s="83">
        <v>54686940</v>
      </c>
      <c r="AA507" s="84" t="s">
        <v>439</v>
      </c>
      <c r="AB507" s="85">
        <v>832</v>
      </c>
      <c r="AC507" s="81">
        <v>43238</v>
      </c>
      <c r="AD507" s="86">
        <v>54686940</v>
      </c>
      <c r="AE507" s="87">
        <f t="shared" si="60"/>
        <v>0</v>
      </c>
      <c r="AF507" s="85">
        <v>2041</v>
      </c>
      <c r="AG507" s="81">
        <v>43271</v>
      </c>
      <c r="AH507" s="86">
        <v>54686940</v>
      </c>
      <c r="AI507" s="63" t="s">
        <v>1433</v>
      </c>
      <c r="AJ507" s="63">
        <v>2297</v>
      </c>
      <c r="AK507" s="87">
        <f t="shared" si="57"/>
        <v>0</v>
      </c>
      <c r="AL507" s="86">
        <v>54686940</v>
      </c>
      <c r="AM507" s="86">
        <f t="shared" si="58"/>
        <v>0</v>
      </c>
      <c r="AN507" s="63" t="s">
        <v>1155</v>
      </c>
      <c r="AO507" s="86">
        <f t="shared" si="59"/>
        <v>0</v>
      </c>
      <c r="AP507" s="63"/>
      <c r="AQ507" s="81">
        <v>43236</v>
      </c>
      <c r="AR507" s="63" t="s">
        <v>1156</v>
      </c>
      <c r="AS507" s="81">
        <v>43237</v>
      </c>
      <c r="AT507" s="63" t="s">
        <v>1431</v>
      </c>
      <c r="AU507" s="220"/>
      <c r="AV507" s="220"/>
      <c r="AW507" s="220"/>
    </row>
    <row r="508" spans="1:49" s="221" customFormat="1" ht="370.5" x14ac:dyDescent="0.25">
      <c r="A508" s="63">
        <v>94</v>
      </c>
      <c r="B508" s="63" t="str">
        <f t="shared" si="56"/>
        <v>3075-94</v>
      </c>
      <c r="C508" s="76" t="s">
        <v>1141</v>
      </c>
      <c r="D508" s="76" t="s">
        <v>1142</v>
      </c>
      <c r="E508" s="76" t="s">
        <v>1424</v>
      </c>
      <c r="F508" s="76" t="s">
        <v>1175</v>
      </c>
      <c r="G508" s="77" t="s">
        <v>1176</v>
      </c>
      <c r="H508" s="78" t="s">
        <v>1425</v>
      </c>
      <c r="I508" s="76" t="s">
        <v>1147</v>
      </c>
      <c r="J508" s="76" t="s">
        <v>1148</v>
      </c>
      <c r="K508" s="76"/>
      <c r="L508" s="63" t="s">
        <v>1149</v>
      </c>
      <c r="M508" s="63" t="s">
        <v>58</v>
      </c>
      <c r="N508" s="63" t="s">
        <v>59</v>
      </c>
      <c r="O508" s="76" t="s">
        <v>1213</v>
      </c>
      <c r="P508" s="63" t="s">
        <v>1434</v>
      </c>
      <c r="Q508" s="83">
        <v>54686940</v>
      </c>
      <c r="R508" s="98">
        <v>1</v>
      </c>
      <c r="S508" s="80">
        <f>75068369-31951465+11570036</f>
        <v>54686940</v>
      </c>
      <c r="T508" s="63" t="s">
        <v>1171</v>
      </c>
      <c r="U508" s="63" t="s">
        <v>1171</v>
      </c>
      <c r="V508" s="81" t="s">
        <v>1208</v>
      </c>
      <c r="W508" s="82" t="s">
        <v>439</v>
      </c>
      <c r="X508" s="100" t="s">
        <v>1435</v>
      </c>
      <c r="Y508" s="81">
        <v>43237</v>
      </c>
      <c r="Z508" s="83">
        <v>54686940</v>
      </c>
      <c r="AA508" s="84" t="s">
        <v>1436</v>
      </c>
      <c r="AB508" s="85">
        <v>833</v>
      </c>
      <c r="AC508" s="81">
        <v>43238</v>
      </c>
      <c r="AD508" s="86">
        <v>54686940</v>
      </c>
      <c r="AE508" s="87">
        <f t="shared" si="60"/>
        <v>0</v>
      </c>
      <c r="AF508" s="85">
        <v>2035</v>
      </c>
      <c r="AG508" s="81">
        <v>43270</v>
      </c>
      <c r="AH508" s="86">
        <v>54686940</v>
      </c>
      <c r="AI508" s="63" t="s">
        <v>1437</v>
      </c>
      <c r="AJ508" s="63">
        <v>2298</v>
      </c>
      <c r="AK508" s="87">
        <f t="shared" si="57"/>
        <v>0</v>
      </c>
      <c r="AL508" s="86">
        <v>54686940</v>
      </c>
      <c r="AM508" s="86">
        <f t="shared" si="58"/>
        <v>0</v>
      </c>
      <c r="AN508" s="63" t="s">
        <v>1155</v>
      </c>
      <c r="AO508" s="86">
        <f t="shared" si="59"/>
        <v>0</v>
      </c>
      <c r="AP508" s="63"/>
      <c r="AQ508" s="81">
        <v>43236</v>
      </c>
      <c r="AR508" s="63" t="s">
        <v>1156</v>
      </c>
      <c r="AS508" s="81">
        <v>43237</v>
      </c>
      <c r="AT508" s="63" t="s">
        <v>1434</v>
      </c>
      <c r="AU508" s="220"/>
      <c r="AV508" s="220"/>
      <c r="AW508" s="220"/>
    </row>
    <row r="509" spans="1:49" s="221" customFormat="1" ht="370.5" x14ac:dyDescent="0.25">
      <c r="A509" s="63">
        <v>95</v>
      </c>
      <c r="B509" s="63" t="str">
        <f t="shared" si="56"/>
        <v>3075-95</v>
      </c>
      <c r="C509" s="76" t="s">
        <v>1141</v>
      </c>
      <c r="D509" s="76" t="s">
        <v>1142</v>
      </c>
      <c r="E509" s="76" t="s">
        <v>1424</v>
      </c>
      <c r="F509" s="76" t="s">
        <v>1175</v>
      </c>
      <c r="G509" s="77" t="s">
        <v>1176</v>
      </c>
      <c r="H509" s="78" t="s">
        <v>1425</v>
      </c>
      <c r="I509" s="76" t="s">
        <v>1147</v>
      </c>
      <c r="J509" s="76" t="s">
        <v>1148</v>
      </c>
      <c r="K509" s="76"/>
      <c r="L509" s="63" t="s">
        <v>1149</v>
      </c>
      <c r="M509" s="63" t="s">
        <v>58</v>
      </c>
      <c r="N509" s="63" t="s">
        <v>59</v>
      </c>
      <c r="O509" s="76" t="s">
        <v>1213</v>
      </c>
      <c r="P509" s="63" t="s">
        <v>1438</v>
      </c>
      <c r="Q509" s="83">
        <v>54686940</v>
      </c>
      <c r="R509" s="98">
        <v>1</v>
      </c>
      <c r="S509" s="80">
        <f>12689435+31951465+10046040</f>
        <v>54686940</v>
      </c>
      <c r="T509" s="63" t="s">
        <v>1171</v>
      </c>
      <c r="U509" s="63" t="s">
        <v>1171</v>
      </c>
      <c r="V509" s="81" t="s">
        <v>1208</v>
      </c>
      <c r="W509" s="82" t="s">
        <v>439</v>
      </c>
      <c r="X509" s="79" t="s">
        <v>1439</v>
      </c>
      <c r="Y509" s="81">
        <v>43245</v>
      </c>
      <c r="Z509" s="83">
        <v>54686940</v>
      </c>
      <c r="AA509" s="84" t="s">
        <v>1440</v>
      </c>
      <c r="AB509" s="85">
        <v>856</v>
      </c>
      <c r="AC509" s="81">
        <v>43250</v>
      </c>
      <c r="AD509" s="86">
        <v>54686940</v>
      </c>
      <c r="AE509" s="87">
        <f t="shared" si="60"/>
        <v>0</v>
      </c>
      <c r="AF509" s="85">
        <v>2401</v>
      </c>
      <c r="AG509" s="81">
        <v>43280</v>
      </c>
      <c r="AH509" s="86">
        <v>54686940</v>
      </c>
      <c r="AI509" s="63" t="s">
        <v>1441</v>
      </c>
      <c r="AJ509" s="63">
        <v>2774</v>
      </c>
      <c r="AK509" s="87">
        <f t="shared" si="57"/>
        <v>0</v>
      </c>
      <c r="AL509" s="86">
        <v>54686940</v>
      </c>
      <c r="AM509" s="86">
        <f t="shared" si="58"/>
        <v>0</v>
      </c>
      <c r="AN509" s="63" t="s">
        <v>1155</v>
      </c>
      <c r="AO509" s="86">
        <f t="shared" si="59"/>
        <v>0</v>
      </c>
      <c r="AP509" s="63" t="s">
        <v>1442</v>
      </c>
      <c r="AQ509" s="81">
        <v>43245</v>
      </c>
      <c r="AR509" s="63" t="s">
        <v>1156</v>
      </c>
      <c r="AS509" s="81">
        <v>43245</v>
      </c>
      <c r="AT509" s="63" t="s">
        <v>1438</v>
      </c>
      <c r="AU509" s="220"/>
      <c r="AV509" s="220"/>
      <c r="AW509" s="220"/>
    </row>
    <row r="510" spans="1:49" s="221" customFormat="1" ht="409.5" x14ac:dyDescent="0.25">
      <c r="A510" s="63">
        <v>96</v>
      </c>
      <c r="B510" s="63" t="str">
        <f t="shared" si="56"/>
        <v>3075-96</v>
      </c>
      <c r="C510" s="76" t="s">
        <v>1141</v>
      </c>
      <c r="D510" s="76" t="s">
        <v>1142</v>
      </c>
      <c r="E510" s="76" t="s">
        <v>1424</v>
      </c>
      <c r="F510" s="76" t="s">
        <v>1158</v>
      </c>
      <c r="G510" s="77" t="s">
        <v>1159</v>
      </c>
      <c r="H510" s="101" t="s">
        <v>1160</v>
      </c>
      <c r="I510" s="76" t="s">
        <v>1147</v>
      </c>
      <c r="J510" s="76" t="s">
        <v>1148</v>
      </c>
      <c r="K510" s="76">
        <v>801116</v>
      </c>
      <c r="L510" s="63" t="s">
        <v>1149</v>
      </c>
      <c r="M510" s="63" t="s">
        <v>58</v>
      </c>
      <c r="N510" s="63" t="s">
        <v>59</v>
      </c>
      <c r="O510" s="76" t="s">
        <v>1213</v>
      </c>
      <c r="P510" s="76" t="s">
        <v>1443</v>
      </c>
      <c r="Q510" s="83">
        <v>4120000</v>
      </c>
      <c r="R510" s="98">
        <v>1</v>
      </c>
      <c r="S510" s="80">
        <v>24720000</v>
      </c>
      <c r="T510" s="63" t="s">
        <v>888</v>
      </c>
      <c r="U510" s="63" t="s">
        <v>1163</v>
      </c>
      <c r="V510" s="81" t="s">
        <v>64</v>
      </c>
      <c r="W510" s="82">
        <v>6</v>
      </c>
      <c r="X510" s="63" t="s">
        <v>1444</v>
      </c>
      <c r="Y510" s="81">
        <v>43104</v>
      </c>
      <c r="Z510" s="83">
        <v>24720000</v>
      </c>
      <c r="AA510" s="84" t="s">
        <v>439</v>
      </c>
      <c r="AB510" s="85">
        <v>460</v>
      </c>
      <c r="AC510" s="81">
        <v>43111</v>
      </c>
      <c r="AD510" s="86">
        <v>24720000</v>
      </c>
      <c r="AE510" s="86">
        <f t="shared" si="60"/>
        <v>0</v>
      </c>
      <c r="AF510" s="85">
        <v>401</v>
      </c>
      <c r="AG510" s="81">
        <v>43124</v>
      </c>
      <c r="AH510" s="86">
        <v>24720000</v>
      </c>
      <c r="AI510" s="63" t="s">
        <v>1445</v>
      </c>
      <c r="AJ510" s="63">
        <v>322</v>
      </c>
      <c r="AK510" s="87">
        <f t="shared" si="57"/>
        <v>0</v>
      </c>
      <c r="AL510" s="86">
        <v>24720000</v>
      </c>
      <c r="AM510" s="86">
        <f t="shared" si="58"/>
        <v>0</v>
      </c>
      <c r="AN510" s="63" t="s">
        <v>1155</v>
      </c>
      <c r="AO510" s="86">
        <f t="shared" si="59"/>
        <v>0</v>
      </c>
      <c r="AP510" s="63"/>
      <c r="AQ510" s="63"/>
      <c r="AR510" s="63"/>
      <c r="AS510" s="63"/>
      <c r="AT510" s="63"/>
      <c r="AU510" s="220"/>
      <c r="AV510" s="220"/>
      <c r="AW510" s="220"/>
    </row>
    <row r="511" spans="1:49" s="221" customFormat="1" ht="409.5" x14ac:dyDescent="0.25">
      <c r="A511" s="63">
        <v>97</v>
      </c>
      <c r="B511" s="63" t="str">
        <f t="shared" si="56"/>
        <v>3075-97</v>
      </c>
      <c r="C511" s="76" t="s">
        <v>1141</v>
      </c>
      <c r="D511" s="76" t="s">
        <v>1142</v>
      </c>
      <c r="E511" s="76" t="s">
        <v>1424</v>
      </c>
      <c r="F511" s="76" t="s">
        <v>1158</v>
      </c>
      <c r="G511" s="77" t="s">
        <v>1159</v>
      </c>
      <c r="H511" s="101" t="s">
        <v>1160</v>
      </c>
      <c r="I511" s="76" t="s">
        <v>1147</v>
      </c>
      <c r="J511" s="76" t="s">
        <v>1148</v>
      </c>
      <c r="K511" s="76">
        <v>801116</v>
      </c>
      <c r="L511" s="63" t="s">
        <v>1149</v>
      </c>
      <c r="M511" s="63" t="s">
        <v>58</v>
      </c>
      <c r="N511" s="63" t="s">
        <v>59</v>
      </c>
      <c r="O511" s="76" t="s">
        <v>1213</v>
      </c>
      <c r="P511" s="63" t="s">
        <v>1446</v>
      </c>
      <c r="Q511" s="83">
        <v>3553500</v>
      </c>
      <c r="R511" s="98">
        <v>1</v>
      </c>
      <c r="S511" s="80">
        <v>21321000</v>
      </c>
      <c r="T511" s="63" t="s">
        <v>888</v>
      </c>
      <c r="U511" s="63" t="s">
        <v>1163</v>
      </c>
      <c r="V511" s="81" t="s">
        <v>64</v>
      </c>
      <c r="W511" s="82">
        <v>6</v>
      </c>
      <c r="X511" s="63" t="s">
        <v>1447</v>
      </c>
      <c r="Y511" s="81">
        <v>43104</v>
      </c>
      <c r="Z511" s="83">
        <v>21321000</v>
      </c>
      <c r="AA511" s="84" t="s">
        <v>439</v>
      </c>
      <c r="AB511" s="85">
        <v>413</v>
      </c>
      <c r="AC511" s="81">
        <v>43111</v>
      </c>
      <c r="AD511" s="86">
        <v>21321000</v>
      </c>
      <c r="AE511" s="86">
        <f t="shared" si="60"/>
        <v>0</v>
      </c>
      <c r="AF511" s="85">
        <v>426</v>
      </c>
      <c r="AG511" s="81">
        <v>43124</v>
      </c>
      <c r="AH511" s="86">
        <v>21321000</v>
      </c>
      <c r="AI511" s="63" t="s">
        <v>1448</v>
      </c>
      <c r="AJ511" s="63">
        <v>361</v>
      </c>
      <c r="AK511" s="87">
        <f t="shared" si="57"/>
        <v>0</v>
      </c>
      <c r="AL511" s="86">
        <v>21321000</v>
      </c>
      <c r="AM511" s="86">
        <f t="shared" si="58"/>
        <v>0</v>
      </c>
      <c r="AN511" s="63" t="s">
        <v>1155</v>
      </c>
      <c r="AO511" s="86">
        <f t="shared" si="59"/>
        <v>0</v>
      </c>
      <c r="AP511" s="63"/>
      <c r="AQ511" s="63"/>
      <c r="AR511" s="63"/>
      <c r="AS511" s="63"/>
      <c r="AT511" s="63"/>
      <c r="AU511" s="220"/>
      <c r="AV511" s="220"/>
      <c r="AW511" s="220"/>
    </row>
    <row r="512" spans="1:49" s="221" customFormat="1" ht="409.5" x14ac:dyDescent="0.25">
      <c r="A512" s="63">
        <v>98</v>
      </c>
      <c r="B512" s="63" t="str">
        <f t="shared" si="56"/>
        <v>3075-98</v>
      </c>
      <c r="C512" s="76" t="s">
        <v>1141</v>
      </c>
      <c r="D512" s="76" t="s">
        <v>1142</v>
      </c>
      <c r="E512" s="76" t="s">
        <v>1424</v>
      </c>
      <c r="F512" s="76" t="s">
        <v>1158</v>
      </c>
      <c r="G512" s="77" t="s">
        <v>1159</v>
      </c>
      <c r="H512" s="101" t="s">
        <v>1160</v>
      </c>
      <c r="I512" s="76" t="s">
        <v>1147</v>
      </c>
      <c r="J512" s="76" t="s">
        <v>1148</v>
      </c>
      <c r="K512" s="76">
        <v>801116</v>
      </c>
      <c r="L512" s="63" t="s">
        <v>1149</v>
      </c>
      <c r="M512" s="63" t="s">
        <v>58</v>
      </c>
      <c r="N512" s="63" t="s">
        <v>59</v>
      </c>
      <c r="O512" s="76" t="s">
        <v>1213</v>
      </c>
      <c r="P512" s="63" t="s">
        <v>1449</v>
      </c>
      <c r="Q512" s="83">
        <v>3399000</v>
      </c>
      <c r="R512" s="63">
        <v>3</v>
      </c>
      <c r="S512" s="80">
        <f>23640000-6180000-2160000</f>
        <v>15300000</v>
      </c>
      <c r="T512" s="63" t="s">
        <v>1163</v>
      </c>
      <c r="U512" s="63" t="s">
        <v>1163</v>
      </c>
      <c r="V512" s="81" t="s">
        <v>411</v>
      </c>
      <c r="W512" s="82">
        <v>7</v>
      </c>
      <c r="X512" s="63" t="s">
        <v>1450</v>
      </c>
      <c r="Y512" s="81">
        <v>43161</v>
      </c>
      <c r="Z512" s="83">
        <v>15300000</v>
      </c>
      <c r="AA512" s="84" t="s">
        <v>439</v>
      </c>
      <c r="AB512" s="85">
        <v>677</v>
      </c>
      <c r="AC512" s="81">
        <v>43164</v>
      </c>
      <c r="AD512" s="86">
        <v>15300000</v>
      </c>
      <c r="AE512" s="86">
        <f t="shared" si="60"/>
        <v>0</v>
      </c>
      <c r="AF512" s="85">
        <v>1754</v>
      </c>
      <c r="AG512" s="81">
        <v>43200</v>
      </c>
      <c r="AH512" s="86">
        <v>15300000</v>
      </c>
      <c r="AI512" s="63" t="s">
        <v>1451</v>
      </c>
      <c r="AJ512" s="63">
        <v>548</v>
      </c>
      <c r="AK512" s="87">
        <f t="shared" si="57"/>
        <v>0</v>
      </c>
      <c r="AL512" s="86">
        <v>15300000</v>
      </c>
      <c r="AM512" s="86">
        <f t="shared" si="58"/>
        <v>0</v>
      </c>
      <c r="AN512" s="63" t="s">
        <v>1155</v>
      </c>
      <c r="AO512" s="86">
        <f t="shared" si="59"/>
        <v>0</v>
      </c>
      <c r="AP512" s="63" t="s">
        <v>1452</v>
      </c>
      <c r="AQ512" s="81">
        <v>43160</v>
      </c>
      <c r="AR512" s="63" t="s">
        <v>1156</v>
      </c>
      <c r="AS512" s="81">
        <v>43161</v>
      </c>
      <c r="AT512" s="63" t="s">
        <v>1453</v>
      </c>
      <c r="AU512" s="220"/>
      <c r="AV512" s="220"/>
      <c r="AW512" s="220"/>
    </row>
    <row r="513" spans="1:49" s="221" customFormat="1" ht="342" x14ac:dyDescent="0.25">
      <c r="A513" s="63">
        <v>99</v>
      </c>
      <c r="B513" s="63" t="str">
        <f t="shared" si="56"/>
        <v>3075-99</v>
      </c>
      <c r="C513" s="76" t="s">
        <v>1141</v>
      </c>
      <c r="D513" s="76" t="s">
        <v>1142</v>
      </c>
      <c r="E513" s="76" t="s">
        <v>1424</v>
      </c>
      <c r="F513" s="76" t="s">
        <v>1158</v>
      </c>
      <c r="G513" s="77" t="s">
        <v>1159</v>
      </c>
      <c r="H513" s="101" t="s">
        <v>1160</v>
      </c>
      <c r="I513" s="76" t="s">
        <v>1147</v>
      </c>
      <c r="J513" s="76" t="s">
        <v>1148</v>
      </c>
      <c r="K513" s="76">
        <v>93141506</v>
      </c>
      <c r="L513" s="63" t="s">
        <v>1149</v>
      </c>
      <c r="M513" s="63" t="s">
        <v>58</v>
      </c>
      <c r="N513" s="63" t="s">
        <v>59</v>
      </c>
      <c r="O513" s="76" t="s">
        <v>1213</v>
      </c>
      <c r="P513" s="63" t="s">
        <v>1287</v>
      </c>
      <c r="Q513" s="83">
        <v>5253000</v>
      </c>
      <c r="R513" s="98">
        <v>1</v>
      </c>
      <c r="S513" s="80">
        <f>21321000-309000</f>
        <v>21012000</v>
      </c>
      <c r="T513" s="63" t="s">
        <v>888</v>
      </c>
      <c r="U513" s="63" t="s">
        <v>1163</v>
      </c>
      <c r="V513" s="81" t="s">
        <v>431</v>
      </c>
      <c r="W513" s="82">
        <v>4</v>
      </c>
      <c r="X513" s="63" t="s">
        <v>1454</v>
      </c>
      <c r="Y513" s="81">
        <v>43321</v>
      </c>
      <c r="Z513" s="83">
        <v>21012000</v>
      </c>
      <c r="AA513" s="84" t="s">
        <v>439</v>
      </c>
      <c r="AB513" s="85">
        <v>1042</v>
      </c>
      <c r="AC513" s="81">
        <v>43322</v>
      </c>
      <c r="AD513" s="86">
        <v>21012000</v>
      </c>
      <c r="AE513" s="86">
        <f t="shared" si="60"/>
        <v>0</v>
      </c>
      <c r="AF513" s="85">
        <v>2722</v>
      </c>
      <c r="AG513" s="81">
        <v>43335</v>
      </c>
      <c r="AH513" s="86">
        <v>21012000</v>
      </c>
      <c r="AI513" s="63" t="s">
        <v>1455</v>
      </c>
      <c r="AJ513" s="63">
        <v>508</v>
      </c>
      <c r="AK513" s="87">
        <f t="shared" si="57"/>
        <v>0</v>
      </c>
      <c r="AL513" s="86">
        <v>1400800</v>
      </c>
      <c r="AM513" s="86">
        <f t="shared" si="58"/>
        <v>19611200</v>
      </c>
      <c r="AN513" s="63" t="s">
        <v>1155</v>
      </c>
      <c r="AO513" s="86">
        <f t="shared" si="59"/>
        <v>0</v>
      </c>
      <c r="AP513" s="63"/>
      <c r="AQ513" s="81">
        <v>43320</v>
      </c>
      <c r="AR513" s="63" t="s">
        <v>1156</v>
      </c>
      <c r="AS513" s="81">
        <v>43321</v>
      </c>
      <c r="AT513" s="63" t="s">
        <v>1453</v>
      </c>
      <c r="AU513" s="220"/>
      <c r="AV513" s="220"/>
      <c r="AW513" s="220"/>
    </row>
    <row r="514" spans="1:49" s="221" customFormat="1" ht="342" x14ac:dyDescent="0.25">
      <c r="A514" s="63">
        <v>100</v>
      </c>
      <c r="B514" s="63" t="str">
        <f t="shared" si="56"/>
        <v>3075-100</v>
      </c>
      <c r="C514" s="76" t="s">
        <v>1141</v>
      </c>
      <c r="D514" s="76" t="s">
        <v>1142</v>
      </c>
      <c r="E514" s="76" t="s">
        <v>1424</v>
      </c>
      <c r="F514" s="76" t="s">
        <v>1158</v>
      </c>
      <c r="G514" s="77" t="s">
        <v>1159</v>
      </c>
      <c r="H514" s="101" t="s">
        <v>1160</v>
      </c>
      <c r="I514" s="76" t="s">
        <v>1147</v>
      </c>
      <c r="J514" s="76" t="s">
        <v>1148</v>
      </c>
      <c r="K514" s="76">
        <v>801116</v>
      </c>
      <c r="L514" s="63" t="s">
        <v>1149</v>
      </c>
      <c r="M514" s="63" t="s">
        <v>58</v>
      </c>
      <c r="N514" s="63" t="s">
        <v>59</v>
      </c>
      <c r="O514" s="76" t="s">
        <v>1213</v>
      </c>
      <c r="P514" s="63" t="s">
        <v>1276</v>
      </c>
      <c r="Q514" s="83">
        <v>4120000</v>
      </c>
      <c r="R514" s="98">
        <v>1</v>
      </c>
      <c r="S514" s="80">
        <f>24720000-4758600</f>
        <v>19961400</v>
      </c>
      <c r="T514" s="63" t="s">
        <v>928</v>
      </c>
      <c r="U514" s="63" t="s">
        <v>1163</v>
      </c>
      <c r="V514" s="81" t="s">
        <v>64</v>
      </c>
      <c r="W514" s="82">
        <v>6</v>
      </c>
      <c r="X514" s="63" t="s">
        <v>1456</v>
      </c>
      <c r="Y514" s="81">
        <v>43119</v>
      </c>
      <c r="Z514" s="83">
        <v>19961400</v>
      </c>
      <c r="AA514" s="84" t="s">
        <v>439</v>
      </c>
      <c r="AB514" s="85">
        <v>554</v>
      </c>
      <c r="AC514" s="81">
        <v>43122</v>
      </c>
      <c r="AD514" s="86">
        <v>19961400</v>
      </c>
      <c r="AE514" s="86">
        <f t="shared" si="60"/>
        <v>0</v>
      </c>
      <c r="AF514" s="85">
        <v>473</v>
      </c>
      <c r="AG514" s="81">
        <v>43126</v>
      </c>
      <c r="AH514" s="86">
        <v>19961400</v>
      </c>
      <c r="AI514" s="63" t="s">
        <v>1457</v>
      </c>
      <c r="AJ514" s="63">
        <v>399</v>
      </c>
      <c r="AK514" s="87">
        <f t="shared" si="57"/>
        <v>0</v>
      </c>
      <c r="AL514" s="86">
        <v>19961400</v>
      </c>
      <c r="AM514" s="86">
        <f t="shared" si="58"/>
        <v>0</v>
      </c>
      <c r="AN514" s="63" t="s">
        <v>1155</v>
      </c>
      <c r="AO514" s="86">
        <f t="shared" si="59"/>
        <v>0</v>
      </c>
      <c r="AP514" s="63"/>
      <c r="AQ514" s="63"/>
      <c r="AR514" s="63"/>
      <c r="AS514" s="63"/>
      <c r="AT514" s="63"/>
      <c r="AU514" s="220"/>
      <c r="AV514" s="220"/>
      <c r="AW514" s="220"/>
    </row>
    <row r="515" spans="1:49" s="221" customFormat="1" ht="409.5" x14ac:dyDescent="0.25">
      <c r="A515" s="63">
        <v>101</v>
      </c>
      <c r="B515" s="63" t="str">
        <f t="shared" si="56"/>
        <v>3075-101</v>
      </c>
      <c r="C515" s="76" t="s">
        <v>1141</v>
      </c>
      <c r="D515" s="76" t="s">
        <v>1142</v>
      </c>
      <c r="E515" s="76" t="s">
        <v>1424</v>
      </c>
      <c r="F515" s="76" t="s">
        <v>1158</v>
      </c>
      <c r="G515" s="77" t="s">
        <v>1159</v>
      </c>
      <c r="H515" s="101" t="s">
        <v>1160</v>
      </c>
      <c r="I515" s="76" t="s">
        <v>1147</v>
      </c>
      <c r="J515" s="76" t="s">
        <v>1148</v>
      </c>
      <c r="K515" s="76">
        <v>801116</v>
      </c>
      <c r="L515" s="63" t="s">
        <v>1149</v>
      </c>
      <c r="M515" s="63" t="s">
        <v>58</v>
      </c>
      <c r="N515" s="63" t="s">
        <v>59</v>
      </c>
      <c r="O515" s="76" t="s">
        <v>1213</v>
      </c>
      <c r="P515" s="63" t="s">
        <v>1458</v>
      </c>
      <c r="Q515" s="83">
        <v>4532000</v>
      </c>
      <c r="R515" s="98">
        <v>1</v>
      </c>
      <c r="S515" s="80">
        <v>27192000</v>
      </c>
      <c r="T515" s="63" t="s">
        <v>888</v>
      </c>
      <c r="U515" s="63" t="s">
        <v>1163</v>
      </c>
      <c r="V515" s="81" t="s">
        <v>64</v>
      </c>
      <c r="W515" s="82">
        <v>6</v>
      </c>
      <c r="X515" s="63" t="s">
        <v>1459</v>
      </c>
      <c r="Y515" s="81">
        <v>43104</v>
      </c>
      <c r="Z515" s="83">
        <v>27192000</v>
      </c>
      <c r="AA515" s="84" t="s">
        <v>439</v>
      </c>
      <c r="AB515" s="85">
        <v>417</v>
      </c>
      <c r="AC515" s="81">
        <v>43111</v>
      </c>
      <c r="AD515" s="86">
        <v>27192000</v>
      </c>
      <c r="AE515" s="86">
        <f t="shared" si="60"/>
        <v>0</v>
      </c>
      <c r="AF515" s="85">
        <v>353</v>
      </c>
      <c r="AG515" s="81">
        <v>43123</v>
      </c>
      <c r="AH515" s="86">
        <v>27192000</v>
      </c>
      <c r="AI515" s="63" t="s">
        <v>1460</v>
      </c>
      <c r="AJ515" s="63">
        <v>351</v>
      </c>
      <c r="AK515" s="87">
        <f t="shared" si="57"/>
        <v>0</v>
      </c>
      <c r="AL515" s="86">
        <v>27192000</v>
      </c>
      <c r="AM515" s="86">
        <f t="shared" si="58"/>
        <v>0</v>
      </c>
      <c r="AN515" s="63" t="s">
        <v>1155</v>
      </c>
      <c r="AO515" s="86">
        <f t="shared" si="59"/>
        <v>0</v>
      </c>
      <c r="AP515" s="63"/>
      <c r="AQ515" s="63"/>
      <c r="AR515" s="63"/>
      <c r="AS515" s="63"/>
      <c r="AT515" s="63"/>
      <c r="AU515" s="220"/>
      <c r="AV515" s="220"/>
      <c r="AW515" s="220"/>
    </row>
    <row r="516" spans="1:49" s="221" customFormat="1" ht="409.5" x14ac:dyDescent="0.25">
      <c r="A516" s="63">
        <v>102</v>
      </c>
      <c r="B516" s="63" t="str">
        <f t="shared" si="56"/>
        <v>3075-102</v>
      </c>
      <c r="C516" s="76" t="s">
        <v>1141</v>
      </c>
      <c r="D516" s="76" t="s">
        <v>1142</v>
      </c>
      <c r="E516" s="76" t="s">
        <v>1424</v>
      </c>
      <c r="F516" s="76" t="s">
        <v>1158</v>
      </c>
      <c r="G516" s="77" t="s">
        <v>1159</v>
      </c>
      <c r="H516" s="101" t="s">
        <v>1160</v>
      </c>
      <c r="I516" s="76" t="s">
        <v>1147</v>
      </c>
      <c r="J516" s="76" t="s">
        <v>1148</v>
      </c>
      <c r="K516" s="76">
        <v>801116</v>
      </c>
      <c r="L516" s="63" t="s">
        <v>1149</v>
      </c>
      <c r="M516" s="63" t="s">
        <v>58</v>
      </c>
      <c r="N516" s="63" t="s">
        <v>59</v>
      </c>
      <c r="O516" s="76" t="s">
        <v>1213</v>
      </c>
      <c r="P516" s="63" t="s">
        <v>1458</v>
      </c>
      <c r="Q516" s="83">
        <v>5036700</v>
      </c>
      <c r="R516" s="98">
        <v>1</v>
      </c>
      <c r="S516" s="80">
        <v>30220200</v>
      </c>
      <c r="T516" s="63" t="s">
        <v>888</v>
      </c>
      <c r="U516" s="63" t="s">
        <v>1163</v>
      </c>
      <c r="V516" s="81" t="s">
        <v>64</v>
      </c>
      <c r="W516" s="82">
        <v>6</v>
      </c>
      <c r="X516" s="63" t="s">
        <v>1461</v>
      </c>
      <c r="Y516" s="81">
        <v>43104</v>
      </c>
      <c r="Z516" s="83">
        <v>30220200</v>
      </c>
      <c r="AA516" s="84" t="s">
        <v>439</v>
      </c>
      <c r="AB516" s="85">
        <v>376</v>
      </c>
      <c r="AC516" s="81">
        <v>43110</v>
      </c>
      <c r="AD516" s="86">
        <v>30220200</v>
      </c>
      <c r="AE516" s="86">
        <f t="shared" si="60"/>
        <v>0</v>
      </c>
      <c r="AF516" s="85">
        <v>339</v>
      </c>
      <c r="AG516" s="81">
        <v>43123</v>
      </c>
      <c r="AH516" s="86">
        <v>30220200</v>
      </c>
      <c r="AI516" s="63" t="s">
        <v>1462</v>
      </c>
      <c r="AJ516" s="63">
        <v>344</v>
      </c>
      <c r="AK516" s="87">
        <f t="shared" si="57"/>
        <v>0</v>
      </c>
      <c r="AL516" s="86">
        <v>30220200</v>
      </c>
      <c r="AM516" s="86">
        <f t="shared" si="58"/>
        <v>0</v>
      </c>
      <c r="AN516" s="63" t="s">
        <v>1155</v>
      </c>
      <c r="AO516" s="86">
        <f t="shared" si="59"/>
        <v>0</v>
      </c>
      <c r="AP516" s="63"/>
      <c r="AQ516" s="63"/>
      <c r="AR516" s="63"/>
      <c r="AS516" s="63"/>
      <c r="AT516" s="63"/>
      <c r="AU516" s="220"/>
      <c r="AV516" s="220"/>
      <c r="AW516" s="220"/>
    </row>
    <row r="517" spans="1:49" s="221" customFormat="1" ht="409.5" x14ac:dyDescent="0.25">
      <c r="A517" s="63">
        <v>103</v>
      </c>
      <c r="B517" s="63" t="str">
        <f t="shared" si="56"/>
        <v>3075-103</v>
      </c>
      <c r="C517" s="76" t="s">
        <v>1141</v>
      </c>
      <c r="D517" s="76" t="s">
        <v>1142</v>
      </c>
      <c r="E517" s="76" t="s">
        <v>1424</v>
      </c>
      <c r="F517" s="76" t="s">
        <v>1158</v>
      </c>
      <c r="G517" s="77" t="s">
        <v>1159</v>
      </c>
      <c r="H517" s="101" t="s">
        <v>1160</v>
      </c>
      <c r="I517" s="76" t="s">
        <v>1147</v>
      </c>
      <c r="J517" s="76" t="s">
        <v>1148</v>
      </c>
      <c r="K517" s="76">
        <v>801116</v>
      </c>
      <c r="L517" s="63" t="s">
        <v>1149</v>
      </c>
      <c r="M517" s="63" t="s">
        <v>58</v>
      </c>
      <c r="N517" s="63" t="s">
        <v>59</v>
      </c>
      <c r="O517" s="76" t="s">
        <v>1213</v>
      </c>
      <c r="P517" s="63" t="s">
        <v>1458</v>
      </c>
      <c r="Q517" s="83">
        <v>5253000</v>
      </c>
      <c r="R517" s="98">
        <v>1</v>
      </c>
      <c r="S517" s="80">
        <v>31518000</v>
      </c>
      <c r="T517" s="63" t="s">
        <v>888</v>
      </c>
      <c r="U517" s="63" t="s">
        <v>1163</v>
      </c>
      <c r="V517" s="81" t="s">
        <v>64</v>
      </c>
      <c r="W517" s="82">
        <v>6</v>
      </c>
      <c r="X517" s="63" t="s">
        <v>1463</v>
      </c>
      <c r="Y517" s="81">
        <v>43104</v>
      </c>
      <c r="Z517" s="83">
        <v>31518000</v>
      </c>
      <c r="AA517" s="84" t="s">
        <v>439</v>
      </c>
      <c r="AB517" s="85">
        <v>375</v>
      </c>
      <c r="AC517" s="81">
        <v>43110</v>
      </c>
      <c r="AD517" s="86">
        <v>31518000</v>
      </c>
      <c r="AE517" s="86">
        <f t="shared" si="60"/>
        <v>0</v>
      </c>
      <c r="AF517" s="85">
        <v>414</v>
      </c>
      <c r="AG517" s="81">
        <v>43124</v>
      </c>
      <c r="AH517" s="86">
        <v>31518000</v>
      </c>
      <c r="AI517" s="63" t="s">
        <v>1464</v>
      </c>
      <c r="AJ517" s="63">
        <v>335</v>
      </c>
      <c r="AK517" s="87">
        <f t="shared" si="57"/>
        <v>0</v>
      </c>
      <c r="AL517" s="86">
        <v>31518000</v>
      </c>
      <c r="AM517" s="86">
        <f t="shared" si="58"/>
        <v>0</v>
      </c>
      <c r="AN517" s="63" t="s">
        <v>1155</v>
      </c>
      <c r="AO517" s="86">
        <f t="shared" si="59"/>
        <v>0</v>
      </c>
      <c r="AP517" s="63"/>
      <c r="AQ517" s="63"/>
      <c r="AR517" s="63"/>
      <c r="AS517" s="63"/>
      <c r="AT517" s="63"/>
      <c r="AU517" s="220"/>
      <c r="AV517" s="220"/>
      <c r="AW517" s="220"/>
    </row>
    <row r="518" spans="1:49" s="221" customFormat="1" ht="384.75" x14ac:dyDescent="0.25">
      <c r="A518" s="63">
        <v>104</v>
      </c>
      <c r="B518" s="63" t="str">
        <f t="shared" si="56"/>
        <v>3075-104</v>
      </c>
      <c r="C518" s="76" t="s">
        <v>1141</v>
      </c>
      <c r="D518" s="76" t="s">
        <v>1142</v>
      </c>
      <c r="E518" s="76" t="s">
        <v>1424</v>
      </c>
      <c r="F518" s="76" t="s">
        <v>1158</v>
      </c>
      <c r="G518" s="77" t="s">
        <v>1159</v>
      </c>
      <c r="H518" s="101" t="s">
        <v>1160</v>
      </c>
      <c r="I518" s="76" t="s">
        <v>1147</v>
      </c>
      <c r="J518" s="76" t="s">
        <v>1148</v>
      </c>
      <c r="K518" s="76">
        <v>801116</v>
      </c>
      <c r="L518" s="63" t="s">
        <v>1149</v>
      </c>
      <c r="M518" s="63" t="s">
        <v>58</v>
      </c>
      <c r="N518" s="63" t="s">
        <v>59</v>
      </c>
      <c r="O518" s="76" t="s">
        <v>1213</v>
      </c>
      <c r="P518" s="63" t="s">
        <v>1465</v>
      </c>
      <c r="Q518" s="83">
        <v>3326900</v>
      </c>
      <c r="R518" s="98">
        <v>1</v>
      </c>
      <c r="S518" s="80">
        <v>19961400</v>
      </c>
      <c r="T518" s="63" t="s">
        <v>928</v>
      </c>
      <c r="U518" s="63" t="s">
        <v>1163</v>
      </c>
      <c r="V518" s="81" t="s">
        <v>64</v>
      </c>
      <c r="W518" s="82">
        <v>6</v>
      </c>
      <c r="X518" s="63" t="s">
        <v>1466</v>
      </c>
      <c r="Y518" s="81">
        <v>43104</v>
      </c>
      <c r="Z518" s="83">
        <v>19961400</v>
      </c>
      <c r="AA518" s="84" t="s">
        <v>439</v>
      </c>
      <c r="AB518" s="85">
        <v>437</v>
      </c>
      <c r="AC518" s="81">
        <v>43111</v>
      </c>
      <c r="AD518" s="86">
        <v>19961400</v>
      </c>
      <c r="AE518" s="86">
        <f t="shared" si="60"/>
        <v>0</v>
      </c>
      <c r="AF518" s="85">
        <v>449</v>
      </c>
      <c r="AG518" s="81">
        <v>43125</v>
      </c>
      <c r="AH518" s="86">
        <v>19961400</v>
      </c>
      <c r="AI518" s="63" t="s">
        <v>1467</v>
      </c>
      <c r="AJ518" s="63">
        <v>385</v>
      </c>
      <c r="AK518" s="87">
        <f t="shared" si="57"/>
        <v>0</v>
      </c>
      <c r="AL518" s="86">
        <v>19961400</v>
      </c>
      <c r="AM518" s="86">
        <f t="shared" si="58"/>
        <v>0</v>
      </c>
      <c r="AN518" s="63" t="s">
        <v>1155</v>
      </c>
      <c r="AO518" s="86">
        <f t="shared" si="59"/>
        <v>0</v>
      </c>
      <c r="AP518" s="63"/>
      <c r="AQ518" s="63"/>
      <c r="AR518" s="63"/>
      <c r="AS518" s="63"/>
      <c r="AT518" s="63"/>
      <c r="AU518" s="220"/>
      <c r="AV518" s="220"/>
      <c r="AW518" s="220"/>
    </row>
    <row r="519" spans="1:49" s="221" customFormat="1" ht="409.5" x14ac:dyDescent="0.25">
      <c r="A519" s="63">
        <v>105</v>
      </c>
      <c r="B519" s="63" t="str">
        <f t="shared" si="56"/>
        <v>3075-105</v>
      </c>
      <c r="C519" s="76" t="s">
        <v>1141</v>
      </c>
      <c r="D519" s="76" t="s">
        <v>1142</v>
      </c>
      <c r="E519" s="76" t="s">
        <v>1424</v>
      </c>
      <c r="F519" s="76" t="s">
        <v>1158</v>
      </c>
      <c r="G519" s="77" t="s">
        <v>1159</v>
      </c>
      <c r="H519" s="101" t="s">
        <v>1160</v>
      </c>
      <c r="I519" s="76" t="s">
        <v>1147</v>
      </c>
      <c r="J519" s="76" t="s">
        <v>1148</v>
      </c>
      <c r="K519" s="76">
        <v>801116</v>
      </c>
      <c r="L519" s="63" t="s">
        <v>1149</v>
      </c>
      <c r="M519" s="63" t="s">
        <v>58</v>
      </c>
      <c r="N519" s="63" t="s">
        <v>59</v>
      </c>
      <c r="O519" s="76" t="s">
        <v>1213</v>
      </c>
      <c r="P519" s="63" t="s">
        <v>1458</v>
      </c>
      <c r="Q519" s="83">
        <v>7210000</v>
      </c>
      <c r="R519" s="98">
        <v>1</v>
      </c>
      <c r="S519" s="80">
        <v>43260000</v>
      </c>
      <c r="T519" s="63" t="s">
        <v>888</v>
      </c>
      <c r="U519" s="63" t="s">
        <v>1163</v>
      </c>
      <c r="V519" s="81" t="s">
        <v>64</v>
      </c>
      <c r="W519" s="82">
        <v>6</v>
      </c>
      <c r="X519" s="63" t="s">
        <v>1468</v>
      </c>
      <c r="Y519" s="81">
        <v>43104</v>
      </c>
      <c r="Z519" s="83">
        <v>43260000</v>
      </c>
      <c r="AA519" s="84" t="s">
        <v>439</v>
      </c>
      <c r="AB519" s="85">
        <v>467</v>
      </c>
      <c r="AC519" s="81">
        <v>43112</v>
      </c>
      <c r="AD519" s="86">
        <v>43260000</v>
      </c>
      <c r="AE519" s="86">
        <f t="shared" si="60"/>
        <v>0</v>
      </c>
      <c r="AF519" s="85">
        <v>425</v>
      </c>
      <c r="AG519" s="81">
        <v>43124</v>
      </c>
      <c r="AH519" s="86">
        <v>43260000</v>
      </c>
      <c r="AI519" s="63" t="s">
        <v>1469</v>
      </c>
      <c r="AJ519" s="63">
        <v>367</v>
      </c>
      <c r="AK519" s="87">
        <f t="shared" si="57"/>
        <v>0</v>
      </c>
      <c r="AL519" s="86">
        <v>43260000</v>
      </c>
      <c r="AM519" s="86">
        <f t="shared" si="58"/>
        <v>0</v>
      </c>
      <c r="AN519" s="63" t="s">
        <v>1155</v>
      </c>
      <c r="AO519" s="86">
        <f t="shared" si="59"/>
        <v>0</v>
      </c>
      <c r="AP519" s="63"/>
      <c r="AQ519" s="63"/>
      <c r="AR519" s="63"/>
      <c r="AS519" s="63"/>
      <c r="AT519" s="63"/>
      <c r="AU519" s="220"/>
      <c r="AV519" s="220"/>
      <c r="AW519" s="220"/>
    </row>
    <row r="520" spans="1:49" s="221" customFormat="1" ht="409.5" x14ac:dyDescent="0.25">
      <c r="A520" s="63">
        <v>106</v>
      </c>
      <c r="B520" s="63" t="str">
        <f t="shared" si="56"/>
        <v>3075-106</v>
      </c>
      <c r="C520" s="76" t="s">
        <v>1141</v>
      </c>
      <c r="D520" s="76" t="s">
        <v>1142</v>
      </c>
      <c r="E520" s="76" t="s">
        <v>1424</v>
      </c>
      <c r="F520" s="76" t="s">
        <v>1158</v>
      </c>
      <c r="G520" s="77" t="s">
        <v>1159</v>
      </c>
      <c r="H520" s="101" t="s">
        <v>1160</v>
      </c>
      <c r="I520" s="76" t="s">
        <v>1147</v>
      </c>
      <c r="J520" s="76" t="s">
        <v>1148</v>
      </c>
      <c r="K520" s="76">
        <v>801116</v>
      </c>
      <c r="L520" s="63" t="s">
        <v>1149</v>
      </c>
      <c r="M520" s="63" t="s">
        <v>58</v>
      </c>
      <c r="N520" s="63" t="s">
        <v>59</v>
      </c>
      <c r="O520" s="76" t="s">
        <v>1213</v>
      </c>
      <c r="P520" s="63" t="s">
        <v>1458</v>
      </c>
      <c r="Q520" s="83">
        <v>6180000</v>
      </c>
      <c r="R520" s="98">
        <v>1</v>
      </c>
      <c r="S520" s="80">
        <v>37080000</v>
      </c>
      <c r="T520" s="63" t="s">
        <v>888</v>
      </c>
      <c r="U520" s="63" t="s">
        <v>1163</v>
      </c>
      <c r="V520" s="81" t="s">
        <v>64</v>
      </c>
      <c r="W520" s="82">
        <v>6</v>
      </c>
      <c r="X520" s="63" t="s">
        <v>1470</v>
      </c>
      <c r="Y520" s="81">
        <v>43105</v>
      </c>
      <c r="Z520" s="83">
        <v>37080000</v>
      </c>
      <c r="AA520" s="84" t="s">
        <v>439</v>
      </c>
      <c r="AB520" s="85">
        <v>456</v>
      </c>
      <c r="AC520" s="81">
        <v>43111</v>
      </c>
      <c r="AD520" s="86">
        <v>37080000</v>
      </c>
      <c r="AE520" s="86">
        <f t="shared" si="60"/>
        <v>0</v>
      </c>
      <c r="AF520" s="85">
        <v>335</v>
      </c>
      <c r="AG520" s="81">
        <v>43123</v>
      </c>
      <c r="AH520" s="86">
        <v>37080000</v>
      </c>
      <c r="AI520" s="63" t="s">
        <v>1471</v>
      </c>
      <c r="AJ520" s="63">
        <v>340</v>
      </c>
      <c r="AK520" s="87">
        <f t="shared" si="57"/>
        <v>0</v>
      </c>
      <c r="AL520" s="86">
        <v>37080000</v>
      </c>
      <c r="AM520" s="86">
        <f t="shared" si="58"/>
        <v>0</v>
      </c>
      <c r="AN520" s="63" t="s">
        <v>1155</v>
      </c>
      <c r="AO520" s="86">
        <f t="shared" si="59"/>
        <v>0</v>
      </c>
      <c r="AP520" s="63"/>
      <c r="AQ520" s="63"/>
      <c r="AR520" s="63"/>
      <c r="AS520" s="63"/>
      <c r="AT520" s="63"/>
      <c r="AU520" s="220"/>
      <c r="AV520" s="220"/>
      <c r="AW520" s="220"/>
    </row>
    <row r="521" spans="1:49" s="221" customFormat="1" ht="409.5" x14ac:dyDescent="0.25">
      <c r="A521" s="63">
        <v>107</v>
      </c>
      <c r="B521" s="63" t="str">
        <f t="shared" si="56"/>
        <v>3075-107</v>
      </c>
      <c r="C521" s="76" t="s">
        <v>1141</v>
      </c>
      <c r="D521" s="76" t="s">
        <v>1142</v>
      </c>
      <c r="E521" s="76" t="s">
        <v>1424</v>
      </c>
      <c r="F521" s="76" t="s">
        <v>1158</v>
      </c>
      <c r="G521" s="77" t="s">
        <v>1159</v>
      </c>
      <c r="H521" s="101" t="s">
        <v>1160</v>
      </c>
      <c r="I521" s="76" t="s">
        <v>1147</v>
      </c>
      <c r="J521" s="76" t="s">
        <v>1148</v>
      </c>
      <c r="K521" s="76">
        <v>801116</v>
      </c>
      <c r="L521" s="63" t="s">
        <v>1149</v>
      </c>
      <c r="M521" s="63" t="s">
        <v>58</v>
      </c>
      <c r="N521" s="63" t="s">
        <v>59</v>
      </c>
      <c r="O521" s="76" t="s">
        <v>1213</v>
      </c>
      <c r="P521" s="63" t="s">
        <v>1472</v>
      </c>
      <c r="Q521" s="83">
        <v>1545000</v>
      </c>
      <c r="R521" s="98">
        <v>1</v>
      </c>
      <c r="S521" s="80">
        <v>9270000</v>
      </c>
      <c r="T521" s="63" t="s">
        <v>928</v>
      </c>
      <c r="U521" s="63" t="s">
        <v>1163</v>
      </c>
      <c r="V521" s="81" t="s">
        <v>64</v>
      </c>
      <c r="W521" s="82">
        <v>6</v>
      </c>
      <c r="X521" s="63" t="s">
        <v>1473</v>
      </c>
      <c r="Y521" s="81">
        <v>43104</v>
      </c>
      <c r="Z521" s="83">
        <v>9270000</v>
      </c>
      <c r="AA521" s="84" t="s">
        <v>439</v>
      </c>
      <c r="AB521" s="85">
        <v>439</v>
      </c>
      <c r="AC521" s="81">
        <v>43111</v>
      </c>
      <c r="AD521" s="86">
        <v>9270000</v>
      </c>
      <c r="AE521" s="86">
        <f t="shared" si="60"/>
        <v>0</v>
      </c>
      <c r="AF521" s="85">
        <v>290</v>
      </c>
      <c r="AG521" s="81">
        <v>43122</v>
      </c>
      <c r="AH521" s="86">
        <v>9270000</v>
      </c>
      <c r="AI521" s="63" t="s">
        <v>1474</v>
      </c>
      <c r="AJ521" s="63">
        <v>259</v>
      </c>
      <c r="AK521" s="87">
        <f t="shared" si="57"/>
        <v>0</v>
      </c>
      <c r="AL521" s="86">
        <v>9270000</v>
      </c>
      <c r="AM521" s="86">
        <f t="shared" si="58"/>
        <v>0</v>
      </c>
      <c r="AN521" s="63" t="s">
        <v>1155</v>
      </c>
      <c r="AO521" s="86">
        <f t="shared" si="59"/>
        <v>0</v>
      </c>
      <c r="AP521" s="63"/>
      <c r="AQ521" s="63"/>
      <c r="AR521" s="63"/>
      <c r="AS521" s="63"/>
      <c r="AT521" s="63"/>
      <c r="AU521" s="220"/>
      <c r="AV521" s="220"/>
      <c r="AW521" s="220"/>
    </row>
    <row r="522" spans="1:49" s="221" customFormat="1" ht="342" x14ac:dyDescent="0.25">
      <c r="A522" s="63">
        <v>108</v>
      </c>
      <c r="B522" s="63" t="str">
        <f t="shared" si="56"/>
        <v>3075-108</v>
      </c>
      <c r="C522" s="76" t="s">
        <v>1141</v>
      </c>
      <c r="D522" s="76" t="s">
        <v>1142</v>
      </c>
      <c r="E522" s="76" t="s">
        <v>1424</v>
      </c>
      <c r="F522" s="76" t="s">
        <v>1158</v>
      </c>
      <c r="G522" s="77" t="s">
        <v>1159</v>
      </c>
      <c r="H522" s="101" t="s">
        <v>1160</v>
      </c>
      <c r="I522" s="76" t="s">
        <v>1147</v>
      </c>
      <c r="J522" s="76" t="s">
        <v>1148</v>
      </c>
      <c r="K522" s="76">
        <v>80111600</v>
      </c>
      <c r="L522" s="63" t="s">
        <v>1149</v>
      </c>
      <c r="M522" s="63" t="s">
        <v>58</v>
      </c>
      <c r="N522" s="63" t="s">
        <v>59</v>
      </c>
      <c r="O522" s="76" t="s">
        <v>1213</v>
      </c>
      <c r="P522" s="63" t="s">
        <v>1475</v>
      </c>
      <c r="Q522" s="83">
        <v>7210000</v>
      </c>
      <c r="R522" s="98">
        <v>1</v>
      </c>
      <c r="S522" s="80">
        <f>10506000-10046040-26400-18600+4573200+17385000+6466840</f>
        <v>28840000</v>
      </c>
      <c r="T522" s="63" t="s">
        <v>888</v>
      </c>
      <c r="U522" s="63" t="s">
        <v>1163</v>
      </c>
      <c r="V522" s="81" t="s">
        <v>431</v>
      </c>
      <c r="W522" s="82">
        <v>4</v>
      </c>
      <c r="X522" s="63" t="s">
        <v>1476</v>
      </c>
      <c r="Y522" s="81">
        <v>43327</v>
      </c>
      <c r="Z522" s="83">
        <v>28840000</v>
      </c>
      <c r="AA522" s="84" t="s">
        <v>1477</v>
      </c>
      <c r="AB522" s="85">
        <v>1067</v>
      </c>
      <c r="AC522" s="81">
        <v>43327</v>
      </c>
      <c r="AD522" s="86">
        <v>28840000</v>
      </c>
      <c r="AE522" s="86">
        <f t="shared" si="60"/>
        <v>0</v>
      </c>
      <c r="AF522" s="85">
        <v>2713</v>
      </c>
      <c r="AG522" s="81">
        <v>43334</v>
      </c>
      <c r="AH522" s="86">
        <v>28840000</v>
      </c>
      <c r="AI522" s="63" t="s">
        <v>1478</v>
      </c>
      <c r="AJ522" s="63">
        <v>527</v>
      </c>
      <c r="AK522" s="87">
        <f t="shared" si="57"/>
        <v>0</v>
      </c>
      <c r="AL522" s="86">
        <v>2163000</v>
      </c>
      <c r="AM522" s="86">
        <f t="shared" si="58"/>
        <v>26677000</v>
      </c>
      <c r="AN522" s="63" t="s">
        <v>1155</v>
      </c>
      <c r="AO522" s="86">
        <f t="shared" si="59"/>
        <v>0</v>
      </c>
      <c r="AP522" s="63"/>
      <c r="AQ522" s="63"/>
      <c r="AR522" s="63"/>
      <c r="AS522" s="63"/>
      <c r="AT522" s="63"/>
      <c r="AU522" s="220"/>
      <c r="AV522" s="220"/>
      <c r="AW522" s="220"/>
    </row>
    <row r="523" spans="1:49" s="221" customFormat="1" ht="342" x14ac:dyDescent="0.25">
      <c r="A523" s="63">
        <v>109</v>
      </c>
      <c r="B523" s="63" t="str">
        <f t="shared" si="56"/>
        <v>3075-109</v>
      </c>
      <c r="C523" s="76" t="s">
        <v>1141</v>
      </c>
      <c r="D523" s="76" t="s">
        <v>1142</v>
      </c>
      <c r="E523" s="76" t="s">
        <v>1424</v>
      </c>
      <c r="F523" s="76" t="s">
        <v>1158</v>
      </c>
      <c r="G523" s="77" t="s">
        <v>1159</v>
      </c>
      <c r="H523" s="101" t="s">
        <v>1160</v>
      </c>
      <c r="I523" s="76" t="s">
        <v>1147</v>
      </c>
      <c r="J523" s="76" t="s">
        <v>1148</v>
      </c>
      <c r="K523" s="76">
        <v>93141506</v>
      </c>
      <c r="L523" s="63" t="s">
        <v>1149</v>
      </c>
      <c r="M523" s="63" t="s">
        <v>58</v>
      </c>
      <c r="N523" s="63" t="s">
        <v>59</v>
      </c>
      <c r="O523" s="76" t="s">
        <v>1213</v>
      </c>
      <c r="P523" s="63" t="s">
        <v>1287</v>
      </c>
      <c r="Q523" s="83">
        <v>5253000</v>
      </c>
      <c r="R523" s="98">
        <v>1</v>
      </c>
      <c r="S523" s="80">
        <f>19961400+18600+1032000</f>
        <v>21012000</v>
      </c>
      <c r="T523" s="63" t="s">
        <v>888</v>
      </c>
      <c r="U523" s="63" t="s">
        <v>1163</v>
      </c>
      <c r="V523" s="81" t="s">
        <v>431</v>
      </c>
      <c r="W523" s="82">
        <v>4</v>
      </c>
      <c r="X523" s="63" t="s">
        <v>1479</v>
      </c>
      <c r="Y523" s="81">
        <v>43321</v>
      </c>
      <c r="Z523" s="83">
        <v>21012000</v>
      </c>
      <c r="AA523" s="84" t="s">
        <v>439</v>
      </c>
      <c r="AB523" s="85">
        <v>1048</v>
      </c>
      <c r="AC523" s="81">
        <v>43322</v>
      </c>
      <c r="AD523" s="86">
        <v>21012000</v>
      </c>
      <c r="AE523" s="86">
        <f t="shared" si="60"/>
        <v>0</v>
      </c>
      <c r="AF523" s="85">
        <v>2708</v>
      </c>
      <c r="AG523" s="81">
        <v>43334</v>
      </c>
      <c r="AH523" s="86">
        <v>21012000</v>
      </c>
      <c r="AI523" s="63" t="s">
        <v>1480</v>
      </c>
      <c r="AJ523" s="63">
        <v>516</v>
      </c>
      <c r="AK523" s="87">
        <f t="shared" si="57"/>
        <v>0</v>
      </c>
      <c r="AL523" s="86">
        <v>1575900</v>
      </c>
      <c r="AM523" s="86">
        <f t="shared" si="58"/>
        <v>19436100</v>
      </c>
      <c r="AN523" s="63" t="s">
        <v>1155</v>
      </c>
      <c r="AO523" s="86">
        <f t="shared" si="59"/>
        <v>0</v>
      </c>
      <c r="AP523" s="63" t="s">
        <v>1481</v>
      </c>
      <c r="AQ523" s="81">
        <v>43320</v>
      </c>
      <c r="AR523" s="63" t="s">
        <v>1156</v>
      </c>
      <c r="AS523" s="81">
        <v>43321</v>
      </c>
      <c r="AT523" s="63" t="s">
        <v>1453</v>
      </c>
      <c r="AU523" s="220"/>
      <c r="AV523" s="220"/>
      <c r="AW523" s="220"/>
    </row>
    <row r="524" spans="1:49" s="221" customFormat="1" ht="409.5" x14ac:dyDescent="0.25">
      <c r="A524" s="63">
        <v>110</v>
      </c>
      <c r="B524" s="63" t="str">
        <f t="shared" si="56"/>
        <v>3075-110</v>
      </c>
      <c r="C524" s="76" t="s">
        <v>1141</v>
      </c>
      <c r="D524" s="76" t="s">
        <v>1142</v>
      </c>
      <c r="E524" s="76" t="s">
        <v>1424</v>
      </c>
      <c r="F524" s="76" t="s">
        <v>1158</v>
      </c>
      <c r="G524" s="77" t="s">
        <v>1159</v>
      </c>
      <c r="H524" s="101" t="s">
        <v>1160</v>
      </c>
      <c r="I524" s="76" t="s">
        <v>1147</v>
      </c>
      <c r="J524" s="76" t="s">
        <v>1148</v>
      </c>
      <c r="K524" s="76">
        <v>801116</v>
      </c>
      <c r="L524" s="63" t="s">
        <v>1149</v>
      </c>
      <c r="M524" s="63" t="s">
        <v>58</v>
      </c>
      <c r="N524" s="63" t="s">
        <v>59</v>
      </c>
      <c r="O524" s="76" t="s">
        <v>1213</v>
      </c>
      <c r="P524" s="63" t="s">
        <v>1482</v>
      </c>
      <c r="Q524" s="83">
        <v>3399000</v>
      </c>
      <c r="R524" s="98">
        <v>5</v>
      </c>
      <c r="S524" s="80">
        <f>8232000-1032000</f>
        <v>7200000</v>
      </c>
      <c r="T524" s="63" t="s">
        <v>928</v>
      </c>
      <c r="U524" s="63" t="s">
        <v>1163</v>
      </c>
      <c r="V524" s="81" t="s">
        <v>724</v>
      </c>
      <c r="W524" s="82">
        <v>6</v>
      </c>
      <c r="X524" s="63" t="s">
        <v>1483</v>
      </c>
      <c r="Y524" s="81">
        <v>43167</v>
      </c>
      <c r="Z524" s="83">
        <v>7200000</v>
      </c>
      <c r="AA524" s="84" t="s">
        <v>439</v>
      </c>
      <c r="AB524" s="85">
        <v>711</v>
      </c>
      <c r="AC524" s="81">
        <v>43168</v>
      </c>
      <c r="AD524" s="86">
        <v>7200000</v>
      </c>
      <c r="AE524" s="86">
        <f t="shared" si="60"/>
        <v>0</v>
      </c>
      <c r="AF524" s="85">
        <v>1639</v>
      </c>
      <c r="AG524" s="81">
        <v>43182</v>
      </c>
      <c r="AH524" s="86">
        <v>7200000</v>
      </c>
      <c r="AI524" s="63" t="s">
        <v>1484</v>
      </c>
      <c r="AJ524" s="63">
        <v>569</v>
      </c>
      <c r="AK524" s="87">
        <f t="shared" si="57"/>
        <v>0</v>
      </c>
      <c r="AL524" s="86">
        <v>5200000</v>
      </c>
      <c r="AM524" s="86">
        <f t="shared" si="58"/>
        <v>2000000</v>
      </c>
      <c r="AN524" s="63" t="s">
        <v>1155</v>
      </c>
      <c r="AO524" s="86">
        <f t="shared" si="59"/>
        <v>0</v>
      </c>
      <c r="AP524" s="63" t="s">
        <v>1485</v>
      </c>
      <c r="AQ524" s="81">
        <v>43167</v>
      </c>
      <c r="AR524" s="63" t="s">
        <v>1156</v>
      </c>
      <c r="AS524" s="81">
        <v>43167</v>
      </c>
      <c r="AT524" s="63" t="s">
        <v>1453</v>
      </c>
      <c r="AU524" s="220"/>
      <c r="AV524" s="220"/>
      <c r="AW524" s="220"/>
    </row>
    <row r="525" spans="1:49" s="221" customFormat="1" ht="342" x14ac:dyDescent="0.25">
      <c r="A525" s="63">
        <v>111</v>
      </c>
      <c r="B525" s="63" t="str">
        <f t="shared" si="56"/>
        <v>3075-111</v>
      </c>
      <c r="C525" s="76" t="s">
        <v>1141</v>
      </c>
      <c r="D525" s="76" t="s">
        <v>1142</v>
      </c>
      <c r="E525" s="76" t="s">
        <v>1424</v>
      </c>
      <c r="F525" s="76" t="s">
        <v>1158</v>
      </c>
      <c r="G525" s="77" t="s">
        <v>1159</v>
      </c>
      <c r="H525" s="101" t="s">
        <v>1160</v>
      </c>
      <c r="I525" s="76" t="s">
        <v>1147</v>
      </c>
      <c r="J525" s="76" t="s">
        <v>1148</v>
      </c>
      <c r="K525" s="76">
        <v>93141506</v>
      </c>
      <c r="L525" s="63" t="s">
        <v>1149</v>
      </c>
      <c r="M525" s="63" t="s">
        <v>58</v>
      </c>
      <c r="N525" s="63" t="s">
        <v>59</v>
      </c>
      <c r="O525" s="76" t="s">
        <v>1213</v>
      </c>
      <c r="P525" s="63" t="s">
        <v>1287</v>
      </c>
      <c r="Q525" s="83">
        <v>7210000</v>
      </c>
      <c r="R525" s="98">
        <v>1</v>
      </c>
      <c r="S525" s="80">
        <f>28428000+309000+26400+76600</f>
        <v>28840000</v>
      </c>
      <c r="T525" s="63" t="s">
        <v>888</v>
      </c>
      <c r="U525" s="63" t="s">
        <v>1163</v>
      </c>
      <c r="V525" s="81" t="s">
        <v>431</v>
      </c>
      <c r="W525" s="82">
        <v>4</v>
      </c>
      <c r="X525" s="63" t="s">
        <v>1486</v>
      </c>
      <c r="Y525" s="81">
        <v>43321</v>
      </c>
      <c r="Z525" s="83">
        <v>28840000</v>
      </c>
      <c r="AA525" s="84" t="s">
        <v>1487</v>
      </c>
      <c r="AB525" s="85">
        <v>1052</v>
      </c>
      <c r="AC525" s="81">
        <v>43322</v>
      </c>
      <c r="AD525" s="86">
        <v>28840000</v>
      </c>
      <c r="AE525" s="86">
        <f t="shared" si="60"/>
        <v>0</v>
      </c>
      <c r="AF525" s="85">
        <v>2709</v>
      </c>
      <c r="AG525" s="81">
        <v>43334</v>
      </c>
      <c r="AH525" s="86">
        <v>28840000</v>
      </c>
      <c r="AI525" s="63" t="s">
        <v>1488</v>
      </c>
      <c r="AJ525" s="63">
        <v>513</v>
      </c>
      <c r="AK525" s="87">
        <f t="shared" si="57"/>
        <v>0</v>
      </c>
      <c r="AL525" s="86">
        <v>2163000</v>
      </c>
      <c r="AM525" s="86">
        <f t="shared" si="58"/>
        <v>26677000</v>
      </c>
      <c r="AN525" s="63" t="s">
        <v>1155</v>
      </c>
      <c r="AO525" s="86">
        <f t="shared" si="59"/>
        <v>0</v>
      </c>
      <c r="AP525" s="63"/>
      <c r="AQ525" s="81">
        <v>43320</v>
      </c>
      <c r="AR525" s="63" t="s">
        <v>1156</v>
      </c>
      <c r="AS525" s="81">
        <v>43321</v>
      </c>
      <c r="AT525" s="63" t="s">
        <v>1453</v>
      </c>
      <c r="AU525" s="220"/>
      <c r="AV525" s="220"/>
      <c r="AW525" s="220"/>
    </row>
    <row r="526" spans="1:49" s="221" customFormat="1" ht="342" x14ac:dyDescent="0.25">
      <c r="A526" s="63">
        <v>112</v>
      </c>
      <c r="B526" s="63" t="str">
        <f t="shared" si="56"/>
        <v>3075-112</v>
      </c>
      <c r="C526" s="76" t="s">
        <v>1141</v>
      </c>
      <c r="D526" s="76" t="s">
        <v>1142</v>
      </c>
      <c r="E526" s="76" t="s">
        <v>1424</v>
      </c>
      <c r="F526" s="76" t="s">
        <v>1158</v>
      </c>
      <c r="G526" s="77" t="s">
        <v>1159</v>
      </c>
      <c r="H526" s="101" t="s">
        <v>1160</v>
      </c>
      <c r="I526" s="76" t="s">
        <v>1147</v>
      </c>
      <c r="J526" s="76" t="s">
        <v>1148</v>
      </c>
      <c r="K526" s="76">
        <v>81101500</v>
      </c>
      <c r="L526" s="63" t="s">
        <v>1149</v>
      </c>
      <c r="M526" s="63" t="s">
        <v>58</v>
      </c>
      <c r="N526" s="63" t="s">
        <v>59</v>
      </c>
      <c r="O526" s="76" t="s">
        <v>1213</v>
      </c>
      <c r="P526" s="63" t="s">
        <v>1241</v>
      </c>
      <c r="Q526" s="83">
        <v>5036700</v>
      </c>
      <c r="R526" s="98">
        <v>1</v>
      </c>
      <c r="S526" s="80">
        <f>24720000-4573200</f>
        <v>20146800</v>
      </c>
      <c r="T526" s="63" t="s">
        <v>888</v>
      </c>
      <c r="U526" s="63" t="s">
        <v>1163</v>
      </c>
      <c r="V526" s="81" t="s">
        <v>431</v>
      </c>
      <c r="W526" s="82">
        <v>4</v>
      </c>
      <c r="X526" s="63" t="s">
        <v>1489</v>
      </c>
      <c r="Y526" s="81">
        <v>43321</v>
      </c>
      <c r="Z526" s="83">
        <v>20146800</v>
      </c>
      <c r="AA526" s="84"/>
      <c r="AB526" s="85">
        <v>1050</v>
      </c>
      <c r="AC526" s="81">
        <v>43322</v>
      </c>
      <c r="AD526" s="86">
        <v>20146800</v>
      </c>
      <c r="AE526" s="86">
        <f t="shared" si="60"/>
        <v>0</v>
      </c>
      <c r="AF526" s="85">
        <v>2712</v>
      </c>
      <c r="AG526" s="81">
        <v>43334</v>
      </c>
      <c r="AH526" s="86">
        <v>20146800</v>
      </c>
      <c r="AI526" s="63" t="s">
        <v>1490</v>
      </c>
      <c r="AJ526" s="63">
        <v>517</v>
      </c>
      <c r="AK526" s="87">
        <f t="shared" si="57"/>
        <v>0</v>
      </c>
      <c r="AL526" s="86">
        <v>1511010</v>
      </c>
      <c r="AM526" s="86">
        <f t="shared" si="58"/>
        <v>18635790</v>
      </c>
      <c r="AN526" s="63" t="s">
        <v>1155</v>
      </c>
      <c r="AO526" s="86">
        <f t="shared" si="59"/>
        <v>0</v>
      </c>
      <c r="AP526" s="63"/>
      <c r="AQ526" s="81">
        <v>43320</v>
      </c>
      <c r="AR526" s="63" t="s">
        <v>1156</v>
      </c>
      <c r="AS526" s="81">
        <v>43321</v>
      </c>
      <c r="AT526" s="63" t="s">
        <v>1453</v>
      </c>
      <c r="AU526" s="220"/>
      <c r="AV526" s="220"/>
      <c r="AW526" s="220"/>
    </row>
    <row r="527" spans="1:49" s="221" customFormat="1" ht="409.5" x14ac:dyDescent="0.25">
      <c r="A527" s="63">
        <v>113</v>
      </c>
      <c r="B527" s="63" t="str">
        <f t="shared" si="56"/>
        <v>3075-113</v>
      </c>
      <c r="C527" s="76" t="s">
        <v>1141</v>
      </c>
      <c r="D527" s="76" t="s">
        <v>1142</v>
      </c>
      <c r="E527" s="76" t="s">
        <v>1424</v>
      </c>
      <c r="F527" s="76" t="s">
        <v>1158</v>
      </c>
      <c r="G527" s="77" t="s">
        <v>1159</v>
      </c>
      <c r="H527" s="101" t="s">
        <v>1160</v>
      </c>
      <c r="I527" s="76" t="s">
        <v>1147</v>
      </c>
      <c r="J527" s="76" t="s">
        <v>1148</v>
      </c>
      <c r="K527" s="76">
        <v>801116</v>
      </c>
      <c r="L527" s="63" t="s">
        <v>1149</v>
      </c>
      <c r="M527" s="63" t="s">
        <v>58</v>
      </c>
      <c r="N527" s="63" t="s">
        <v>59</v>
      </c>
      <c r="O527" s="76" t="s">
        <v>1213</v>
      </c>
      <c r="P527" s="63" t="s">
        <v>1491</v>
      </c>
      <c r="Q527" s="83">
        <v>4532000</v>
      </c>
      <c r="R527" s="98">
        <v>1</v>
      </c>
      <c r="S527" s="80">
        <v>49852000</v>
      </c>
      <c r="T527" s="63" t="s">
        <v>888</v>
      </c>
      <c r="U527" s="63" t="s">
        <v>1163</v>
      </c>
      <c r="V527" s="81" t="s">
        <v>64</v>
      </c>
      <c r="W527" s="82">
        <v>11</v>
      </c>
      <c r="X527" s="63" t="s">
        <v>1492</v>
      </c>
      <c r="Y527" s="81">
        <v>43104</v>
      </c>
      <c r="Z527" s="83">
        <v>49852000</v>
      </c>
      <c r="AA527" s="84" t="s">
        <v>439</v>
      </c>
      <c r="AB527" s="85">
        <v>459</v>
      </c>
      <c r="AC527" s="81">
        <v>43111</v>
      </c>
      <c r="AD527" s="86">
        <v>49852000</v>
      </c>
      <c r="AE527" s="86">
        <f t="shared" si="60"/>
        <v>0</v>
      </c>
      <c r="AF527" s="85">
        <v>208</v>
      </c>
      <c r="AG527" s="81">
        <v>43118</v>
      </c>
      <c r="AH527" s="86">
        <v>49852000</v>
      </c>
      <c r="AI527" s="63" t="s">
        <v>1493</v>
      </c>
      <c r="AJ527" s="63">
        <v>171</v>
      </c>
      <c r="AK527" s="87">
        <f t="shared" si="57"/>
        <v>0</v>
      </c>
      <c r="AL527" s="86">
        <v>33536800</v>
      </c>
      <c r="AM527" s="86">
        <f t="shared" si="58"/>
        <v>16315200</v>
      </c>
      <c r="AN527" s="63" t="s">
        <v>1155</v>
      </c>
      <c r="AO527" s="86">
        <f t="shared" si="59"/>
        <v>0</v>
      </c>
      <c r="AP527" s="63"/>
      <c r="AQ527" s="63"/>
      <c r="AR527" s="63"/>
      <c r="AS527" s="63"/>
      <c r="AT527" s="63"/>
      <c r="AU527" s="220"/>
      <c r="AV527" s="220"/>
      <c r="AW527" s="220"/>
    </row>
    <row r="528" spans="1:49" s="221" customFormat="1" ht="342" x14ac:dyDescent="0.25">
      <c r="A528" s="63">
        <v>114</v>
      </c>
      <c r="B528" s="63" t="str">
        <f t="shared" si="56"/>
        <v>3075-114</v>
      </c>
      <c r="C528" s="76" t="s">
        <v>1141</v>
      </c>
      <c r="D528" s="76" t="s">
        <v>1142</v>
      </c>
      <c r="E528" s="76" t="s">
        <v>1424</v>
      </c>
      <c r="F528" s="76" t="s">
        <v>1158</v>
      </c>
      <c r="G528" s="77" t="s">
        <v>1159</v>
      </c>
      <c r="H528" s="101" t="s">
        <v>1160</v>
      </c>
      <c r="I528" s="76" t="s">
        <v>1147</v>
      </c>
      <c r="J528" s="76" t="s">
        <v>1148</v>
      </c>
      <c r="K528" s="76">
        <v>81101500</v>
      </c>
      <c r="L528" s="63" t="s">
        <v>1149</v>
      </c>
      <c r="M528" s="63" t="s">
        <v>58</v>
      </c>
      <c r="N528" s="63" t="s">
        <v>59</v>
      </c>
      <c r="O528" s="76" t="s">
        <v>1213</v>
      </c>
      <c r="P528" s="63" t="s">
        <v>1241</v>
      </c>
      <c r="Q528" s="83">
        <v>3553500</v>
      </c>
      <c r="R528" s="98">
        <v>1</v>
      </c>
      <c r="S528" s="80">
        <f>52611000-21012000-17385000</f>
        <v>14214000</v>
      </c>
      <c r="T528" s="63" t="s">
        <v>888</v>
      </c>
      <c r="U528" s="63" t="s">
        <v>1163</v>
      </c>
      <c r="V528" s="81" t="s">
        <v>431</v>
      </c>
      <c r="W528" s="82">
        <v>4</v>
      </c>
      <c r="X528" s="63" t="s">
        <v>1494</v>
      </c>
      <c r="Y528" s="81">
        <v>43321</v>
      </c>
      <c r="Z528" s="83">
        <v>14214000</v>
      </c>
      <c r="AA528" s="84"/>
      <c r="AB528" s="85">
        <v>1043</v>
      </c>
      <c r="AC528" s="81">
        <v>43322</v>
      </c>
      <c r="AD528" s="86">
        <v>14214000</v>
      </c>
      <c r="AE528" s="86">
        <f t="shared" si="60"/>
        <v>0</v>
      </c>
      <c r="AF528" s="85">
        <v>2727</v>
      </c>
      <c r="AG528" s="81">
        <v>43335</v>
      </c>
      <c r="AH528" s="86">
        <v>14214000</v>
      </c>
      <c r="AI528" s="63" t="s">
        <v>1495</v>
      </c>
      <c r="AJ528" s="63">
        <v>522</v>
      </c>
      <c r="AK528" s="87">
        <f t="shared" si="57"/>
        <v>0</v>
      </c>
      <c r="AL528" s="86">
        <v>947600</v>
      </c>
      <c r="AM528" s="86">
        <f t="shared" si="58"/>
        <v>13266400</v>
      </c>
      <c r="AN528" s="63" t="s">
        <v>1155</v>
      </c>
      <c r="AO528" s="86">
        <f t="shared" si="59"/>
        <v>0</v>
      </c>
      <c r="AP528" s="63"/>
      <c r="AQ528" s="81">
        <v>43320</v>
      </c>
      <c r="AR528" s="63" t="s">
        <v>1156</v>
      </c>
      <c r="AS528" s="81">
        <v>43321</v>
      </c>
      <c r="AT528" s="63" t="s">
        <v>1453</v>
      </c>
      <c r="AU528" s="220"/>
      <c r="AV528" s="220"/>
      <c r="AW528" s="220"/>
    </row>
    <row r="529" spans="1:49" s="221" customFormat="1" ht="342" x14ac:dyDescent="0.25">
      <c r="A529" s="63">
        <v>115</v>
      </c>
      <c r="B529" s="63" t="str">
        <f t="shared" si="56"/>
        <v>3075-115</v>
      </c>
      <c r="C529" s="76" t="s">
        <v>1141</v>
      </c>
      <c r="D529" s="76" t="s">
        <v>1142</v>
      </c>
      <c r="E529" s="76" t="s">
        <v>1424</v>
      </c>
      <c r="F529" s="76" t="s">
        <v>1158</v>
      </c>
      <c r="G529" s="77" t="s">
        <v>1159</v>
      </c>
      <c r="H529" s="101" t="s">
        <v>1160</v>
      </c>
      <c r="I529" s="76" t="s">
        <v>1147</v>
      </c>
      <c r="J529" s="76" t="s">
        <v>1148</v>
      </c>
      <c r="K529" s="76">
        <v>80111600</v>
      </c>
      <c r="L529" s="63" t="s">
        <v>1149</v>
      </c>
      <c r="M529" s="63" t="s">
        <v>58</v>
      </c>
      <c r="N529" s="63" t="s">
        <v>59</v>
      </c>
      <c r="O529" s="76" t="s">
        <v>1213</v>
      </c>
      <c r="P529" s="63" t="s">
        <v>1496</v>
      </c>
      <c r="Q529" s="83">
        <v>4120000</v>
      </c>
      <c r="R529" s="98">
        <v>1</v>
      </c>
      <c r="S529" s="80">
        <f>33990000-6755240</f>
        <v>27234760</v>
      </c>
      <c r="T529" s="63" t="s">
        <v>888</v>
      </c>
      <c r="U529" s="63" t="s">
        <v>1163</v>
      </c>
      <c r="V529" s="81" t="s">
        <v>431</v>
      </c>
      <c r="W529" s="82">
        <v>4</v>
      </c>
      <c r="X529" s="63" t="s">
        <v>1497</v>
      </c>
      <c r="Y529" s="81">
        <v>43321</v>
      </c>
      <c r="Z529" s="83">
        <v>16480000</v>
      </c>
      <c r="AA529" s="84"/>
      <c r="AB529" s="85">
        <v>1044</v>
      </c>
      <c r="AC529" s="81">
        <v>43322</v>
      </c>
      <c r="AD529" s="86">
        <v>16480000</v>
      </c>
      <c r="AE529" s="86">
        <f t="shared" si="60"/>
        <v>10754760</v>
      </c>
      <c r="AF529" s="85">
        <v>2724</v>
      </c>
      <c r="AG529" s="81">
        <v>43335</v>
      </c>
      <c r="AH529" s="86">
        <v>16480000</v>
      </c>
      <c r="AI529" s="63" t="s">
        <v>1498</v>
      </c>
      <c r="AJ529" s="63">
        <v>528</v>
      </c>
      <c r="AK529" s="87">
        <f t="shared" si="57"/>
        <v>0</v>
      </c>
      <c r="AL529" s="86">
        <v>1098667</v>
      </c>
      <c r="AM529" s="86">
        <f t="shared" si="58"/>
        <v>15381333</v>
      </c>
      <c r="AN529" s="63" t="s">
        <v>1155</v>
      </c>
      <c r="AO529" s="86">
        <f t="shared" si="59"/>
        <v>10754760</v>
      </c>
      <c r="AP529" s="63"/>
      <c r="AQ529" s="81">
        <v>43320</v>
      </c>
      <c r="AR529" s="63" t="s">
        <v>1156</v>
      </c>
      <c r="AS529" s="81">
        <v>43321</v>
      </c>
      <c r="AT529" s="63" t="s">
        <v>1453</v>
      </c>
      <c r="AU529" s="220"/>
      <c r="AV529" s="220"/>
      <c r="AW529" s="220"/>
    </row>
    <row r="530" spans="1:49" s="221" customFormat="1" ht="409.5" x14ac:dyDescent="0.25">
      <c r="A530" s="63">
        <v>116</v>
      </c>
      <c r="B530" s="63" t="str">
        <f t="shared" si="56"/>
        <v>3075-116</v>
      </c>
      <c r="C530" s="76" t="s">
        <v>1141</v>
      </c>
      <c r="D530" s="76" t="s">
        <v>1142</v>
      </c>
      <c r="E530" s="76" t="s">
        <v>1424</v>
      </c>
      <c r="F530" s="76" t="s">
        <v>1158</v>
      </c>
      <c r="G530" s="77" t="s">
        <v>1159</v>
      </c>
      <c r="H530" s="101" t="s">
        <v>1160</v>
      </c>
      <c r="I530" s="76" t="s">
        <v>1147</v>
      </c>
      <c r="J530" s="76" t="s">
        <v>1148</v>
      </c>
      <c r="K530" s="76">
        <v>801116</v>
      </c>
      <c r="L530" s="63" t="s">
        <v>1149</v>
      </c>
      <c r="M530" s="63" t="s">
        <v>58</v>
      </c>
      <c r="N530" s="63" t="s">
        <v>59</v>
      </c>
      <c r="O530" s="76" t="s">
        <v>1213</v>
      </c>
      <c r="P530" s="63" t="s">
        <v>1499</v>
      </c>
      <c r="Q530" s="83">
        <v>2472000</v>
      </c>
      <c r="R530" s="98">
        <v>1</v>
      </c>
      <c r="S530" s="80">
        <f>14832000-76600-85400</f>
        <v>14670000</v>
      </c>
      <c r="T530" s="63" t="s">
        <v>888</v>
      </c>
      <c r="U530" s="63" t="s">
        <v>1163</v>
      </c>
      <c r="V530" s="81" t="s">
        <v>724</v>
      </c>
      <c r="W530" s="82">
        <v>6</v>
      </c>
      <c r="X530" s="63" t="s">
        <v>1500</v>
      </c>
      <c r="Y530" s="81">
        <v>43167</v>
      </c>
      <c r="Z530" s="83">
        <v>14670000</v>
      </c>
      <c r="AA530" s="84" t="s">
        <v>439</v>
      </c>
      <c r="AB530" s="85">
        <v>707</v>
      </c>
      <c r="AC530" s="81">
        <v>43168</v>
      </c>
      <c r="AD530" s="86">
        <v>14670000</v>
      </c>
      <c r="AE530" s="86">
        <f t="shared" si="60"/>
        <v>0</v>
      </c>
      <c r="AF530" s="85">
        <v>1574</v>
      </c>
      <c r="AG530" s="81">
        <v>43173</v>
      </c>
      <c r="AH530" s="86">
        <v>14670000</v>
      </c>
      <c r="AI530" s="63" t="s">
        <v>1501</v>
      </c>
      <c r="AJ530" s="63">
        <v>539</v>
      </c>
      <c r="AK530" s="87">
        <f t="shared" si="57"/>
        <v>0</v>
      </c>
      <c r="AL530" s="86">
        <v>14670000</v>
      </c>
      <c r="AM530" s="86">
        <f t="shared" si="58"/>
        <v>0</v>
      </c>
      <c r="AN530" s="63" t="s">
        <v>1155</v>
      </c>
      <c r="AO530" s="86">
        <f t="shared" si="59"/>
        <v>0</v>
      </c>
      <c r="AP530" s="63" t="s">
        <v>1502</v>
      </c>
      <c r="AQ530" s="63"/>
      <c r="AR530" s="63"/>
      <c r="AS530" s="63"/>
      <c r="AT530" s="63"/>
      <c r="AU530" s="220"/>
      <c r="AV530" s="220"/>
      <c r="AW530" s="220"/>
    </row>
    <row r="531" spans="1:49" s="221" customFormat="1" ht="342" x14ac:dyDescent="0.25">
      <c r="A531" s="63">
        <v>117</v>
      </c>
      <c r="B531" s="63" t="str">
        <f t="shared" si="56"/>
        <v>3075-117</v>
      </c>
      <c r="C531" s="76" t="s">
        <v>1141</v>
      </c>
      <c r="D531" s="76" t="s">
        <v>1142</v>
      </c>
      <c r="E531" s="76" t="s">
        <v>1424</v>
      </c>
      <c r="F531" s="76" t="s">
        <v>1158</v>
      </c>
      <c r="G531" s="77" t="s">
        <v>1159</v>
      </c>
      <c r="H531" s="101" t="s">
        <v>1160</v>
      </c>
      <c r="I531" s="76" t="s">
        <v>1147</v>
      </c>
      <c r="J531" s="76" t="s">
        <v>1148</v>
      </c>
      <c r="K531" s="76">
        <v>93141506</v>
      </c>
      <c r="L531" s="63" t="s">
        <v>1149</v>
      </c>
      <c r="M531" s="63" t="s">
        <v>58</v>
      </c>
      <c r="N531" s="63" t="s">
        <v>59</v>
      </c>
      <c r="O531" s="76" t="s">
        <v>1213</v>
      </c>
      <c r="P531" s="63" t="s">
        <v>1287</v>
      </c>
      <c r="Q531" s="83">
        <v>3553500</v>
      </c>
      <c r="R531" s="98">
        <v>1</v>
      </c>
      <c r="S531" s="80">
        <f>42642000-(14214000*2)</f>
        <v>14214000</v>
      </c>
      <c r="T531" s="63" t="s">
        <v>888</v>
      </c>
      <c r="U531" s="63" t="s">
        <v>1163</v>
      </c>
      <c r="V531" s="81" t="s">
        <v>431</v>
      </c>
      <c r="W531" s="82">
        <v>4</v>
      </c>
      <c r="X531" s="63" t="s">
        <v>1503</v>
      </c>
      <c r="Y531" s="81">
        <v>43321</v>
      </c>
      <c r="Z531" s="83">
        <v>14214000</v>
      </c>
      <c r="AA531" s="84" t="s">
        <v>439</v>
      </c>
      <c r="AB531" s="85">
        <v>1045</v>
      </c>
      <c r="AC531" s="81">
        <v>43322</v>
      </c>
      <c r="AD531" s="86">
        <v>14214000</v>
      </c>
      <c r="AE531" s="86">
        <f t="shared" si="60"/>
        <v>0</v>
      </c>
      <c r="AF531" s="85">
        <v>2711</v>
      </c>
      <c r="AG531" s="81">
        <v>43334</v>
      </c>
      <c r="AH531" s="86">
        <v>14214000</v>
      </c>
      <c r="AI531" s="63" t="s">
        <v>1504</v>
      </c>
      <c r="AJ531" s="63">
        <v>512</v>
      </c>
      <c r="AK531" s="87">
        <f t="shared" si="57"/>
        <v>0</v>
      </c>
      <c r="AL531" s="86">
        <v>1066050</v>
      </c>
      <c r="AM531" s="86">
        <f t="shared" si="58"/>
        <v>13147950</v>
      </c>
      <c r="AN531" s="63" t="s">
        <v>1155</v>
      </c>
      <c r="AO531" s="86">
        <f t="shared" si="59"/>
        <v>0</v>
      </c>
      <c r="AP531" s="63"/>
      <c r="AQ531" s="81">
        <v>43320</v>
      </c>
      <c r="AR531" s="63" t="s">
        <v>1156</v>
      </c>
      <c r="AS531" s="81">
        <v>43321</v>
      </c>
      <c r="AT531" s="63" t="s">
        <v>1453</v>
      </c>
      <c r="AU531" s="220"/>
      <c r="AV531" s="220"/>
      <c r="AW531" s="220"/>
    </row>
    <row r="532" spans="1:49" s="221" customFormat="1" ht="342" x14ac:dyDescent="0.25">
      <c r="A532" s="63">
        <v>118</v>
      </c>
      <c r="B532" s="63" t="str">
        <f t="shared" si="56"/>
        <v>3075-118</v>
      </c>
      <c r="C532" s="76" t="s">
        <v>1141</v>
      </c>
      <c r="D532" s="76" t="s">
        <v>1142</v>
      </c>
      <c r="E532" s="76" t="s">
        <v>1424</v>
      </c>
      <c r="F532" s="76" t="s">
        <v>1158</v>
      </c>
      <c r="G532" s="77" t="s">
        <v>1159</v>
      </c>
      <c r="H532" s="101" t="s">
        <v>1160</v>
      </c>
      <c r="I532" s="76" t="s">
        <v>1147</v>
      </c>
      <c r="J532" s="76" t="s">
        <v>1148</v>
      </c>
      <c r="K532" s="76">
        <v>93151501</v>
      </c>
      <c r="L532" s="63" t="s">
        <v>1149</v>
      </c>
      <c r="M532" s="63" t="s">
        <v>58</v>
      </c>
      <c r="N532" s="63" t="s">
        <v>59</v>
      </c>
      <c r="O532" s="76" t="s">
        <v>1213</v>
      </c>
      <c r="P532" s="63" t="s">
        <v>1505</v>
      </c>
      <c r="Q532" s="83">
        <v>3553500</v>
      </c>
      <c r="R532" s="98">
        <v>1</v>
      </c>
      <c r="S532" s="80">
        <f>24720000-10506000</f>
        <v>14214000</v>
      </c>
      <c r="T532" s="63" t="s">
        <v>888</v>
      </c>
      <c r="U532" s="63" t="s">
        <v>1163</v>
      </c>
      <c r="V532" s="81" t="s">
        <v>431</v>
      </c>
      <c r="W532" s="82">
        <v>4</v>
      </c>
      <c r="X532" s="63" t="s">
        <v>1506</v>
      </c>
      <c r="Y532" s="81">
        <v>43321</v>
      </c>
      <c r="Z532" s="83">
        <v>14214000</v>
      </c>
      <c r="AA532" s="84" t="s">
        <v>439</v>
      </c>
      <c r="AB532" s="85">
        <v>1035</v>
      </c>
      <c r="AC532" s="81">
        <v>43322</v>
      </c>
      <c r="AD532" s="86">
        <v>14214000</v>
      </c>
      <c r="AE532" s="86">
        <f t="shared" si="60"/>
        <v>0</v>
      </c>
      <c r="AF532" s="85">
        <v>2716</v>
      </c>
      <c r="AG532" s="81">
        <v>43334</v>
      </c>
      <c r="AH532" s="86">
        <v>14214000</v>
      </c>
      <c r="AI532" s="63" t="s">
        <v>1448</v>
      </c>
      <c r="AJ532" s="63">
        <v>510</v>
      </c>
      <c r="AK532" s="87">
        <f t="shared" si="57"/>
        <v>0</v>
      </c>
      <c r="AL532" s="86">
        <v>473800</v>
      </c>
      <c r="AM532" s="86">
        <f t="shared" si="58"/>
        <v>13740200</v>
      </c>
      <c r="AN532" s="63" t="s">
        <v>1155</v>
      </c>
      <c r="AO532" s="86">
        <f t="shared" si="59"/>
        <v>0</v>
      </c>
      <c r="AP532" s="63"/>
      <c r="AQ532" s="81">
        <v>43320</v>
      </c>
      <c r="AR532" s="63" t="s">
        <v>1156</v>
      </c>
      <c r="AS532" s="81">
        <v>43321</v>
      </c>
      <c r="AT532" s="63" t="s">
        <v>1453</v>
      </c>
      <c r="AU532" s="220"/>
      <c r="AV532" s="220"/>
      <c r="AW532" s="220"/>
    </row>
    <row r="533" spans="1:49" s="221" customFormat="1" ht="342" x14ac:dyDescent="0.25">
      <c r="A533" s="63">
        <v>119</v>
      </c>
      <c r="B533" s="63" t="str">
        <f t="shared" si="56"/>
        <v>3075-119</v>
      </c>
      <c r="C533" s="76" t="s">
        <v>1141</v>
      </c>
      <c r="D533" s="76" t="s">
        <v>1142</v>
      </c>
      <c r="E533" s="76" t="s">
        <v>1424</v>
      </c>
      <c r="F533" s="76" t="s">
        <v>1158</v>
      </c>
      <c r="G533" s="77" t="s">
        <v>1159</v>
      </c>
      <c r="H533" s="101" t="s">
        <v>1160</v>
      </c>
      <c r="I533" s="76" t="s">
        <v>1147</v>
      </c>
      <c r="J533" s="76" t="s">
        <v>1148</v>
      </c>
      <c r="K533" s="76">
        <v>93141506</v>
      </c>
      <c r="L533" s="63" t="s">
        <v>1149</v>
      </c>
      <c r="M533" s="63" t="s">
        <v>58</v>
      </c>
      <c r="N533" s="63" t="s">
        <v>59</v>
      </c>
      <c r="O533" s="76" t="s">
        <v>1213</v>
      </c>
      <c r="P533" s="63" t="s">
        <v>1507</v>
      </c>
      <c r="Q533" s="83">
        <v>5036700</v>
      </c>
      <c r="R533" s="98">
        <v>2</v>
      </c>
      <c r="S533" s="80">
        <v>30220200</v>
      </c>
      <c r="T533" s="63" t="s">
        <v>928</v>
      </c>
      <c r="U533" s="63" t="s">
        <v>1163</v>
      </c>
      <c r="V533" s="81" t="s">
        <v>431</v>
      </c>
      <c r="W533" s="82">
        <v>4</v>
      </c>
      <c r="X533" s="63" t="s">
        <v>1508</v>
      </c>
      <c r="Y533" s="81">
        <v>43329</v>
      </c>
      <c r="Z533" s="83">
        <v>13307600</v>
      </c>
      <c r="AA533" s="84" t="s">
        <v>439</v>
      </c>
      <c r="AB533" s="85">
        <v>1088</v>
      </c>
      <c r="AC533" s="81">
        <v>43333</v>
      </c>
      <c r="AD533" s="86">
        <v>13307600</v>
      </c>
      <c r="AE533" s="86">
        <f t="shared" si="60"/>
        <v>16912600</v>
      </c>
      <c r="AF533" s="85">
        <v>2769</v>
      </c>
      <c r="AG533" s="81">
        <v>43343</v>
      </c>
      <c r="AH533" s="86">
        <v>13307600</v>
      </c>
      <c r="AI533" s="63" t="s">
        <v>1509</v>
      </c>
      <c r="AJ533" s="63">
        <v>544</v>
      </c>
      <c r="AK533" s="87">
        <f t="shared" si="57"/>
        <v>0</v>
      </c>
      <c r="AL533" s="86">
        <v>0</v>
      </c>
      <c r="AM533" s="86">
        <f t="shared" si="58"/>
        <v>13307600</v>
      </c>
      <c r="AN533" s="63" t="s">
        <v>1155</v>
      </c>
      <c r="AO533" s="86">
        <f t="shared" si="59"/>
        <v>16912600</v>
      </c>
      <c r="AP533" s="63"/>
      <c r="AQ533" s="81">
        <v>43329</v>
      </c>
      <c r="AR533" s="63" t="s">
        <v>1156</v>
      </c>
      <c r="AS533" s="81">
        <v>43329</v>
      </c>
      <c r="AT533" s="63" t="s">
        <v>1453</v>
      </c>
      <c r="AU533" s="220"/>
      <c r="AV533" s="220"/>
      <c r="AW533" s="220"/>
    </row>
    <row r="534" spans="1:49" s="221" customFormat="1" ht="409.5" x14ac:dyDescent="0.25">
      <c r="A534" s="63">
        <v>120</v>
      </c>
      <c r="B534" s="63" t="str">
        <f t="shared" si="56"/>
        <v>3075-120</v>
      </c>
      <c r="C534" s="76" t="s">
        <v>1141</v>
      </c>
      <c r="D534" s="76" t="s">
        <v>1142</v>
      </c>
      <c r="E534" s="76" t="s">
        <v>1424</v>
      </c>
      <c r="F534" s="76" t="s">
        <v>1158</v>
      </c>
      <c r="G534" s="77" t="s">
        <v>1159</v>
      </c>
      <c r="H534" s="101" t="s">
        <v>1160</v>
      </c>
      <c r="I534" s="76" t="s">
        <v>1147</v>
      </c>
      <c r="J534" s="76" t="s">
        <v>1148</v>
      </c>
      <c r="K534" s="76">
        <v>801116</v>
      </c>
      <c r="L534" s="63" t="s">
        <v>1149</v>
      </c>
      <c r="M534" s="63" t="s">
        <v>58</v>
      </c>
      <c r="N534" s="63" t="s">
        <v>59</v>
      </c>
      <c r="O534" s="76" t="s">
        <v>1213</v>
      </c>
      <c r="P534" s="63" t="s">
        <v>1510</v>
      </c>
      <c r="Q534" s="83">
        <v>5253000</v>
      </c>
      <c r="R534" s="98">
        <v>3</v>
      </c>
      <c r="S534" s="80">
        <f>63036000-(21012000*2)-1050600</f>
        <v>19961400</v>
      </c>
      <c r="T534" s="63" t="s">
        <v>928</v>
      </c>
      <c r="U534" s="63" t="s">
        <v>1163</v>
      </c>
      <c r="V534" s="81" t="s">
        <v>64</v>
      </c>
      <c r="W534" s="82">
        <v>6</v>
      </c>
      <c r="X534" s="63" t="s">
        <v>1511</v>
      </c>
      <c r="Y534" s="81">
        <v>43119</v>
      </c>
      <c r="Z534" s="83">
        <v>19961400</v>
      </c>
      <c r="AA534" s="84" t="s">
        <v>439</v>
      </c>
      <c r="AB534" s="85">
        <v>543</v>
      </c>
      <c r="AC534" s="81">
        <v>43119</v>
      </c>
      <c r="AD534" s="86">
        <v>19961400</v>
      </c>
      <c r="AE534" s="86">
        <f t="shared" si="60"/>
        <v>0</v>
      </c>
      <c r="AF534" s="85">
        <v>485</v>
      </c>
      <c r="AG534" s="81">
        <v>43126</v>
      </c>
      <c r="AH534" s="86">
        <v>19961400</v>
      </c>
      <c r="AI534" s="63" t="s">
        <v>1512</v>
      </c>
      <c r="AJ534" s="63">
        <v>407</v>
      </c>
      <c r="AK534" s="87">
        <f t="shared" si="57"/>
        <v>0</v>
      </c>
      <c r="AL534" s="86">
        <v>19739607</v>
      </c>
      <c r="AM534" s="86">
        <f t="shared" si="58"/>
        <v>221793</v>
      </c>
      <c r="AN534" s="63" t="s">
        <v>1155</v>
      </c>
      <c r="AO534" s="86">
        <f t="shared" si="59"/>
        <v>0</v>
      </c>
      <c r="AP534" s="63"/>
      <c r="AQ534" s="63"/>
      <c r="AR534" s="63"/>
      <c r="AS534" s="63"/>
      <c r="AT534" s="63"/>
      <c r="AU534" s="220"/>
      <c r="AV534" s="220"/>
      <c r="AW534" s="220"/>
    </row>
    <row r="535" spans="1:49" s="221" customFormat="1" ht="409.5" x14ac:dyDescent="0.25">
      <c r="A535" s="63">
        <v>121</v>
      </c>
      <c r="B535" s="63" t="str">
        <f t="shared" si="56"/>
        <v>3075-121</v>
      </c>
      <c r="C535" s="76" t="s">
        <v>1141</v>
      </c>
      <c r="D535" s="76" t="s">
        <v>1142</v>
      </c>
      <c r="E535" s="76" t="s">
        <v>1424</v>
      </c>
      <c r="F535" s="76" t="s">
        <v>1158</v>
      </c>
      <c r="G535" s="77" t="s">
        <v>1159</v>
      </c>
      <c r="H535" s="101" t="s">
        <v>1160</v>
      </c>
      <c r="I535" s="76" t="s">
        <v>1147</v>
      </c>
      <c r="J535" s="76" t="s">
        <v>1148</v>
      </c>
      <c r="K535" s="76">
        <v>801116</v>
      </c>
      <c r="L535" s="63" t="s">
        <v>1149</v>
      </c>
      <c r="M535" s="63" t="s">
        <v>58</v>
      </c>
      <c r="N535" s="63" t="s">
        <v>59</v>
      </c>
      <c r="O535" s="76" t="s">
        <v>1213</v>
      </c>
      <c r="P535" s="63" t="s">
        <v>1513</v>
      </c>
      <c r="Q535" s="83">
        <v>7210000</v>
      </c>
      <c r="R535" s="98">
        <v>1</v>
      </c>
      <c r="S535" s="80">
        <v>43260000</v>
      </c>
      <c r="T535" s="63" t="s">
        <v>888</v>
      </c>
      <c r="U535" s="63" t="s">
        <v>1163</v>
      </c>
      <c r="V535" s="81" t="s">
        <v>64</v>
      </c>
      <c r="W535" s="82">
        <v>6</v>
      </c>
      <c r="X535" s="63" t="s">
        <v>1514</v>
      </c>
      <c r="Y535" s="81">
        <v>43104</v>
      </c>
      <c r="Z535" s="83">
        <v>43260000</v>
      </c>
      <c r="AA535" s="84" t="s">
        <v>439</v>
      </c>
      <c r="AB535" s="85">
        <v>468</v>
      </c>
      <c r="AC535" s="81">
        <v>43112</v>
      </c>
      <c r="AD535" s="86">
        <v>43260000</v>
      </c>
      <c r="AE535" s="86">
        <f t="shared" si="60"/>
        <v>0</v>
      </c>
      <c r="AF535" s="85">
        <v>278</v>
      </c>
      <c r="AG535" s="81">
        <v>43122</v>
      </c>
      <c r="AH535" s="86">
        <v>43260000</v>
      </c>
      <c r="AI535" s="63" t="s">
        <v>1515</v>
      </c>
      <c r="AJ535" s="63">
        <v>248</v>
      </c>
      <c r="AK535" s="87">
        <f t="shared" si="57"/>
        <v>0</v>
      </c>
      <c r="AL535" s="86">
        <v>43260000</v>
      </c>
      <c r="AM535" s="86">
        <f t="shared" si="58"/>
        <v>0</v>
      </c>
      <c r="AN535" s="63" t="s">
        <v>1155</v>
      </c>
      <c r="AO535" s="86">
        <f t="shared" si="59"/>
        <v>0</v>
      </c>
      <c r="AP535" s="63"/>
      <c r="AQ535" s="63"/>
      <c r="AR535" s="63"/>
      <c r="AS535" s="63"/>
      <c r="AT535" s="63"/>
      <c r="AU535" s="220"/>
      <c r="AV535" s="220"/>
      <c r="AW535" s="220"/>
    </row>
    <row r="536" spans="1:49" s="221" customFormat="1" ht="409.5" x14ac:dyDescent="0.25">
      <c r="A536" s="63">
        <v>122</v>
      </c>
      <c r="B536" s="63" t="str">
        <f t="shared" si="56"/>
        <v>3075-122</v>
      </c>
      <c r="C536" s="76" t="s">
        <v>1141</v>
      </c>
      <c r="D536" s="76" t="s">
        <v>1142</v>
      </c>
      <c r="E536" s="76" t="s">
        <v>1424</v>
      </c>
      <c r="F536" s="76" t="s">
        <v>1158</v>
      </c>
      <c r="G536" s="77" t="s">
        <v>1159</v>
      </c>
      <c r="H536" s="101" t="s">
        <v>1160</v>
      </c>
      <c r="I536" s="76" t="s">
        <v>1147</v>
      </c>
      <c r="J536" s="76" t="s">
        <v>1148</v>
      </c>
      <c r="K536" s="76">
        <v>801116</v>
      </c>
      <c r="L536" s="63" t="s">
        <v>1149</v>
      </c>
      <c r="M536" s="63" t="s">
        <v>58</v>
      </c>
      <c r="N536" s="63" t="s">
        <v>59</v>
      </c>
      <c r="O536" s="76" t="s">
        <v>1213</v>
      </c>
      <c r="P536" s="63" t="s">
        <v>1516</v>
      </c>
      <c r="Q536" s="83">
        <v>7210000</v>
      </c>
      <c r="R536" s="98">
        <v>1</v>
      </c>
      <c r="S536" s="80">
        <v>43260000</v>
      </c>
      <c r="T536" s="63" t="s">
        <v>888</v>
      </c>
      <c r="U536" s="63" t="s">
        <v>1163</v>
      </c>
      <c r="V536" s="81" t="s">
        <v>64</v>
      </c>
      <c r="W536" s="82">
        <v>6</v>
      </c>
      <c r="X536" s="63" t="s">
        <v>1517</v>
      </c>
      <c r="Y536" s="81">
        <v>43104</v>
      </c>
      <c r="Z536" s="83">
        <v>43260000</v>
      </c>
      <c r="AA536" s="84" t="s">
        <v>439</v>
      </c>
      <c r="AB536" s="85">
        <v>464</v>
      </c>
      <c r="AC536" s="81">
        <v>43112</v>
      </c>
      <c r="AD536" s="86">
        <v>43260000</v>
      </c>
      <c r="AE536" s="86">
        <f t="shared" si="60"/>
        <v>0</v>
      </c>
      <c r="AF536" s="85">
        <v>403</v>
      </c>
      <c r="AG536" s="81">
        <v>43124</v>
      </c>
      <c r="AH536" s="86">
        <v>43260000</v>
      </c>
      <c r="AI536" s="63" t="s">
        <v>1518</v>
      </c>
      <c r="AJ536" s="63">
        <v>332</v>
      </c>
      <c r="AK536" s="87">
        <f t="shared" si="57"/>
        <v>0</v>
      </c>
      <c r="AL536" s="86">
        <v>43260000</v>
      </c>
      <c r="AM536" s="86">
        <f t="shared" si="58"/>
        <v>0</v>
      </c>
      <c r="AN536" s="63" t="s">
        <v>1155</v>
      </c>
      <c r="AO536" s="86">
        <f t="shared" si="59"/>
        <v>0</v>
      </c>
      <c r="AP536" s="63"/>
      <c r="AQ536" s="63"/>
      <c r="AR536" s="63"/>
      <c r="AS536" s="63"/>
      <c r="AT536" s="63"/>
      <c r="AU536" s="220"/>
      <c r="AV536" s="220"/>
      <c r="AW536" s="220"/>
    </row>
    <row r="537" spans="1:49" s="221" customFormat="1" ht="409.5" x14ac:dyDescent="0.25">
      <c r="A537" s="63">
        <v>123</v>
      </c>
      <c r="B537" s="63" t="str">
        <f t="shared" si="56"/>
        <v>3075-123</v>
      </c>
      <c r="C537" s="76" t="s">
        <v>1141</v>
      </c>
      <c r="D537" s="76" t="s">
        <v>1142</v>
      </c>
      <c r="E537" s="76" t="s">
        <v>1424</v>
      </c>
      <c r="F537" s="76" t="s">
        <v>1158</v>
      </c>
      <c r="G537" s="77" t="s">
        <v>1159</v>
      </c>
      <c r="H537" s="101" t="s">
        <v>1160</v>
      </c>
      <c r="I537" s="76" t="s">
        <v>1147</v>
      </c>
      <c r="J537" s="76" t="s">
        <v>1148</v>
      </c>
      <c r="K537" s="76">
        <v>801116</v>
      </c>
      <c r="L537" s="63" t="s">
        <v>1149</v>
      </c>
      <c r="M537" s="63" t="s">
        <v>58</v>
      </c>
      <c r="N537" s="63" t="s">
        <v>59</v>
      </c>
      <c r="O537" s="76" t="s">
        <v>1213</v>
      </c>
      <c r="P537" s="63" t="s">
        <v>1519</v>
      </c>
      <c r="Q537" s="83">
        <v>6180000</v>
      </c>
      <c r="R537" s="98">
        <v>1</v>
      </c>
      <c r="S537" s="80">
        <v>37080000</v>
      </c>
      <c r="T537" s="63" t="s">
        <v>888</v>
      </c>
      <c r="U537" s="63" t="s">
        <v>1163</v>
      </c>
      <c r="V537" s="81" t="s">
        <v>64</v>
      </c>
      <c r="W537" s="82">
        <v>6</v>
      </c>
      <c r="X537" s="63" t="s">
        <v>1520</v>
      </c>
      <c r="Y537" s="81">
        <v>43103</v>
      </c>
      <c r="Z537" s="83">
        <v>37080000</v>
      </c>
      <c r="AA537" s="84" t="s">
        <v>439</v>
      </c>
      <c r="AB537" s="85">
        <v>367</v>
      </c>
      <c r="AC537" s="81">
        <v>43110</v>
      </c>
      <c r="AD537" s="86">
        <v>37080000</v>
      </c>
      <c r="AE537" s="86">
        <f t="shared" si="60"/>
        <v>0</v>
      </c>
      <c r="AF537" s="85">
        <v>267</v>
      </c>
      <c r="AG537" s="81">
        <v>43119</v>
      </c>
      <c r="AH537" s="86">
        <v>37080000</v>
      </c>
      <c r="AI537" s="63" t="s">
        <v>1521</v>
      </c>
      <c r="AJ537" s="63">
        <v>237</v>
      </c>
      <c r="AK537" s="87">
        <f t="shared" si="57"/>
        <v>0</v>
      </c>
      <c r="AL537" s="86">
        <v>37080000</v>
      </c>
      <c r="AM537" s="86">
        <f t="shared" si="58"/>
        <v>0</v>
      </c>
      <c r="AN537" s="63" t="s">
        <v>1155</v>
      </c>
      <c r="AO537" s="86">
        <f t="shared" si="59"/>
        <v>0</v>
      </c>
      <c r="AP537" s="63"/>
      <c r="AQ537" s="63"/>
      <c r="AR537" s="63"/>
      <c r="AS537" s="63"/>
      <c r="AT537" s="63"/>
      <c r="AU537" s="220"/>
      <c r="AV537" s="220"/>
      <c r="AW537" s="220"/>
    </row>
    <row r="538" spans="1:49" s="221" customFormat="1" ht="228" x14ac:dyDescent="0.25">
      <c r="A538" s="63">
        <v>124</v>
      </c>
      <c r="B538" s="63" t="str">
        <f t="shared" si="56"/>
        <v>3075-124</v>
      </c>
      <c r="C538" s="76" t="s">
        <v>1141</v>
      </c>
      <c r="D538" s="76" t="s">
        <v>1142</v>
      </c>
      <c r="E538" s="76" t="s">
        <v>1143</v>
      </c>
      <c r="F538" s="76" t="s">
        <v>1158</v>
      </c>
      <c r="G538" s="77" t="s">
        <v>1159</v>
      </c>
      <c r="H538" s="101" t="s">
        <v>1160</v>
      </c>
      <c r="I538" s="76" t="s">
        <v>1147</v>
      </c>
      <c r="J538" s="76" t="s">
        <v>1148</v>
      </c>
      <c r="K538" s="76">
        <v>801116</v>
      </c>
      <c r="L538" s="63" t="s">
        <v>1149</v>
      </c>
      <c r="M538" s="63" t="s">
        <v>58</v>
      </c>
      <c r="N538" s="63" t="s">
        <v>59</v>
      </c>
      <c r="O538" s="76" t="s">
        <v>1213</v>
      </c>
      <c r="P538" s="76" t="s">
        <v>1522</v>
      </c>
      <c r="Q538" s="83">
        <v>2060000</v>
      </c>
      <c r="R538" s="98">
        <v>1</v>
      </c>
      <c r="S538" s="80">
        <v>23690000</v>
      </c>
      <c r="T538" s="63" t="s">
        <v>888</v>
      </c>
      <c r="U538" s="63" t="s">
        <v>1163</v>
      </c>
      <c r="V538" s="81" t="s">
        <v>64</v>
      </c>
      <c r="W538" s="82">
        <v>11.5</v>
      </c>
      <c r="X538" s="63" t="s">
        <v>1523</v>
      </c>
      <c r="Y538" s="81">
        <v>43109</v>
      </c>
      <c r="Z538" s="83">
        <v>23690000</v>
      </c>
      <c r="AA538" s="84" t="s">
        <v>439</v>
      </c>
      <c r="AB538" s="85">
        <v>432</v>
      </c>
      <c r="AC538" s="81">
        <v>43111</v>
      </c>
      <c r="AD538" s="86">
        <v>23690000</v>
      </c>
      <c r="AE538" s="87">
        <f t="shared" si="60"/>
        <v>0</v>
      </c>
      <c r="AF538" s="85">
        <v>42</v>
      </c>
      <c r="AG538" s="81">
        <v>43116</v>
      </c>
      <c r="AH538" s="86">
        <v>23690000</v>
      </c>
      <c r="AI538" s="63" t="s">
        <v>83</v>
      </c>
      <c r="AJ538" s="63">
        <v>36</v>
      </c>
      <c r="AK538" s="87">
        <f t="shared" si="57"/>
        <v>0</v>
      </c>
      <c r="AL538" s="86">
        <v>14420000</v>
      </c>
      <c r="AM538" s="86">
        <f t="shared" si="58"/>
        <v>9270000</v>
      </c>
      <c r="AN538" s="63" t="s">
        <v>1155</v>
      </c>
      <c r="AO538" s="86">
        <f t="shared" si="59"/>
        <v>0</v>
      </c>
      <c r="AP538" s="63"/>
      <c r="AQ538" s="63"/>
      <c r="AR538" s="63"/>
      <c r="AS538" s="63"/>
      <c r="AT538" s="63"/>
      <c r="AU538" s="220"/>
      <c r="AV538" s="220"/>
      <c r="AW538" s="220"/>
    </row>
    <row r="539" spans="1:49" s="221" customFormat="1" ht="213.75" x14ac:dyDescent="0.25">
      <c r="A539" s="63">
        <v>125</v>
      </c>
      <c r="B539" s="63" t="str">
        <f t="shared" si="56"/>
        <v>3075-125</v>
      </c>
      <c r="C539" s="76" t="s">
        <v>1141</v>
      </c>
      <c r="D539" s="76" t="s">
        <v>1142</v>
      </c>
      <c r="E539" s="76" t="s">
        <v>1143</v>
      </c>
      <c r="F539" s="76" t="s">
        <v>1158</v>
      </c>
      <c r="G539" s="77" t="s">
        <v>1159</v>
      </c>
      <c r="H539" s="78" t="s">
        <v>1160</v>
      </c>
      <c r="I539" s="76" t="s">
        <v>1147</v>
      </c>
      <c r="J539" s="76" t="s">
        <v>1148</v>
      </c>
      <c r="K539" s="76">
        <v>801116</v>
      </c>
      <c r="L539" s="63" t="s">
        <v>1149</v>
      </c>
      <c r="M539" s="63" t="s">
        <v>58</v>
      </c>
      <c r="N539" s="63" t="s">
        <v>59</v>
      </c>
      <c r="O539" s="76" t="s">
        <v>1213</v>
      </c>
      <c r="P539" s="76" t="s">
        <v>1287</v>
      </c>
      <c r="Q539" s="83">
        <v>3553500</v>
      </c>
      <c r="R539" s="63">
        <v>1</v>
      </c>
      <c r="S539" s="80">
        <v>31981500</v>
      </c>
      <c r="T539" s="63" t="s">
        <v>888</v>
      </c>
      <c r="U539" s="63" t="s">
        <v>1163</v>
      </c>
      <c r="V539" s="81" t="s">
        <v>64</v>
      </c>
      <c r="W539" s="82">
        <v>9</v>
      </c>
      <c r="X539" s="63" t="s">
        <v>1524</v>
      </c>
      <c r="Y539" s="81">
        <v>43102</v>
      </c>
      <c r="Z539" s="83">
        <v>31981500</v>
      </c>
      <c r="AA539" s="84" t="s">
        <v>1525</v>
      </c>
      <c r="AB539" s="85">
        <v>313</v>
      </c>
      <c r="AC539" s="81">
        <v>43110</v>
      </c>
      <c r="AD539" s="86">
        <v>31981500</v>
      </c>
      <c r="AE539" s="87">
        <f t="shared" si="60"/>
        <v>0</v>
      </c>
      <c r="AF539" s="85">
        <v>342</v>
      </c>
      <c r="AG539" s="81">
        <v>43123</v>
      </c>
      <c r="AH539" s="86">
        <v>31981500</v>
      </c>
      <c r="AI539" s="63" t="s">
        <v>1526</v>
      </c>
      <c r="AJ539" s="63">
        <v>346</v>
      </c>
      <c r="AK539" s="87">
        <f t="shared" si="57"/>
        <v>0</v>
      </c>
      <c r="AL539" s="86">
        <v>25466750</v>
      </c>
      <c r="AM539" s="86">
        <f t="shared" si="58"/>
        <v>6514750</v>
      </c>
      <c r="AN539" s="63" t="s">
        <v>1155</v>
      </c>
      <c r="AO539" s="86">
        <f t="shared" si="59"/>
        <v>0</v>
      </c>
      <c r="AP539" s="63"/>
      <c r="AQ539" s="63"/>
      <c r="AR539" s="63"/>
      <c r="AS539" s="63"/>
      <c r="AT539" s="63"/>
      <c r="AU539" s="220"/>
      <c r="AV539" s="220"/>
      <c r="AW539" s="220"/>
    </row>
    <row r="540" spans="1:49" s="221" customFormat="1" ht="213.75" x14ac:dyDescent="0.25">
      <c r="A540" s="63">
        <v>126</v>
      </c>
      <c r="B540" s="63" t="str">
        <f t="shared" si="56"/>
        <v>3075-126</v>
      </c>
      <c r="C540" s="76" t="s">
        <v>1141</v>
      </c>
      <c r="D540" s="76" t="s">
        <v>1142</v>
      </c>
      <c r="E540" s="76" t="s">
        <v>1143</v>
      </c>
      <c r="F540" s="76" t="s">
        <v>1158</v>
      </c>
      <c r="G540" s="77" t="s">
        <v>1159</v>
      </c>
      <c r="H540" s="78" t="s">
        <v>1160</v>
      </c>
      <c r="I540" s="76" t="s">
        <v>1147</v>
      </c>
      <c r="J540" s="76" t="s">
        <v>1148</v>
      </c>
      <c r="K540" s="76">
        <v>801116</v>
      </c>
      <c r="L540" s="63" t="s">
        <v>1149</v>
      </c>
      <c r="M540" s="63" t="s">
        <v>58</v>
      </c>
      <c r="N540" s="63" t="s">
        <v>59</v>
      </c>
      <c r="O540" s="76" t="s">
        <v>1213</v>
      </c>
      <c r="P540" s="76" t="s">
        <v>1287</v>
      </c>
      <c r="Q540" s="83">
        <v>4120000</v>
      </c>
      <c r="R540" s="63">
        <v>1</v>
      </c>
      <c r="S540" s="80">
        <v>37080000</v>
      </c>
      <c r="T540" s="63" t="s">
        <v>888</v>
      </c>
      <c r="U540" s="63" t="s">
        <v>1163</v>
      </c>
      <c r="V540" s="81" t="s">
        <v>64</v>
      </c>
      <c r="W540" s="82">
        <v>9</v>
      </c>
      <c r="X540" s="63" t="s">
        <v>1527</v>
      </c>
      <c r="Y540" s="81">
        <v>43102</v>
      </c>
      <c r="Z540" s="83">
        <v>37080000</v>
      </c>
      <c r="AA540" s="84" t="s">
        <v>1528</v>
      </c>
      <c r="AB540" s="85">
        <v>316</v>
      </c>
      <c r="AC540" s="81">
        <v>43110</v>
      </c>
      <c r="AD540" s="86">
        <v>37080000</v>
      </c>
      <c r="AE540" s="87">
        <f t="shared" si="60"/>
        <v>0</v>
      </c>
      <c r="AF540" s="85">
        <v>202</v>
      </c>
      <c r="AG540" s="81">
        <v>43118</v>
      </c>
      <c r="AH540" s="86">
        <v>37080000</v>
      </c>
      <c r="AI540" s="63" t="s">
        <v>1529</v>
      </c>
      <c r="AJ540" s="63">
        <v>191</v>
      </c>
      <c r="AK540" s="87">
        <f t="shared" si="57"/>
        <v>0</v>
      </c>
      <c r="AL540" s="86">
        <v>30488000</v>
      </c>
      <c r="AM540" s="86">
        <f t="shared" si="58"/>
        <v>6592000</v>
      </c>
      <c r="AN540" s="63" t="s">
        <v>1155</v>
      </c>
      <c r="AO540" s="86">
        <f t="shared" si="59"/>
        <v>0</v>
      </c>
      <c r="AP540" s="63"/>
      <c r="AQ540" s="63"/>
      <c r="AR540" s="63"/>
      <c r="AS540" s="63"/>
      <c r="AT540" s="63"/>
      <c r="AU540" s="220"/>
      <c r="AV540" s="220"/>
      <c r="AW540" s="220"/>
    </row>
    <row r="541" spans="1:49" s="221" customFormat="1" ht="313.5" x14ac:dyDescent="0.25">
      <c r="A541" s="63">
        <v>127</v>
      </c>
      <c r="B541" s="63" t="str">
        <f t="shared" si="56"/>
        <v>3075-127</v>
      </c>
      <c r="C541" s="76" t="s">
        <v>1141</v>
      </c>
      <c r="D541" s="76" t="s">
        <v>1142</v>
      </c>
      <c r="E541" s="76" t="s">
        <v>1143</v>
      </c>
      <c r="F541" s="76" t="s">
        <v>1158</v>
      </c>
      <c r="G541" s="77" t="s">
        <v>1159</v>
      </c>
      <c r="H541" s="78" t="s">
        <v>1160</v>
      </c>
      <c r="I541" s="76" t="s">
        <v>1147</v>
      </c>
      <c r="J541" s="76" t="s">
        <v>1148</v>
      </c>
      <c r="K541" s="76">
        <v>801116</v>
      </c>
      <c r="L541" s="63" t="s">
        <v>1149</v>
      </c>
      <c r="M541" s="63" t="s">
        <v>58</v>
      </c>
      <c r="N541" s="63" t="s">
        <v>59</v>
      </c>
      <c r="O541" s="76" t="s">
        <v>1213</v>
      </c>
      <c r="P541" s="76" t="s">
        <v>1367</v>
      </c>
      <c r="Q541" s="83">
        <v>3399000</v>
      </c>
      <c r="R541" s="63">
        <v>1</v>
      </c>
      <c r="S541" s="80">
        <v>27192000</v>
      </c>
      <c r="T541" s="63" t="s">
        <v>888</v>
      </c>
      <c r="U541" s="63" t="s">
        <v>1163</v>
      </c>
      <c r="V541" s="81" t="s">
        <v>64</v>
      </c>
      <c r="W541" s="82">
        <v>8</v>
      </c>
      <c r="X541" s="63" t="s">
        <v>1530</v>
      </c>
      <c r="Y541" s="81">
        <v>43102</v>
      </c>
      <c r="Z541" s="83">
        <v>27192000</v>
      </c>
      <c r="AA541" s="84" t="s">
        <v>1531</v>
      </c>
      <c r="AB541" s="85">
        <v>318</v>
      </c>
      <c r="AC541" s="81">
        <v>43110</v>
      </c>
      <c r="AD541" s="86">
        <v>27192000</v>
      </c>
      <c r="AE541" s="87">
        <f t="shared" si="60"/>
        <v>0</v>
      </c>
      <c r="AF541" s="85">
        <v>346</v>
      </c>
      <c r="AG541" s="81">
        <v>43123</v>
      </c>
      <c r="AH541" s="86">
        <v>27192000</v>
      </c>
      <c r="AI541" s="63" t="s">
        <v>1532</v>
      </c>
      <c r="AJ541" s="63">
        <v>294</v>
      </c>
      <c r="AK541" s="87">
        <f t="shared" si="57"/>
        <v>0</v>
      </c>
      <c r="AL541" s="86">
        <v>24586100</v>
      </c>
      <c r="AM541" s="86">
        <f t="shared" si="58"/>
        <v>2605900</v>
      </c>
      <c r="AN541" s="63" t="s">
        <v>1155</v>
      </c>
      <c r="AO541" s="86">
        <f t="shared" si="59"/>
        <v>0</v>
      </c>
      <c r="AP541" s="63"/>
      <c r="AQ541" s="63"/>
      <c r="AR541" s="63"/>
      <c r="AS541" s="63"/>
      <c r="AT541" s="63"/>
      <c r="AU541" s="220"/>
      <c r="AV541" s="220"/>
      <c r="AW541" s="220"/>
    </row>
    <row r="542" spans="1:49" s="221" customFormat="1" ht="242.25" x14ac:dyDescent="0.25">
      <c r="A542" s="63">
        <v>128</v>
      </c>
      <c r="B542" s="63" t="str">
        <f t="shared" si="56"/>
        <v>3075-128</v>
      </c>
      <c r="C542" s="76" t="s">
        <v>1141</v>
      </c>
      <c r="D542" s="76" t="s">
        <v>1142</v>
      </c>
      <c r="E542" s="76" t="s">
        <v>1143</v>
      </c>
      <c r="F542" s="76" t="s">
        <v>1158</v>
      </c>
      <c r="G542" s="77" t="s">
        <v>1159</v>
      </c>
      <c r="H542" s="78" t="s">
        <v>1160</v>
      </c>
      <c r="I542" s="76" t="s">
        <v>1147</v>
      </c>
      <c r="J542" s="76" t="s">
        <v>1148</v>
      </c>
      <c r="K542" s="76">
        <v>801116</v>
      </c>
      <c r="L542" s="63" t="s">
        <v>1149</v>
      </c>
      <c r="M542" s="63" t="s">
        <v>58</v>
      </c>
      <c r="N542" s="63" t="s">
        <v>59</v>
      </c>
      <c r="O542" s="76" t="s">
        <v>1213</v>
      </c>
      <c r="P542" s="76" t="s">
        <v>1241</v>
      </c>
      <c r="Q542" s="83">
        <v>4120000</v>
      </c>
      <c r="R542" s="63">
        <v>1</v>
      </c>
      <c r="S542" s="80">
        <v>37080000</v>
      </c>
      <c r="T542" s="63" t="s">
        <v>888</v>
      </c>
      <c r="U542" s="63" t="s">
        <v>1163</v>
      </c>
      <c r="V542" s="81" t="s">
        <v>64</v>
      </c>
      <c r="W542" s="82">
        <v>9</v>
      </c>
      <c r="X542" s="63" t="s">
        <v>1533</v>
      </c>
      <c r="Y542" s="81">
        <v>43102</v>
      </c>
      <c r="Z542" s="83">
        <v>37080000</v>
      </c>
      <c r="AA542" s="84" t="s">
        <v>1534</v>
      </c>
      <c r="AB542" s="85">
        <v>374</v>
      </c>
      <c r="AC542" s="81">
        <v>43110</v>
      </c>
      <c r="AD542" s="86">
        <v>37080000</v>
      </c>
      <c r="AE542" s="87">
        <f t="shared" si="60"/>
        <v>0</v>
      </c>
      <c r="AF542" s="85">
        <v>359</v>
      </c>
      <c r="AG542" s="81">
        <v>43123</v>
      </c>
      <c r="AH542" s="86">
        <v>37080000</v>
      </c>
      <c r="AI542" s="63" t="s">
        <v>1535</v>
      </c>
      <c r="AJ542" s="63">
        <v>300</v>
      </c>
      <c r="AK542" s="87">
        <f t="shared" si="57"/>
        <v>0</v>
      </c>
      <c r="AL542" s="86">
        <v>29114667</v>
      </c>
      <c r="AM542" s="86">
        <f t="shared" si="58"/>
        <v>7965333</v>
      </c>
      <c r="AN542" s="63" t="s">
        <v>1155</v>
      </c>
      <c r="AO542" s="86">
        <f t="shared" si="59"/>
        <v>0</v>
      </c>
      <c r="AP542" s="63"/>
      <c r="AQ542" s="63"/>
      <c r="AR542" s="63"/>
      <c r="AS542" s="63"/>
      <c r="AT542" s="63"/>
      <c r="AU542" s="220"/>
      <c r="AV542" s="220"/>
      <c r="AW542" s="220"/>
    </row>
    <row r="543" spans="1:49" s="221" customFormat="1" ht="242.25" x14ac:dyDescent="0.25">
      <c r="A543" s="63">
        <v>129</v>
      </c>
      <c r="B543" s="63" t="str">
        <f t="shared" ref="B543:B606" si="61">CONCATENATE("3075","-",A543)</f>
        <v>3075-129</v>
      </c>
      <c r="C543" s="76" t="s">
        <v>1141</v>
      </c>
      <c r="D543" s="76" t="s">
        <v>1142</v>
      </c>
      <c r="E543" s="76" t="s">
        <v>1143</v>
      </c>
      <c r="F543" s="76" t="s">
        <v>1158</v>
      </c>
      <c r="G543" s="77" t="s">
        <v>1159</v>
      </c>
      <c r="H543" s="78" t="s">
        <v>1160</v>
      </c>
      <c r="I543" s="76" t="s">
        <v>1147</v>
      </c>
      <c r="J543" s="76" t="s">
        <v>1148</v>
      </c>
      <c r="K543" s="76">
        <v>801116</v>
      </c>
      <c r="L543" s="63" t="s">
        <v>1149</v>
      </c>
      <c r="M543" s="63" t="s">
        <v>58</v>
      </c>
      <c r="N543" s="63" t="s">
        <v>59</v>
      </c>
      <c r="O543" s="76" t="s">
        <v>1213</v>
      </c>
      <c r="P543" s="76" t="s">
        <v>1219</v>
      </c>
      <c r="Q543" s="83">
        <v>1751000</v>
      </c>
      <c r="R543" s="63">
        <v>1</v>
      </c>
      <c r="S543" s="80">
        <v>19261000</v>
      </c>
      <c r="T543" s="63" t="s">
        <v>928</v>
      </c>
      <c r="U543" s="63" t="s">
        <v>1163</v>
      </c>
      <c r="V543" s="81" t="s">
        <v>64</v>
      </c>
      <c r="W543" s="82">
        <v>11</v>
      </c>
      <c r="X543" s="63" t="s">
        <v>1536</v>
      </c>
      <c r="Y543" s="81">
        <v>43102</v>
      </c>
      <c r="Z543" s="83">
        <v>19261000</v>
      </c>
      <c r="AA543" s="84" t="s">
        <v>1537</v>
      </c>
      <c r="AB543" s="85">
        <v>380</v>
      </c>
      <c r="AC543" s="81">
        <v>43110</v>
      </c>
      <c r="AD543" s="86">
        <v>19261000</v>
      </c>
      <c r="AE543" s="87">
        <f t="shared" si="60"/>
        <v>0</v>
      </c>
      <c r="AF543" s="85">
        <v>338</v>
      </c>
      <c r="AG543" s="81">
        <v>43123</v>
      </c>
      <c r="AH543" s="86">
        <v>19261000</v>
      </c>
      <c r="AI543" s="63" t="s">
        <v>1538</v>
      </c>
      <c r="AJ543" s="63">
        <v>343</v>
      </c>
      <c r="AK543" s="87">
        <f t="shared" ref="AK543:AK606" si="62">AD543-AH543</f>
        <v>0</v>
      </c>
      <c r="AL543" s="86">
        <v>12607200</v>
      </c>
      <c r="AM543" s="86">
        <f t="shared" ref="AM543:AM606" si="63">AH543-AL543</f>
        <v>6653800</v>
      </c>
      <c r="AN543" s="63" t="s">
        <v>1155</v>
      </c>
      <c r="AO543" s="86">
        <f t="shared" ref="AO543:AO606" si="64">S543-AH543</f>
        <v>0</v>
      </c>
      <c r="AP543" s="63"/>
      <c r="AQ543" s="63"/>
      <c r="AR543" s="63"/>
      <c r="AS543" s="63"/>
      <c r="AT543" s="63"/>
      <c r="AU543" s="220"/>
      <c r="AV543" s="220"/>
      <c r="AW543" s="220"/>
    </row>
    <row r="544" spans="1:49" s="221" customFormat="1" ht="313.5" x14ac:dyDescent="0.25">
      <c r="A544" s="63">
        <v>130</v>
      </c>
      <c r="B544" s="63" t="str">
        <f t="shared" si="61"/>
        <v>3075-130</v>
      </c>
      <c r="C544" s="76" t="s">
        <v>1141</v>
      </c>
      <c r="D544" s="76" t="s">
        <v>1142</v>
      </c>
      <c r="E544" s="76" t="s">
        <v>1143</v>
      </c>
      <c r="F544" s="76" t="s">
        <v>1158</v>
      </c>
      <c r="G544" s="77" t="s">
        <v>1159</v>
      </c>
      <c r="H544" s="78" t="s">
        <v>1160</v>
      </c>
      <c r="I544" s="76" t="s">
        <v>1147</v>
      </c>
      <c r="J544" s="76" t="s">
        <v>1148</v>
      </c>
      <c r="K544" s="76">
        <v>801116</v>
      </c>
      <c r="L544" s="63" t="s">
        <v>1149</v>
      </c>
      <c r="M544" s="63" t="s">
        <v>58</v>
      </c>
      <c r="N544" s="63" t="s">
        <v>59</v>
      </c>
      <c r="O544" s="76" t="s">
        <v>1213</v>
      </c>
      <c r="P544" s="76" t="s">
        <v>1539</v>
      </c>
      <c r="Q544" s="83">
        <v>8240000</v>
      </c>
      <c r="R544" s="63">
        <v>1</v>
      </c>
      <c r="S544" s="80">
        <v>82400000</v>
      </c>
      <c r="T544" s="63" t="s">
        <v>888</v>
      </c>
      <c r="U544" s="63" t="s">
        <v>1163</v>
      </c>
      <c r="V544" s="81" t="s">
        <v>64</v>
      </c>
      <c r="W544" s="82">
        <v>10</v>
      </c>
      <c r="X544" s="63" t="s">
        <v>1540</v>
      </c>
      <c r="Y544" s="81">
        <v>43102</v>
      </c>
      <c r="Z544" s="83">
        <v>82400000</v>
      </c>
      <c r="AA544" s="84" t="s">
        <v>1541</v>
      </c>
      <c r="AB544" s="85">
        <v>381</v>
      </c>
      <c r="AC544" s="81">
        <v>43110</v>
      </c>
      <c r="AD544" s="86">
        <v>82400000</v>
      </c>
      <c r="AE544" s="87">
        <f t="shared" si="60"/>
        <v>0</v>
      </c>
      <c r="AF544" s="85">
        <v>134</v>
      </c>
      <c r="AG544" s="81">
        <v>43117</v>
      </c>
      <c r="AH544" s="86">
        <v>82400000</v>
      </c>
      <c r="AI544" s="63" t="s">
        <v>1542</v>
      </c>
      <c r="AJ544" s="63">
        <v>143</v>
      </c>
      <c r="AK544" s="87">
        <f t="shared" si="62"/>
        <v>0</v>
      </c>
      <c r="AL544" s="86">
        <v>61250667</v>
      </c>
      <c r="AM544" s="86">
        <f t="shared" si="63"/>
        <v>21149333</v>
      </c>
      <c r="AN544" s="63" t="s">
        <v>1155</v>
      </c>
      <c r="AO544" s="86">
        <f t="shared" si="64"/>
        <v>0</v>
      </c>
      <c r="AP544" s="63"/>
      <c r="AQ544" s="63"/>
      <c r="AR544" s="63"/>
      <c r="AS544" s="63"/>
      <c r="AT544" s="63"/>
      <c r="AU544" s="220"/>
      <c r="AV544" s="220"/>
      <c r="AW544" s="220"/>
    </row>
    <row r="545" spans="1:49" s="221" customFormat="1" ht="242.25" x14ac:dyDescent="0.25">
      <c r="A545" s="63">
        <v>131</v>
      </c>
      <c r="B545" s="63" t="str">
        <f t="shared" si="61"/>
        <v>3075-131</v>
      </c>
      <c r="C545" s="76" t="s">
        <v>1141</v>
      </c>
      <c r="D545" s="76" t="s">
        <v>1142</v>
      </c>
      <c r="E545" s="76" t="s">
        <v>1143</v>
      </c>
      <c r="F545" s="76" t="s">
        <v>1158</v>
      </c>
      <c r="G545" s="77" t="s">
        <v>1159</v>
      </c>
      <c r="H545" s="78" t="s">
        <v>1160</v>
      </c>
      <c r="I545" s="76" t="s">
        <v>1147</v>
      </c>
      <c r="J545" s="76" t="s">
        <v>1148</v>
      </c>
      <c r="K545" s="76">
        <v>801116</v>
      </c>
      <c r="L545" s="63" t="s">
        <v>1149</v>
      </c>
      <c r="M545" s="63" t="s">
        <v>58</v>
      </c>
      <c r="N545" s="63" t="s">
        <v>59</v>
      </c>
      <c r="O545" s="76" t="s">
        <v>1213</v>
      </c>
      <c r="P545" s="94" t="s">
        <v>1219</v>
      </c>
      <c r="Q545" s="83">
        <v>1545000</v>
      </c>
      <c r="R545" s="63">
        <v>1</v>
      </c>
      <c r="S545" s="80">
        <v>9270000</v>
      </c>
      <c r="T545" s="63" t="s">
        <v>928</v>
      </c>
      <c r="U545" s="63" t="s">
        <v>1163</v>
      </c>
      <c r="V545" s="81" t="s">
        <v>64</v>
      </c>
      <c r="W545" s="82">
        <v>6</v>
      </c>
      <c r="X545" s="63" t="s">
        <v>1543</v>
      </c>
      <c r="Y545" s="81">
        <v>43102</v>
      </c>
      <c r="Z545" s="83">
        <v>9270000</v>
      </c>
      <c r="AA545" s="84" t="s">
        <v>1544</v>
      </c>
      <c r="AB545" s="85">
        <v>382</v>
      </c>
      <c r="AC545" s="81">
        <v>43110</v>
      </c>
      <c r="AD545" s="86">
        <v>9270000</v>
      </c>
      <c r="AE545" s="87">
        <f t="shared" si="60"/>
        <v>0</v>
      </c>
      <c r="AF545" s="85">
        <v>191</v>
      </c>
      <c r="AG545" s="81">
        <v>43118</v>
      </c>
      <c r="AH545" s="86">
        <v>9270000</v>
      </c>
      <c r="AI545" s="63" t="s">
        <v>1545</v>
      </c>
      <c r="AJ545" s="63">
        <v>166</v>
      </c>
      <c r="AK545" s="87">
        <f t="shared" si="62"/>
        <v>0</v>
      </c>
      <c r="AL545" s="86">
        <v>9270000</v>
      </c>
      <c r="AM545" s="86">
        <f t="shared" si="63"/>
        <v>0</v>
      </c>
      <c r="AN545" s="63" t="s">
        <v>1155</v>
      </c>
      <c r="AO545" s="86">
        <f t="shared" si="64"/>
        <v>0</v>
      </c>
      <c r="AP545" s="63"/>
      <c r="AQ545" s="63"/>
      <c r="AR545" s="63"/>
      <c r="AS545" s="63"/>
      <c r="AT545" s="63"/>
      <c r="AU545" s="220"/>
      <c r="AV545" s="220"/>
      <c r="AW545" s="220"/>
    </row>
    <row r="546" spans="1:49" s="221" customFormat="1" ht="299.25" x14ac:dyDescent="0.25">
      <c r="A546" s="63">
        <v>132</v>
      </c>
      <c r="B546" s="63" t="str">
        <f t="shared" si="61"/>
        <v>3075-132</v>
      </c>
      <c r="C546" s="76" t="s">
        <v>1141</v>
      </c>
      <c r="D546" s="76" t="s">
        <v>1142</v>
      </c>
      <c r="E546" s="76" t="s">
        <v>1143</v>
      </c>
      <c r="F546" s="76" t="s">
        <v>1158</v>
      </c>
      <c r="G546" s="77" t="s">
        <v>1159</v>
      </c>
      <c r="H546" s="78" t="s">
        <v>1160</v>
      </c>
      <c r="I546" s="76" t="s">
        <v>1147</v>
      </c>
      <c r="J546" s="76" t="s">
        <v>1148</v>
      </c>
      <c r="K546" s="76">
        <v>801116</v>
      </c>
      <c r="L546" s="63" t="s">
        <v>1149</v>
      </c>
      <c r="M546" s="63" t="s">
        <v>58</v>
      </c>
      <c r="N546" s="63" t="s">
        <v>59</v>
      </c>
      <c r="O546" s="76" t="s">
        <v>1213</v>
      </c>
      <c r="P546" s="76" t="s">
        <v>1546</v>
      </c>
      <c r="Q546" s="83">
        <v>4120000</v>
      </c>
      <c r="R546" s="63">
        <v>1</v>
      </c>
      <c r="S546" s="80">
        <v>45320000</v>
      </c>
      <c r="T546" s="63" t="s">
        <v>888</v>
      </c>
      <c r="U546" s="63" t="s">
        <v>1163</v>
      </c>
      <c r="V546" s="81" t="s">
        <v>64</v>
      </c>
      <c r="W546" s="82">
        <v>11</v>
      </c>
      <c r="X546" s="63" t="s">
        <v>1547</v>
      </c>
      <c r="Y546" s="81">
        <v>43102</v>
      </c>
      <c r="Z546" s="83">
        <v>45320000</v>
      </c>
      <c r="AA546" s="84" t="s">
        <v>1548</v>
      </c>
      <c r="AB546" s="85">
        <v>383</v>
      </c>
      <c r="AC546" s="81">
        <v>43110</v>
      </c>
      <c r="AD546" s="86">
        <v>45320000</v>
      </c>
      <c r="AE546" s="87">
        <f t="shared" si="60"/>
        <v>0</v>
      </c>
      <c r="AF546" s="85">
        <v>182</v>
      </c>
      <c r="AG546" s="81">
        <v>43118</v>
      </c>
      <c r="AH546" s="86">
        <v>45320000</v>
      </c>
      <c r="AI546" s="63" t="s">
        <v>1549</v>
      </c>
      <c r="AJ546" s="63">
        <v>108</v>
      </c>
      <c r="AK546" s="87">
        <f t="shared" si="62"/>
        <v>0</v>
      </c>
      <c r="AL546" s="86">
        <v>30625333</v>
      </c>
      <c r="AM546" s="86">
        <f t="shared" si="63"/>
        <v>14694667</v>
      </c>
      <c r="AN546" s="63" t="s">
        <v>1155</v>
      </c>
      <c r="AO546" s="86">
        <f t="shared" si="64"/>
        <v>0</v>
      </c>
      <c r="AP546" s="63"/>
      <c r="AQ546" s="63"/>
      <c r="AR546" s="63"/>
      <c r="AS546" s="63"/>
      <c r="AT546" s="63"/>
      <c r="AU546" s="220"/>
      <c r="AV546" s="220"/>
      <c r="AW546" s="220"/>
    </row>
    <row r="547" spans="1:49" s="221" customFormat="1" ht="199.5" x14ac:dyDescent="0.25">
      <c r="A547" s="63">
        <v>133</v>
      </c>
      <c r="B547" s="63" t="str">
        <f t="shared" si="61"/>
        <v>3075-133</v>
      </c>
      <c r="C547" s="76" t="s">
        <v>1141</v>
      </c>
      <c r="D547" s="76" t="s">
        <v>1142</v>
      </c>
      <c r="E547" s="76" t="s">
        <v>1143</v>
      </c>
      <c r="F547" s="76" t="s">
        <v>1158</v>
      </c>
      <c r="G547" s="77" t="s">
        <v>1159</v>
      </c>
      <c r="H547" s="78" t="s">
        <v>1160</v>
      </c>
      <c r="I547" s="76" t="s">
        <v>1147</v>
      </c>
      <c r="J547" s="76" t="s">
        <v>1148</v>
      </c>
      <c r="K547" s="76">
        <v>801116</v>
      </c>
      <c r="L547" s="63" t="s">
        <v>1149</v>
      </c>
      <c r="M547" s="63" t="s">
        <v>58</v>
      </c>
      <c r="N547" s="63" t="s">
        <v>59</v>
      </c>
      <c r="O547" s="76" t="s">
        <v>1213</v>
      </c>
      <c r="P547" s="76" t="s">
        <v>1550</v>
      </c>
      <c r="Q547" s="83">
        <v>4120000</v>
      </c>
      <c r="R547" s="63">
        <v>1</v>
      </c>
      <c r="S547" s="80">
        <v>37080000</v>
      </c>
      <c r="T547" s="63" t="s">
        <v>888</v>
      </c>
      <c r="U547" s="63" t="s">
        <v>1163</v>
      </c>
      <c r="V547" s="81" t="s">
        <v>64</v>
      </c>
      <c r="W547" s="82">
        <v>9</v>
      </c>
      <c r="X547" s="63" t="s">
        <v>1551</v>
      </c>
      <c r="Y547" s="81">
        <v>43102</v>
      </c>
      <c r="Z547" s="83">
        <v>37080000</v>
      </c>
      <c r="AA547" s="84" t="s">
        <v>1552</v>
      </c>
      <c r="AB547" s="85">
        <v>384</v>
      </c>
      <c r="AC547" s="81">
        <v>43110</v>
      </c>
      <c r="AD547" s="86">
        <v>37080000</v>
      </c>
      <c r="AE547" s="87">
        <f t="shared" si="60"/>
        <v>0</v>
      </c>
      <c r="AF547" s="85">
        <v>274</v>
      </c>
      <c r="AG547" s="81">
        <v>43122</v>
      </c>
      <c r="AH547" s="86">
        <v>37080000</v>
      </c>
      <c r="AI547" s="63" t="s">
        <v>1553</v>
      </c>
      <c r="AJ547" s="63">
        <v>244</v>
      </c>
      <c r="AK547" s="87">
        <f t="shared" si="62"/>
        <v>0</v>
      </c>
      <c r="AL547" s="86">
        <v>30076000</v>
      </c>
      <c r="AM547" s="86">
        <f t="shared" si="63"/>
        <v>7004000</v>
      </c>
      <c r="AN547" s="63" t="s">
        <v>1155</v>
      </c>
      <c r="AO547" s="86">
        <f t="shared" si="64"/>
        <v>0</v>
      </c>
      <c r="AP547" s="63"/>
      <c r="AQ547" s="63"/>
      <c r="AR547" s="63"/>
      <c r="AS547" s="63"/>
      <c r="AT547" s="63"/>
      <c r="AU547" s="220"/>
      <c r="AV547" s="220"/>
      <c r="AW547" s="220"/>
    </row>
    <row r="548" spans="1:49" s="221" customFormat="1" ht="213.75" x14ac:dyDescent="0.25">
      <c r="A548" s="63">
        <v>134</v>
      </c>
      <c r="B548" s="63" t="str">
        <f t="shared" si="61"/>
        <v>3075-134</v>
      </c>
      <c r="C548" s="76" t="s">
        <v>1141</v>
      </c>
      <c r="D548" s="76" t="s">
        <v>1142</v>
      </c>
      <c r="E548" s="76" t="s">
        <v>1143</v>
      </c>
      <c r="F548" s="76" t="s">
        <v>1158</v>
      </c>
      <c r="G548" s="77" t="s">
        <v>1159</v>
      </c>
      <c r="H548" s="78" t="s">
        <v>1160</v>
      </c>
      <c r="I548" s="76" t="s">
        <v>1147</v>
      </c>
      <c r="J548" s="76" t="s">
        <v>1148</v>
      </c>
      <c r="K548" s="76">
        <v>801116</v>
      </c>
      <c r="L548" s="63" t="s">
        <v>1149</v>
      </c>
      <c r="M548" s="63" t="s">
        <v>58</v>
      </c>
      <c r="N548" s="63" t="s">
        <v>59</v>
      </c>
      <c r="O548" s="76" t="s">
        <v>1213</v>
      </c>
      <c r="P548" s="76" t="s">
        <v>1554</v>
      </c>
      <c r="Q548" s="83">
        <v>4120000</v>
      </c>
      <c r="R548" s="63">
        <v>1</v>
      </c>
      <c r="S548" s="80">
        <v>41200000</v>
      </c>
      <c r="T548" s="63" t="s">
        <v>888</v>
      </c>
      <c r="U548" s="63" t="s">
        <v>1163</v>
      </c>
      <c r="V548" s="81" t="s">
        <v>64</v>
      </c>
      <c r="W548" s="82">
        <v>10</v>
      </c>
      <c r="X548" s="63" t="s">
        <v>1555</v>
      </c>
      <c r="Y548" s="81">
        <v>43102</v>
      </c>
      <c r="Z548" s="83">
        <v>41200000</v>
      </c>
      <c r="AA548" s="84" t="s">
        <v>1552</v>
      </c>
      <c r="AB548" s="85">
        <v>386</v>
      </c>
      <c r="AC548" s="81">
        <v>43110</v>
      </c>
      <c r="AD548" s="86">
        <v>41200000</v>
      </c>
      <c r="AE548" s="87">
        <f t="shared" si="60"/>
        <v>0</v>
      </c>
      <c r="AF548" s="85">
        <v>287</v>
      </c>
      <c r="AG548" s="81">
        <v>43122</v>
      </c>
      <c r="AH548" s="86">
        <v>41200000</v>
      </c>
      <c r="AI548" s="63" t="s">
        <v>1556</v>
      </c>
      <c r="AJ548" s="63">
        <v>251</v>
      </c>
      <c r="AK548" s="87">
        <f t="shared" si="62"/>
        <v>0</v>
      </c>
      <c r="AL548" s="86">
        <v>30076000</v>
      </c>
      <c r="AM548" s="86">
        <f t="shared" si="63"/>
        <v>11124000</v>
      </c>
      <c r="AN548" s="63" t="s">
        <v>1155</v>
      </c>
      <c r="AO548" s="86">
        <f t="shared" si="64"/>
        <v>0</v>
      </c>
      <c r="AP548" s="63"/>
      <c r="AQ548" s="63"/>
      <c r="AR548" s="63"/>
      <c r="AS548" s="63"/>
      <c r="AT548" s="63"/>
      <c r="AU548" s="220"/>
      <c r="AV548" s="220"/>
      <c r="AW548" s="220"/>
    </row>
    <row r="549" spans="1:49" s="221" customFormat="1" ht="242.25" x14ac:dyDescent="0.25">
      <c r="A549" s="63">
        <v>135</v>
      </c>
      <c r="B549" s="63" t="str">
        <f t="shared" si="61"/>
        <v>3075-135</v>
      </c>
      <c r="C549" s="76" t="s">
        <v>1141</v>
      </c>
      <c r="D549" s="76" t="s">
        <v>1142</v>
      </c>
      <c r="E549" s="76" t="s">
        <v>1143</v>
      </c>
      <c r="F549" s="76" t="s">
        <v>1158</v>
      </c>
      <c r="G549" s="77" t="s">
        <v>1159</v>
      </c>
      <c r="H549" s="78" t="s">
        <v>1160</v>
      </c>
      <c r="I549" s="76" t="s">
        <v>1147</v>
      </c>
      <c r="J549" s="76" t="s">
        <v>1148</v>
      </c>
      <c r="K549" s="76">
        <v>801116</v>
      </c>
      <c r="L549" s="63" t="s">
        <v>1149</v>
      </c>
      <c r="M549" s="63" t="s">
        <v>58</v>
      </c>
      <c r="N549" s="63" t="s">
        <v>59</v>
      </c>
      <c r="O549" s="76" t="s">
        <v>1213</v>
      </c>
      <c r="P549" s="76" t="s">
        <v>1219</v>
      </c>
      <c r="Q549" s="83">
        <v>1751000</v>
      </c>
      <c r="R549" s="63">
        <v>1</v>
      </c>
      <c r="S549" s="80">
        <v>19261000</v>
      </c>
      <c r="T549" s="63" t="s">
        <v>928</v>
      </c>
      <c r="U549" s="63" t="s">
        <v>1163</v>
      </c>
      <c r="V549" s="81" t="s">
        <v>64</v>
      </c>
      <c r="W549" s="82">
        <v>11</v>
      </c>
      <c r="X549" s="63" t="s">
        <v>1557</v>
      </c>
      <c r="Y549" s="81">
        <v>43102</v>
      </c>
      <c r="Z549" s="83">
        <v>19261000</v>
      </c>
      <c r="AA549" s="84" t="s">
        <v>1537</v>
      </c>
      <c r="AB549" s="85">
        <v>387</v>
      </c>
      <c r="AC549" s="81">
        <v>43110</v>
      </c>
      <c r="AD549" s="86">
        <v>19261000</v>
      </c>
      <c r="AE549" s="87">
        <f t="shared" si="60"/>
        <v>0</v>
      </c>
      <c r="AF549" s="85">
        <v>126</v>
      </c>
      <c r="AG549" s="81">
        <v>43117</v>
      </c>
      <c r="AH549" s="86">
        <v>19261000</v>
      </c>
      <c r="AI549" s="63" t="s">
        <v>1558</v>
      </c>
      <c r="AJ549" s="63">
        <v>118</v>
      </c>
      <c r="AK549" s="87">
        <f t="shared" si="62"/>
        <v>0</v>
      </c>
      <c r="AL549" s="86">
        <v>13015767</v>
      </c>
      <c r="AM549" s="86">
        <f t="shared" si="63"/>
        <v>6245233</v>
      </c>
      <c r="AN549" s="63" t="s">
        <v>1155</v>
      </c>
      <c r="AO549" s="86">
        <f t="shared" si="64"/>
        <v>0</v>
      </c>
      <c r="AP549" s="63"/>
      <c r="AQ549" s="63"/>
      <c r="AR549" s="63"/>
      <c r="AS549" s="63"/>
      <c r="AT549" s="63"/>
      <c r="AU549" s="220"/>
      <c r="AV549" s="220"/>
      <c r="AW549" s="220"/>
    </row>
    <row r="550" spans="1:49" s="221" customFormat="1" ht="242.25" x14ac:dyDescent="0.25">
      <c r="A550" s="63">
        <v>136</v>
      </c>
      <c r="B550" s="63" t="str">
        <f t="shared" si="61"/>
        <v>3075-136</v>
      </c>
      <c r="C550" s="76" t="s">
        <v>1141</v>
      </c>
      <c r="D550" s="76" t="s">
        <v>1142</v>
      </c>
      <c r="E550" s="76" t="s">
        <v>1143</v>
      </c>
      <c r="F550" s="76" t="s">
        <v>1158</v>
      </c>
      <c r="G550" s="77" t="s">
        <v>1159</v>
      </c>
      <c r="H550" s="78" t="s">
        <v>1160</v>
      </c>
      <c r="I550" s="76" t="s">
        <v>1147</v>
      </c>
      <c r="J550" s="76" t="s">
        <v>1148</v>
      </c>
      <c r="K550" s="76">
        <v>801116</v>
      </c>
      <c r="L550" s="63" t="s">
        <v>1149</v>
      </c>
      <c r="M550" s="63" t="s">
        <v>58</v>
      </c>
      <c r="N550" s="63" t="s">
        <v>59</v>
      </c>
      <c r="O550" s="76" t="s">
        <v>1213</v>
      </c>
      <c r="P550" s="76" t="s">
        <v>1241</v>
      </c>
      <c r="Q550" s="83">
        <v>4120000</v>
      </c>
      <c r="R550" s="63">
        <v>1</v>
      </c>
      <c r="S550" s="80">
        <v>45320000</v>
      </c>
      <c r="T550" s="63" t="s">
        <v>888</v>
      </c>
      <c r="U550" s="63" t="s">
        <v>1163</v>
      </c>
      <c r="V550" s="81" t="s">
        <v>64</v>
      </c>
      <c r="W550" s="82">
        <v>11</v>
      </c>
      <c r="X550" s="63" t="s">
        <v>1559</v>
      </c>
      <c r="Y550" s="81">
        <v>43102</v>
      </c>
      <c r="Z550" s="83">
        <v>45320000</v>
      </c>
      <c r="AA550" s="84" t="s">
        <v>1534</v>
      </c>
      <c r="AB550" s="85">
        <v>388</v>
      </c>
      <c r="AC550" s="81">
        <v>43110</v>
      </c>
      <c r="AD550" s="86">
        <v>45320000</v>
      </c>
      <c r="AE550" s="87">
        <f t="shared" si="60"/>
        <v>0</v>
      </c>
      <c r="AF550" s="85">
        <v>129</v>
      </c>
      <c r="AG550" s="81">
        <v>43117</v>
      </c>
      <c r="AH550" s="86">
        <v>45320000</v>
      </c>
      <c r="AI550" s="63" t="s">
        <v>1560</v>
      </c>
      <c r="AJ550" s="63">
        <v>120</v>
      </c>
      <c r="AK550" s="87">
        <f t="shared" si="62"/>
        <v>0</v>
      </c>
      <c r="AL550" s="86">
        <v>30625333</v>
      </c>
      <c r="AM550" s="86">
        <f t="shared" si="63"/>
        <v>14694667</v>
      </c>
      <c r="AN550" s="63" t="s">
        <v>1155</v>
      </c>
      <c r="AO550" s="86">
        <f t="shared" si="64"/>
        <v>0</v>
      </c>
      <c r="AP550" s="63"/>
      <c r="AQ550" s="63"/>
      <c r="AR550" s="63"/>
      <c r="AS550" s="63"/>
      <c r="AT550" s="63"/>
      <c r="AU550" s="220"/>
      <c r="AV550" s="220"/>
      <c r="AW550" s="220"/>
    </row>
    <row r="551" spans="1:49" s="221" customFormat="1" ht="242.25" x14ac:dyDescent="0.25">
      <c r="A551" s="63">
        <v>137</v>
      </c>
      <c r="B551" s="63" t="str">
        <f t="shared" si="61"/>
        <v>3075-137</v>
      </c>
      <c r="C551" s="76" t="s">
        <v>1141</v>
      </c>
      <c r="D551" s="76" t="s">
        <v>1142</v>
      </c>
      <c r="E551" s="76" t="s">
        <v>1143</v>
      </c>
      <c r="F551" s="76" t="s">
        <v>1158</v>
      </c>
      <c r="G551" s="77" t="s">
        <v>1159</v>
      </c>
      <c r="H551" s="78" t="s">
        <v>1160</v>
      </c>
      <c r="I551" s="76" t="s">
        <v>1147</v>
      </c>
      <c r="J551" s="76" t="s">
        <v>1148</v>
      </c>
      <c r="K551" s="76">
        <v>801116</v>
      </c>
      <c r="L551" s="63" t="s">
        <v>1149</v>
      </c>
      <c r="M551" s="63" t="s">
        <v>58</v>
      </c>
      <c r="N551" s="63" t="s">
        <v>59</v>
      </c>
      <c r="O551" s="76" t="s">
        <v>1213</v>
      </c>
      <c r="P551" s="94" t="s">
        <v>1219</v>
      </c>
      <c r="Q551" s="83">
        <v>1545000</v>
      </c>
      <c r="R551" s="63">
        <v>1</v>
      </c>
      <c r="S551" s="80">
        <v>16995000</v>
      </c>
      <c r="T551" s="63" t="s">
        <v>928</v>
      </c>
      <c r="U551" s="63" t="s">
        <v>1163</v>
      </c>
      <c r="V551" s="81" t="s">
        <v>64</v>
      </c>
      <c r="W551" s="82">
        <v>11</v>
      </c>
      <c r="X551" s="63" t="s">
        <v>1561</v>
      </c>
      <c r="Y551" s="81">
        <v>43102</v>
      </c>
      <c r="Z551" s="83">
        <v>16995000</v>
      </c>
      <c r="AA551" s="84" t="s">
        <v>1544</v>
      </c>
      <c r="AB551" s="85">
        <v>389</v>
      </c>
      <c r="AC551" s="81">
        <v>43110</v>
      </c>
      <c r="AD551" s="86">
        <v>16995000</v>
      </c>
      <c r="AE551" s="87">
        <f t="shared" si="60"/>
        <v>0</v>
      </c>
      <c r="AF551" s="85">
        <v>355</v>
      </c>
      <c r="AG551" s="81">
        <v>43123</v>
      </c>
      <c r="AH551" s="86">
        <v>16995000</v>
      </c>
      <c r="AI551" s="63" t="s">
        <v>1562</v>
      </c>
      <c r="AJ551" s="63">
        <v>352</v>
      </c>
      <c r="AK551" s="87">
        <f t="shared" si="62"/>
        <v>0</v>
      </c>
      <c r="AL551" s="86">
        <v>11124000</v>
      </c>
      <c r="AM551" s="86">
        <f t="shared" si="63"/>
        <v>5871000</v>
      </c>
      <c r="AN551" s="63" t="s">
        <v>1155</v>
      </c>
      <c r="AO551" s="86">
        <f t="shared" si="64"/>
        <v>0</v>
      </c>
      <c r="AP551" s="63"/>
      <c r="AQ551" s="63"/>
      <c r="AR551" s="63"/>
      <c r="AS551" s="63"/>
      <c r="AT551" s="63"/>
      <c r="AU551" s="220"/>
      <c r="AV551" s="220"/>
      <c r="AW551" s="220"/>
    </row>
    <row r="552" spans="1:49" s="221" customFormat="1" ht="299.25" x14ac:dyDescent="0.25">
      <c r="A552" s="63">
        <v>138</v>
      </c>
      <c r="B552" s="63" t="str">
        <f t="shared" si="61"/>
        <v>3075-138</v>
      </c>
      <c r="C552" s="76" t="s">
        <v>1141</v>
      </c>
      <c r="D552" s="76" t="s">
        <v>1142</v>
      </c>
      <c r="E552" s="76" t="s">
        <v>1143</v>
      </c>
      <c r="F552" s="76" t="s">
        <v>1158</v>
      </c>
      <c r="G552" s="77" t="s">
        <v>1159</v>
      </c>
      <c r="H552" s="78" t="s">
        <v>1160</v>
      </c>
      <c r="I552" s="76" t="s">
        <v>1147</v>
      </c>
      <c r="J552" s="76" t="s">
        <v>1148</v>
      </c>
      <c r="K552" s="76">
        <v>801116</v>
      </c>
      <c r="L552" s="63" t="s">
        <v>1149</v>
      </c>
      <c r="M552" s="63" t="s">
        <v>58</v>
      </c>
      <c r="N552" s="63" t="s">
        <v>59</v>
      </c>
      <c r="O552" s="76" t="s">
        <v>1213</v>
      </c>
      <c r="P552" s="76" t="s">
        <v>1563</v>
      </c>
      <c r="Q552" s="83">
        <v>4120000</v>
      </c>
      <c r="R552" s="63">
        <v>1</v>
      </c>
      <c r="S552" s="80">
        <v>41200000</v>
      </c>
      <c r="T552" s="63" t="s">
        <v>888</v>
      </c>
      <c r="U552" s="63" t="s">
        <v>1163</v>
      </c>
      <c r="V552" s="81" t="s">
        <v>64</v>
      </c>
      <c r="W552" s="82">
        <v>10</v>
      </c>
      <c r="X552" s="63" t="s">
        <v>1564</v>
      </c>
      <c r="Y552" s="81">
        <v>43102</v>
      </c>
      <c r="Z552" s="83">
        <v>41200000</v>
      </c>
      <c r="AA552" s="84" t="s">
        <v>1548</v>
      </c>
      <c r="AB552" s="85">
        <v>392</v>
      </c>
      <c r="AC552" s="81">
        <v>43110</v>
      </c>
      <c r="AD552" s="86">
        <v>41200000</v>
      </c>
      <c r="AE552" s="87">
        <f t="shared" si="60"/>
        <v>0</v>
      </c>
      <c r="AF552" s="85">
        <v>124</v>
      </c>
      <c r="AG552" s="81">
        <v>43117</v>
      </c>
      <c r="AH552" s="86">
        <v>41200000</v>
      </c>
      <c r="AI552" s="63" t="s">
        <v>1565</v>
      </c>
      <c r="AJ552" s="63">
        <v>117</v>
      </c>
      <c r="AK552" s="87">
        <f t="shared" si="62"/>
        <v>0</v>
      </c>
      <c r="AL552" s="86">
        <v>30625333</v>
      </c>
      <c r="AM552" s="86">
        <f t="shared" si="63"/>
        <v>10574667</v>
      </c>
      <c r="AN552" s="63" t="s">
        <v>1155</v>
      </c>
      <c r="AO552" s="86">
        <f t="shared" si="64"/>
        <v>0</v>
      </c>
      <c r="AP552" s="63"/>
      <c r="AQ552" s="63"/>
      <c r="AR552" s="63"/>
      <c r="AS552" s="63"/>
      <c r="AT552" s="63"/>
      <c r="AU552" s="220"/>
      <c r="AV552" s="220"/>
      <c r="AW552" s="220"/>
    </row>
    <row r="553" spans="1:49" s="221" customFormat="1" ht="285" x14ac:dyDescent="0.25">
      <c r="A553" s="63">
        <v>139</v>
      </c>
      <c r="B553" s="63" t="str">
        <f t="shared" si="61"/>
        <v>3075-139</v>
      </c>
      <c r="C553" s="76" t="s">
        <v>1141</v>
      </c>
      <c r="D553" s="76" t="s">
        <v>1142</v>
      </c>
      <c r="E553" s="76" t="s">
        <v>1143</v>
      </c>
      <c r="F553" s="76" t="s">
        <v>1158</v>
      </c>
      <c r="G553" s="77" t="s">
        <v>1159</v>
      </c>
      <c r="H553" s="78" t="s">
        <v>1160</v>
      </c>
      <c r="I553" s="76" t="s">
        <v>1147</v>
      </c>
      <c r="J553" s="76" t="s">
        <v>1148</v>
      </c>
      <c r="K553" s="76">
        <v>801116</v>
      </c>
      <c r="L553" s="63" t="s">
        <v>1149</v>
      </c>
      <c r="M553" s="63" t="s">
        <v>58</v>
      </c>
      <c r="N553" s="63" t="s">
        <v>59</v>
      </c>
      <c r="O553" s="76" t="s">
        <v>1213</v>
      </c>
      <c r="P553" s="76" t="s">
        <v>1566</v>
      </c>
      <c r="Q553" s="83">
        <v>4120000</v>
      </c>
      <c r="R553" s="63">
        <v>1</v>
      </c>
      <c r="S553" s="80">
        <v>32960000</v>
      </c>
      <c r="T553" s="63" t="s">
        <v>888</v>
      </c>
      <c r="U553" s="63" t="s">
        <v>1163</v>
      </c>
      <c r="V553" s="81" t="s">
        <v>64</v>
      </c>
      <c r="W553" s="82">
        <v>8</v>
      </c>
      <c r="X553" s="63" t="s">
        <v>1567</v>
      </c>
      <c r="Y553" s="81">
        <v>43102</v>
      </c>
      <c r="Z553" s="83">
        <v>32960000</v>
      </c>
      <c r="AA553" s="84" t="s">
        <v>1548</v>
      </c>
      <c r="AB553" s="85">
        <v>394</v>
      </c>
      <c r="AC553" s="81">
        <v>43110</v>
      </c>
      <c r="AD553" s="86">
        <v>32960000</v>
      </c>
      <c r="AE553" s="87">
        <f t="shared" si="60"/>
        <v>0</v>
      </c>
      <c r="AF553" s="85">
        <v>391</v>
      </c>
      <c r="AG553" s="81">
        <v>43124</v>
      </c>
      <c r="AH553" s="86">
        <v>32960000</v>
      </c>
      <c r="AI553" s="63" t="s">
        <v>1568</v>
      </c>
      <c r="AJ553" s="63">
        <v>313</v>
      </c>
      <c r="AK553" s="87">
        <f t="shared" si="62"/>
        <v>0</v>
      </c>
      <c r="AL553" s="86">
        <v>29801333</v>
      </c>
      <c r="AM553" s="86">
        <f t="shared" si="63"/>
        <v>3158667</v>
      </c>
      <c r="AN553" s="63" t="s">
        <v>1155</v>
      </c>
      <c r="AO553" s="86">
        <f t="shared" si="64"/>
        <v>0</v>
      </c>
      <c r="AP553" s="63"/>
      <c r="AQ553" s="63"/>
      <c r="AR553" s="63"/>
      <c r="AS553" s="63"/>
      <c r="AT553" s="63"/>
      <c r="AU553" s="220"/>
      <c r="AV553" s="220"/>
      <c r="AW553" s="220"/>
    </row>
    <row r="554" spans="1:49" s="221" customFormat="1" ht="213.75" x14ac:dyDescent="0.25">
      <c r="A554" s="63">
        <v>140</v>
      </c>
      <c r="B554" s="63" t="str">
        <f t="shared" si="61"/>
        <v>3075-140</v>
      </c>
      <c r="C554" s="76" t="s">
        <v>1141</v>
      </c>
      <c r="D554" s="76" t="s">
        <v>1142</v>
      </c>
      <c r="E554" s="76" t="s">
        <v>1143</v>
      </c>
      <c r="F554" s="76" t="s">
        <v>1158</v>
      </c>
      <c r="G554" s="77" t="s">
        <v>1159</v>
      </c>
      <c r="H554" s="78" t="s">
        <v>1160</v>
      </c>
      <c r="I554" s="76" t="s">
        <v>1147</v>
      </c>
      <c r="J554" s="76" t="s">
        <v>1148</v>
      </c>
      <c r="K554" s="76">
        <v>801116</v>
      </c>
      <c r="L554" s="63" t="s">
        <v>1149</v>
      </c>
      <c r="M554" s="63" t="s">
        <v>58</v>
      </c>
      <c r="N554" s="63" t="s">
        <v>59</v>
      </c>
      <c r="O554" s="76" t="s">
        <v>1213</v>
      </c>
      <c r="P554" s="76" t="s">
        <v>1276</v>
      </c>
      <c r="Q554" s="83">
        <v>2472000</v>
      </c>
      <c r="R554" s="63">
        <v>1</v>
      </c>
      <c r="S554" s="80">
        <v>27192000</v>
      </c>
      <c r="T554" s="63" t="s">
        <v>928</v>
      </c>
      <c r="U554" s="63" t="s">
        <v>1163</v>
      </c>
      <c r="V554" s="81" t="s">
        <v>64</v>
      </c>
      <c r="W554" s="82">
        <v>11</v>
      </c>
      <c r="X554" s="63" t="s">
        <v>1569</v>
      </c>
      <c r="Y554" s="81">
        <v>43102</v>
      </c>
      <c r="Z554" s="83">
        <v>27192000</v>
      </c>
      <c r="AA554" s="84" t="s">
        <v>1570</v>
      </c>
      <c r="AB554" s="85">
        <v>396</v>
      </c>
      <c r="AC554" s="81">
        <v>43110</v>
      </c>
      <c r="AD554" s="86">
        <v>27192000</v>
      </c>
      <c r="AE554" s="87">
        <f t="shared" si="60"/>
        <v>0</v>
      </c>
      <c r="AF554" s="85">
        <v>283</v>
      </c>
      <c r="AG554" s="81">
        <v>43122</v>
      </c>
      <c r="AH554" s="86">
        <v>27192000</v>
      </c>
      <c r="AI554" s="63" t="s">
        <v>1571</v>
      </c>
      <c r="AJ554" s="63">
        <v>253</v>
      </c>
      <c r="AK554" s="87">
        <f t="shared" si="62"/>
        <v>0</v>
      </c>
      <c r="AL554" s="86">
        <v>18045600</v>
      </c>
      <c r="AM554" s="86">
        <f t="shared" si="63"/>
        <v>9146400</v>
      </c>
      <c r="AN554" s="63" t="s">
        <v>1155</v>
      </c>
      <c r="AO554" s="86">
        <f t="shared" si="64"/>
        <v>0</v>
      </c>
      <c r="AP554" s="63"/>
      <c r="AQ554" s="63"/>
      <c r="AR554" s="63"/>
      <c r="AS554" s="63"/>
      <c r="AT554" s="63"/>
      <c r="AU554" s="220"/>
      <c r="AV554" s="220"/>
      <c r="AW554" s="220"/>
    </row>
    <row r="555" spans="1:49" s="221" customFormat="1" ht="342" x14ac:dyDescent="0.25">
      <c r="A555" s="63">
        <v>141</v>
      </c>
      <c r="B555" s="63" t="str">
        <f t="shared" si="61"/>
        <v>3075-141</v>
      </c>
      <c r="C555" s="76" t="s">
        <v>1141</v>
      </c>
      <c r="D555" s="76" t="s">
        <v>1142</v>
      </c>
      <c r="E555" s="76" t="s">
        <v>1143</v>
      </c>
      <c r="F555" s="76" t="s">
        <v>1158</v>
      </c>
      <c r="G555" s="77" t="s">
        <v>1159</v>
      </c>
      <c r="H555" s="78" t="s">
        <v>1160</v>
      </c>
      <c r="I555" s="76" t="s">
        <v>1147</v>
      </c>
      <c r="J555" s="76" t="s">
        <v>1148</v>
      </c>
      <c r="K555" s="76">
        <v>801116</v>
      </c>
      <c r="L555" s="63" t="s">
        <v>1149</v>
      </c>
      <c r="M555" s="63" t="s">
        <v>58</v>
      </c>
      <c r="N555" s="63" t="s">
        <v>59</v>
      </c>
      <c r="O555" s="76" t="s">
        <v>1213</v>
      </c>
      <c r="P555" s="76" t="s">
        <v>1294</v>
      </c>
      <c r="Q555" s="83">
        <v>4120000</v>
      </c>
      <c r="R555" s="63">
        <v>1</v>
      </c>
      <c r="S555" s="80">
        <v>41200000</v>
      </c>
      <c r="T555" s="63" t="s">
        <v>888</v>
      </c>
      <c r="U555" s="63" t="s">
        <v>1163</v>
      </c>
      <c r="V555" s="81" t="s">
        <v>64</v>
      </c>
      <c r="W555" s="82">
        <v>10</v>
      </c>
      <c r="X555" s="63" t="s">
        <v>1572</v>
      </c>
      <c r="Y555" s="81">
        <v>43102</v>
      </c>
      <c r="Z555" s="83">
        <v>41200000</v>
      </c>
      <c r="AA555" s="84" t="s">
        <v>1573</v>
      </c>
      <c r="AB555" s="85">
        <v>398</v>
      </c>
      <c r="AC555" s="81">
        <v>43110</v>
      </c>
      <c r="AD555" s="86">
        <v>41200000</v>
      </c>
      <c r="AE555" s="87">
        <f t="shared" si="60"/>
        <v>0</v>
      </c>
      <c r="AF555" s="85">
        <v>189</v>
      </c>
      <c r="AG555" s="81">
        <v>43118</v>
      </c>
      <c r="AH555" s="86">
        <v>41200000</v>
      </c>
      <c r="AI555" s="63" t="s">
        <v>1574</v>
      </c>
      <c r="AJ555" s="63">
        <v>168</v>
      </c>
      <c r="AK555" s="87">
        <f t="shared" si="62"/>
        <v>0</v>
      </c>
      <c r="AL555" s="86">
        <v>30488000</v>
      </c>
      <c r="AM555" s="86">
        <f t="shared" si="63"/>
        <v>10712000</v>
      </c>
      <c r="AN555" s="63" t="s">
        <v>1155</v>
      </c>
      <c r="AO555" s="86">
        <f t="shared" si="64"/>
        <v>0</v>
      </c>
      <c r="AP555" s="63"/>
      <c r="AQ555" s="63"/>
      <c r="AR555" s="63"/>
      <c r="AS555" s="63"/>
      <c r="AT555" s="63"/>
      <c r="AU555" s="220"/>
      <c r="AV555" s="220"/>
      <c r="AW555" s="220"/>
    </row>
    <row r="556" spans="1:49" s="221" customFormat="1" ht="213.75" x14ac:dyDescent="0.25">
      <c r="A556" s="63">
        <v>142</v>
      </c>
      <c r="B556" s="63" t="str">
        <f t="shared" si="61"/>
        <v>3075-142</v>
      </c>
      <c r="C556" s="76" t="s">
        <v>1141</v>
      </c>
      <c r="D556" s="76" t="s">
        <v>1142</v>
      </c>
      <c r="E556" s="76" t="s">
        <v>1143</v>
      </c>
      <c r="F556" s="76" t="s">
        <v>1158</v>
      </c>
      <c r="G556" s="77" t="s">
        <v>1159</v>
      </c>
      <c r="H556" s="78" t="s">
        <v>1160</v>
      </c>
      <c r="I556" s="76" t="s">
        <v>1147</v>
      </c>
      <c r="J556" s="76" t="s">
        <v>1148</v>
      </c>
      <c r="K556" s="76">
        <v>801116</v>
      </c>
      <c r="L556" s="63" t="s">
        <v>1149</v>
      </c>
      <c r="M556" s="63" t="s">
        <v>58</v>
      </c>
      <c r="N556" s="63" t="s">
        <v>59</v>
      </c>
      <c r="O556" s="76" t="s">
        <v>1213</v>
      </c>
      <c r="P556" s="76" t="s">
        <v>1575</v>
      </c>
      <c r="Q556" s="83">
        <v>3399000</v>
      </c>
      <c r="R556" s="63">
        <v>1</v>
      </c>
      <c r="S556" s="80">
        <v>33990000</v>
      </c>
      <c r="T556" s="63" t="s">
        <v>888</v>
      </c>
      <c r="U556" s="63" t="s">
        <v>1163</v>
      </c>
      <c r="V556" s="81" t="s">
        <v>64</v>
      </c>
      <c r="W556" s="82">
        <v>10</v>
      </c>
      <c r="X556" s="63" t="s">
        <v>1576</v>
      </c>
      <c r="Y556" s="81">
        <v>43102</v>
      </c>
      <c r="Z556" s="83">
        <v>33990000</v>
      </c>
      <c r="AA556" s="84" t="s">
        <v>1577</v>
      </c>
      <c r="AB556" s="85">
        <v>448</v>
      </c>
      <c r="AC556" s="81">
        <v>43111</v>
      </c>
      <c r="AD556" s="86">
        <v>33990000</v>
      </c>
      <c r="AE556" s="87">
        <f t="shared" si="60"/>
        <v>0</v>
      </c>
      <c r="AF556" s="85">
        <v>199</v>
      </c>
      <c r="AG556" s="81">
        <v>43118</v>
      </c>
      <c r="AH556" s="86">
        <v>33990000</v>
      </c>
      <c r="AI556" s="63" t="s">
        <v>1578</v>
      </c>
      <c r="AJ556" s="63">
        <v>179</v>
      </c>
      <c r="AK556" s="87">
        <f t="shared" si="62"/>
        <v>0</v>
      </c>
      <c r="AL556" s="86">
        <v>25152600</v>
      </c>
      <c r="AM556" s="86">
        <f t="shared" si="63"/>
        <v>8837400</v>
      </c>
      <c r="AN556" s="63" t="s">
        <v>1155</v>
      </c>
      <c r="AO556" s="86">
        <f t="shared" si="64"/>
        <v>0</v>
      </c>
      <c r="AP556" s="63"/>
      <c r="AQ556" s="63"/>
      <c r="AR556" s="63"/>
      <c r="AS556" s="63"/>
      <c r="AT556" s="63"/>
      <c r="AU556" s="220"/>
      <c r="AV556" s="220"/>
      <c r="AW556" s="220"/>
    </row>
    <row r="557" spans="1:49" s="221" customFormat="1" ht="213.75" x14ac:dyDescent="0.25">
      <c r="A557" s="63">
        <v>143</v>
      </c>
      <c r="B557" s="63" t="str">
        <f t="shared" si="61"/>
        <v>3075-143</v>
      </c>
      <c r="C557" s="76" t="s">
        <v>1141</v>
      </c>
      <c r="D557" s="76" t="s">
        <v>1142</v>
      </c>
      <c r="E557" s="76" t="s">
        <v>1143</v>
      </c>
      <c r="F557" s="76" t="s">
        <v>1158</v>
      </c>
      <c r="G557" s="77" t="s">
        <v>1159</v>
      </c>
      <c r="H557" s="78" t="s">
        <v>1160</v>
      </c>
      <c r="I557" s="76" t="s">
        <v>1147</v>
      </c>
      <c r="J557" s="76" t="s">
        <v>1148</v>
      </c>
      <c r="K557" s="76">
        <v>801116</v>
      </c>
      <c r="L557" s="63" t="s">
        <v>1149</v>
      </c>
      <c r="M557" s="63" t="s">
        <v>58</v>
      </c>
      <c r="N557" s="63" t="s">
        <v>59</v>
      </c>
      <c r="O557" s="76" t="s">
        <v>1213</v>
      </c>
      <c r="P557" s="76" t="s">
        <v>1287</v>
      </c>
      <c r="Q557" s="83">
        <v>4120000</v>
      </c>
      <c r="R557" s="63">
        <v>1</v>
      </c>
      <c r="S557" s="80">
        <v>41200000</v>
      </c>
      <c r="T557" s="63" t="s">
        <v>888</v>
      </c>
      <c r="U557" s="63" t="s">
        <v>1163</v>
      </c>
      <c r="V557" s="81" t="s">
        <v>64</v>
      </c>
      <c r="W557" s="82">
        <v>10</v>
      </c>
      <c r="X557" s="63" t="s">
        <v>1579</v>
      </c>
      <c r="Y557" s="81">
        <v>43102</v>
      </c>
      <c r="Z557" s="83">
        <v>41200000</v>
      </c>
      <c r="AA557" s="84" t="s">
        <v>1528</v>
      </c>
      <c r="AB557" s="85">
        <v>399</v>
      </c>
      <c r="AC557" s="81">
        <v>43110</v>
      </c>
      <c r="AD557" s="86">
        <v>41200000</v>
      </c>
      <c r="AE557" s="87">
        <f t="shared" si="60"/>
        <v>0</v>
      </c>
      <c r="AF557" s="85">
        <v>417</v>
      </c>
      <c r="AG557" s="81">
        <v>43124</v>
      </c>
      <c r="AH557" s="86">
        <v>41200000</v>
      </c>
      <c r="AI557" s="63" t="s">
        <v>1580</v>
      </c>
      <c r="AJ557" s="63">
        <v>338</v>
      </c>
      <c r="AK557" s="87">
        <f t="shared" si="62"/>
        <v>0</v>
      </c>
      <c r="AL557" s="86">
        <v>28153334</v>
      </c>
      <c r="AM557" s="86">
        <f t="shared" si="63"/>
        <v>13046666</v>
      </c>
      <c r="AN557" s="63" t="s">
        <v>1155</v>
      </c>
      <c r="AO557" s="86">
        <f t="shared" si="64"/>
        <v>0</v>
      </c>
      <c r="AP557" s="63"/>
      <c r="AQ557" s="63"/>
      <c r="AR557" s="63"/>
      <c r="AS557" s="63"/>
      <c r="AT557" s="63"/>
      <c r="AU557" s="220"/>
      <c r="AV557" s="220"/>
      <c r="AW557" s="220"/>
    </row>
    <row r="558" spans="1:49" s="221" customFormat="1" ht="213.75" x14ac:dyDescent="0.25">
      <c r="A558" s="63">
        <v>144</v>
      </c>
      <c r="B558" s="63" t="str">
        <f t="shared" si="61"/>
        <v>3075-144</v>
      </c>
      <c r="C558" s="76" t="s">
        <v>1141</v>
      </c>
      <c r="D558" s="76" t="s">
        <v>1142</v>
      </c>
      <c r="E558" s="76" t="s">
        <v>1143</v>
      </c>
      <c r="F558" s="76" t="s">
        <v>1158</v>
      </c>
      <c r="G558" s="77" t="s">
        <v>1159</v>
      </c>
      <c r="H558" s="78" t="s">
        <v>1160</v>
      </c>
      <c r="I558" s="76" t="s">
        <v>1147</v>
      </c>
      <c r="J558" s="76" t="s">
        <v>1148</v>
      </c>
      <c r="K558" s="76">
        <v>801116</v>
      </c>
      <c r="L558" s="63" t="s">
        <v>1149</v>
      </c>
      <c r="M558" s="63" t="s">
        <v>58</v>
      </c>
      <c r="N558" s="63" t="s">
        <v>59</v>
      </c>
      <c r="O558" s="76" t="s">
        <v>1213</v>
      </c>
      <c r="P558" s="76" t="s">
        <v>1287</v>
      </c>
      <c r="Q558" s="83">
        <v>3553500</v>
      </c>
      <c r="R558" s="63">
        <v>1</v>
      </c>
      <c r="S558" s="80">
        <v>31981500</v>
      </c>
      <c r="T558" s="63" t="s">
        <v>888</v>
      </c>
      <c r="U558" s="63" t="s">
        <v>1163</v>
      </c>
      <c r="V558" s="81" t="s">
        <v>64</v>
      </c>
      <c r="W558" s="82">
        <v>9</v>
      </c>
      <c r="X558" s="63" t="s">
        <v>1581</v>
      </c>
      <c r="Y558" s="81">
        <v>43102</v>
      </c>
      <c r="Z558" s="83">
        <v>31981500</v>
      </c>
      <c r="AA558" s="84" t="s">
        <v>1525</v>
      </c>
      <c r="AB558" s="85">
        <v>401</v>
      </c>
      <c r="AC558" s="81">
        <v>43110</v>
      </c>
      <c r="AD558" s="86">
        <v>31981500</v>
      </c>
      <c r="AE558" s="87">
        <f t="shared" si="60"/>
        <v>0</v>
      </c>
      <c r="AF558" s="85">
        <v>197</v>
      </c>
      <c r="AG558" s="81">
        <v>43118</v>
      </c>
      <c r="AH558" s="86">
        <v>31981500</v>
      </c>
      <c r="AI558" s="63" t="s">
        <v>1582</v>
      </c>
      <c r="AJ558" s="63">
        <v>181</v>
      </c>
      <c r="AK558" s="87">
        <f t="shared" si="62"/>
        <v>0</v>
      </c>
      <c r="AL558" s="86">
        <v>26295900</v>
      </c>
      <c r="AM558" s="86">
        <f t="shared" si="63"/>
        <v>5685600</v>
      </c>
      <c r="AN558" s="63" t="s">
        <v>1155</v>
      </c>
      <c r="AO558" s="86">
        <f t="shared" si="64"/>
        <v>0</v>
      </c>
      <c r="AP558" s="63"/>
      <c r="AQ558" s="63"/>
      <c r="AR558" s="63"/>
      <c r="AS558" s="63"/>
      <c r="AT558" s="63"/>
      <c r="AU558" s="220"/>
      <c r="AV558" s="220"/>
      <c r="AW558" s="220"/>
    </row>
    <row r="559" spans="1:49" s="221" customFormat="1" ht="213.75" x14ac:dyDescent="0.25">
      <c r="A559" s="63">
        <v>145</v>
      </c>
      <c r="B559" s="63" t="str">
        <f t="shared" si="61"/>
        <v>3075-145</v>
      </c>
      <c r="C559" s="76" t="s">
        <v>1141</v>
      </c>
      <c r="D559" s="76" t="s">
        <v>1142</v>
      </c>
      <c r="E559" s="76" t="s">
        <v>1143</v>
      </c>
      <c r="F559" s="76" t="s">
        <v>1158</v>
      </c>
      <c r="G559" s="77" t="s">
        <v>1159</v>
      </c>
      <c r="H559" s="78" t="s">
        <v>1160</v>
      </c>
      <c r="I559" s="76" t="s">
        <v>1147</v>
      </c>
      <c r="J559" s="76" t="s">
        <v>1148</v>
      </c>
      <c r="K559" s="76">
        <v>801116</v>
      </c>
      <c r="L559" s="63" t="s">
        <v>1149</v>
      </c>
      <c r="M559" s="63" t="s">
        <v>58</v>
      </c>
      <c r="N559" s="63" t="s">
        <v>59</v>
      </c>
      <c r="O559" s="76" t="s">
        <v>1213</v>
      </c>
      <c r="P559" s="76" t="s">
        <v>1583</v>
      </c>
      <c r="Q559" s="83">
        <v>3553500</v>
      </c>
      <c r="R559" s="63">
        <v>1</v>
      </c>
      <c r="S559" s="80">
        <v>31981500</v>
      </c>
      <c r="T559" s="63" t="s">
        <v>888</v>
      </c>
      <c r="U559" s="63" t="s">
        <v>1163</v>
      </c>
      <c r="V559" s="81" t="s">
        <v>64</v>
      </c>
      <c r="W559" s="82">
        <v>9</v>
      </c>
      <c r="X559" s="63" t="s">
        <v>1584</v>
      </c>
      <c r="Y559" s="81">
        <v>43102</v>
      </c>
      <c r="Z559" s="83">
        <v>31981500</v>
      </c>
      <c r="AA559" s="84" t="s">
        <v>1525</v>
      </c>
      <c r="AB559" s="85">
        <v>402</v>
      </c>
      <c r="AC559" s="81">
        <v>43110</v>
      </c>
      <c r="AD559" s="86">
        <v>31981500</v>
      </c>
      <c r="AE559" s="87">
        <f t="shared" ref="AE559:AE582" si="65">S559-Z559</f>
        <v>0</v>
      </c>
      <c r="AF559" s="85">
        <v>193</v>
      </c>
      <c r="AG559" s="81">
        <v>43118</v>
      </c>
      <c r="AH559" s="86">
        <v>31981500</v>
      </c>
      <c r="AI559" s="63" t="s">
        <v>1585</v>
      </c>
      <c r="AJ559" s="63">
        <v>164</v>
      </c>
      <c r="AK559" s="87">
        <f t="shared" si="62"/>
        <v>0</v>
      </c>
      <c r="AL559" s="86">
        <v>25940550</v>
      </c>
      <c r="AM559" s="86">
        <f t="shared" si="63"/>
        <v>6040950</v>
      </c>
      <c r="AN559" s="63" t="s">
        <v>1155</v>
      </c>
      <c r="AO559" s="86">
        <f t="shared" si="64"/>
        <v>0</v>
      </c>
      <c r="AP559" s="63"/>
      <c r="AQ559" s="63"/>
      <c r="AR559" s="63"/>
      <c r="AS559" s="63"/>
      <c r="AT559" s="63"/>
      <c r="AU559" s="220"/>
      <c r="AV559" s="220"/>
      <c r="AW559" s="220"/>
    </row>
    <row r="560" spans="1:49" s="221" customFormat="1" ht="213.75" x14ac:dyDescent="0.25">
      <c r="A560" s="63">
        <v>146</v>
      </c>
      <c r="B560" s="63" t="str">
        <f t="shared" si="61"/>
        <v>3075-146</v>
      </c>
      <c r="C560" s="76" t="s">
        <v>1141</v>
      </c>
      <c r="D560" s="76" t="s">
        <v>1142</v>
      </c>
      <c r="E560" s="76" t="s">
        <v>1143</v>
      </c>
      <c r="F560" s="76" t="s">
        <v>1158</v>
      </c>
      <c r="G560" s="77" t="s">
        <v>1159</v>
      </c>
      <c r="H560" s="78" t="s">
        <v>1160</v>
      </c>
      <c r="I560" s="76" t="s">
        <v>1147</v>
      </c>
      <c r="J560" s="76" t="s">
        <v>1148</v>
      </c>
      <c r="K560" s="76">
        <v>801116</v>
      </c>
      <c r="L560" s="63" t="s">
        <v>1149</v>
      </c>
      <c r="M560" s="63" t="s">
        <v>58</v>
      </c>
      <c r="N560" s="63" t="s">
        <v>59</v>
      </c>
      <c r="O560" s="76" t="s">
        <v>1213</v>
      </c>
      <c r="P560" s="76" t="s">
        <v>1583</v>
      </c>
      <c r="Q560" s="83">
        <v>4120000</v>
      </c>
      <c r="R560" s="63">
        <v>1</v>
      </c>
      <c r="S560" s="80">
        <v>45320000</v>
      </c>
      <c r="T560" s="63" t="s">
        <v>888</v>
      </c>
      <c r="U560" s="63" t="s">
        <v>1163</v>
      </c>
      <c r="V560" s="81" t="s">
        <v>64</v>
      </c>
      <c r="W560" s="82">
        <v>11</v>
      </c>
      <c r="X560" s="63" t="s">
        <v>1586</v>
      </c>
      <c r="Y560" s="81">
        <v>43102</v>
      </c>
      <c r="Z560" s="83">
        <v>45320000</v>
      </c>
      <c r="AA560" s="84" t="s">
        <v>1528</v>
      </c>
      <c r="AB560" s="85">
        <v>403</v>
      </c>
      <c r="AC560" s="81">
        <v>43110</v>
      </c>
      <c r="AD560" s="86">
        <v>45320000</v>
      </c>
      <c r="AE560" s="87">
        <f t="shared" si="65"/>
        <v>0</v>
      </c>
      <c r="AF560" s="85">
        <v>245</v>
      </c>
      <c r="AG560" s="81">
        <v>43119</v>
      </c>
      <c r="AH560" s="86">
        <v>45320000</v>
      </c>
      <c r="AI560" s="63" t="s">
        <v>1587</v>
      </c>
      <c r="AJ560" s="63">
        <v>216</v>
      </c>
      <c r="AK560" s="87">
        <f t="shared" si="62"/>
        <v>0</v>
      </c>
      <c r="AL560" s="86">
        <v>30488000</v>
      </c>
      <c r="AM560" s="86">
        <f t="shared" si="63"/>
        <v>14832000</v>
      </c>
      <c r="AN560" s="63" t="s">
        <v>1155</v>
      </c>
      <c r="AO560" s="86">
        <f t="shared" si="64"/>
        <v>0</v>
      </c>
      <c r="AP560" s="63"/>
      <c r="AQ560" s="63"/>
      <c r="AR560" s="63"/>
      <c r="AS560" s="63"/>
      <c r="AT560" s="63"/>
      <c r="AU560" s="220"/>
      <c r="AV560" s="220"/>
      <c r="AW560" s="220"/>
    </row>
    <row r="561" spans="1:49" s="221" customFormat="1" ht="213.75" x14ac:dyDescent="0.25">
      <c r="A561" s="63">
        <v>147</v>
      </c>
      <c r="B561" s="63" t="str">
        <f t="shared" si="61"/>
        <v>3075-147</v>
      </c>
      <c r="C561" s="76" t="s">
        <v>1141</v>
      </c>
      <c r="D561" s="76" t="s">
        <v>1142</v>
      </c>
      <c r="E561" s="76" t="s">
        <v>1143</v>
      </c>
      <c r="F561" s="76" t="s">
        <v>1158</v>
      </c>
      <c r="G561" s="77" t="s">
        <v>1159</v>
      </c>
      <c r="H561" s="78" t="s">
        <v>1160</v>
      </c>
      <c r="I561" s="76" t="s">
        <v>1147</v>
      </c>
      <c r="J561" s="76" t="s">
        <v>1148</v>
      </c>
      <c r="K561" s="76">
        <v>801116</v>
      </c>
      <c r="L561" s="63" t="s">
        <v>1149</v>
      </c>
      <c r="M561" s="63" t="s">
        <v>58</v>
      </c>
      <c r="N561" s="63" t="s">
        <v>59</v>
      </c>
      <c r="O561" s="76" t="s">
        <v>1213</v>
      </c>
      <c r="P561" s="76" t="s">
        <v>1287</v>
      </c>
      <c r="Q561" s="83">
        <v>4120000</v>
      </c>
      <c r="R561" s="63">
        <v>1</v>
      </c>
      <c r="S561" s="80">
        <v>41200000</v>
      </c>
      <c r="T561" s="63" t="s">
        <v>888</v>
      </c>
      <c r="U561" s="63" t="s">
        <v>1163</v>
      </c>
      <c r="V561" s="81" t="s">
        <v>64</v>
      </c>
      <c r="W561" s="82">
        <v>9.75</v>
      </c>
      <c r="X561" s="63" t="s">
        <v>1588</v>
      </c>
      <c r="Y561" s="81">
        <v>43102</v>
      </c>
      <c r="Z561" s="83">
        <v>41200000</v>
      </c>
      <c r="AA561" s="84" t="s">
        <v>1528</v>
      </c>
      <c r="AB561" s="85">
        <v>404</v>
      </c>
      <c r="AC561" s="81">
        <v>43110</v>
      </c>
      <c r="AD561" s="86">
        <v>41200000</v>
      </c>
      <c r="AE561" s="87">
        <f t="shared" si="65"/>
        <v>0</v>
      </c>
      <c r="AF561" s="85">
        <v>271</v>
      </c>
      <c r="AG561" s="81">
        <v>43119</v>
      </c>
      <c r="AH561" s="86">
        <v>41200000</v>
      </c>
      <c r="AI561" s="63" t="s">
        <v>1589</v>
      </c>
      <c r="AJ561" s="63">
        <v>241</v>
      </c>
      <c r="AK561" s="87">
        <f t="shared" si="62"/>
        <v>0</v>
      </c>
      <c r="AL561" s="86">
        <v>30076000</v>
      </c>
      <c r="AM561" s="86">
        <f t="shared" si="63"/>
        <v>11124000</v>
      </c>
      <c r="AN561" s="63" t="s">
        <v>1155</v>
      </c>
      <c r="AO561" s="86">
        <f t="shared" si="64"/>
        <v>0</v>
      </c>
      <c r="AP561" s="63"/>
      <c r="AQ561" s="63"/>
      <c r="AR561" s="63"/>
      <c r="AS561" s="63"/>
      <c r="AT561" s="63"/>
      <c r="AU561" s="220"/>
      <c r="AV561" s="220"/>
      <c r="AW561" s="220"/>
    </row>
    <row r="562" spans="1:49" s="221" customFormat="1" ht="213.75" x14ac:dyDescent="0.25">
      <c r="A562" s="63">
        <v>148</v>
      </c>
      <c r="B562" s="63" t="str">
        <f t="shared" si="61"/>
        <v>3075-148</v>
      </c>
      <c r="C562" s="76" t="s">
        <v>1141</v>
      </c>
      <c r="D562" s="76" t="s">
        <v>1142</v>
      </c>
      <c r="E562" s="76" t="s">
        <v>1143</v>
      </c>
      <c r="F562" s="76" t="s">
        <v>1158</v>
      </c>
      <c r="G562" s="77" t="s">
        <v>1159</v>
      </c>
      <c r="H562" s="78" t="s">
        <v>1160</v>
      </c>
      <c r="I562" s="76" t="s">
        <v>1147</v>
      </c>
      <c r="J562" s="76" t="s">
        <v>1148</v>
      </c>
      <c r="K562" s="76">
        <v>801116</v>
      </c>
      <c r="L562" s="63" t="s">
        <v>1149</v>
      </c>
      <c r="M562" s="63" t="s">
        <v>58</v>
      </c>
      <c r="N562" s="63" t="s">
        <v>59</v>
      </c>
      <c r="O562" s="76" t="s">
        <v>1213</v>
      </c>
      <c r="P562" s="76" t="s">
        <v>1287</v>
      </c>
      <c r="Q562" s="83">
        <v>4120000</v>
      </c>
      <c r="R562" s="63">
        <v>1</v>
      </c>
      <c r="S562" s="80">
        <v>41200000</v>
      </c>
      <c r="T562" s="63" t="s">
        <v>888</v>
      </c>
      <c r="U562" s="63" t="s">
        <v>1163</v>
      </c>
      <c r="V562" s="81" t="s">
        <v>64</v>
      </c>
      <c r="W562" s="82">
        <v>9.75</v>
      </c>
      <c r="X562" s="63" t="s">
        <v>1590</v>
      </c>
      <c r="Y562" s="81">
        <v>43102</v>
      </c>
      <c r="Z562" s="83">
        <v>41200000</v>
      </c>
      <c r="AA562" s="84" t="s">
        <v>1528</v>
      </c>
      <c r="AB562" s="85">
        <v>406</v>
      </c>
      <c r="AC562" s="81">
        <v>43110</v>
      </c>
      <c r="AD562" s="86">
        <v>41200000</v>
      </c>
      <c r="AE562" s="87">
        <f t="shared" si="65"/>
        <v>0</v>
      </c>
      <c r="AF562" s="85">
        <v>223</v>
      </c>
      <c r="AG562" s="81">
        <v>43118</v>
      </c>
      <c r="AH562" s="86">
        <v>41200000</v>
      </c>
      <c r="AI562" s="63" t="s">
        <v>1591</v>
      </c>
      <c r="AJ562" s="63">
        <v>192</v>
      </c>
      <c r="AK562" s="87">
        <f t="shared" si="62"/>
        <v>0</v>
      </c>
      <c r="AL562" s="86">
        <v>30488000</v>
      </c>
      <c r="AM562" s="86">
        <f t="shared" si="63"/>
        <v>10712000</v>
      </c>
      <c r="AN562" s="63" t="s">
        <v>1155</v>
      </c>
      <c r="AO562" s="86">
        <f t="shared" si="64"/>
        <v>0</v>
      </c>
      <c r="AP562" s="63"/>
      <c r="AQ562" s="63"/>
      <c r="AR562" s="63"/>
      <c r="AS562" s="63"/>
      <c r="AT562" s="63"/>
      <c r="AU562" s="220"/>
      <c r="AV562" s="220"/>
      <c r="AW562" s="220"/>
    </row>
    <row r="563" spans="1:49" s="221" customFormat="1" ht="342" x14ac:dyDescent="0.25">
      <c r="A563" s="63">
        <v>149</v>
      </c>
      <c r="B563" s="63" t="str">
        <f t="shared" si="61"/>
        <v>3075-149</v>
      </c>
      <c r="C563" s="76" t="s">
        <v>1141</v>
      </c>
      <c r="D563" s="76" t="s">
        <v>1142</v>
      </c>
      <c r="E563" s="76" t="s">
        <v>1143</v>
      </c>
      <c r="F563" s="76" t="s">
        <v>1158</v>
      </c>
      <c r="G563" s="77" t="s">
        <v>1159</v>
      </c>
      <c r="H563" s="78" t="s">
        <v>1160</v>
      </c>
      <c r="I563" s="76" t="s">
        <v>1147</v>
      </c>
      <c r="J563" s="76" t="s">
        <v>1148</v>
      </c>
      <c r="K563" s="76">
        <v>801116</v>
      </c>
      <c r="L563" s="63" t="s">
        <v>1149</v>
      </c>
      <c r="M563" s="63" t="s">
        <v>58</v>
      </c>
      <c r="N563" s="63" t="s">
        <v>59</v>
      </c>
      <c r="O563" s="76" t="s">
        <v>1213</v>
      </c>
      <c r="P563" s="76" t="s">
        <v>1294</v>
      </c>
      <c r="Q563" s="83">
        <v>4120000</v>
      </c>
      <c r="R563" s="63">
        <v>1</v>
      </c>
      <c r="S563" s="80">
        <v>32960000</v>
      </c>
      <c r="T563" s="63" t="s">
        <v>888</v>
      </c>
      <c r="U563" s="63" t="s">
        <v>1163</v>
      </c>
      <c r="V563" s="81" t="s">
        <v>64</v>
      </c>
      <c r="W563" s="82">
        <v>8</v>
      </c>
      <c r="X563" s="63" t="s">
        <v>1592</v>
      </c>
      <c r="Y563" s="81">
        <v>43102</v>
      </c>
      <c r="Z563" s="83">
        <v>32960000</v>
      </c>
      <c r="AA563" s="84" t="s">
        <v>1573</v>
      </c>
      <c r="AB563" s="85">
        <v>407</v>
      </c>
      <c r="AC563" s="81">
        <v>43110</v>
      </c>
      <c r="AD563" s="86">
        <v>32960000</v>
      </c>
      <c r="AE563" s="87">
        <f t="shared" si="65"/>
        <v>0</v>
      </c>
      <c r="AF563" s="85">
        <v>270</v>
      </c>
      <c r="AG563" s="81">
        <v>43119</v>
      </c>
      <c r="AH563" s="86">
        <v>32960000</v>
      </c>
      <c r="AI563" s="63" t="s">
        <v>1593</v>
      </c>
      <c r="AJ563" s="63">
        <v>240</v>
      </c>
      <c r="AK563" s="87">
        <f t="shared" si="62"/>
        <v>0</v>
      </c>
      <c r="AL563" s="86">
        <v>30076000</v>
      </c>
      <c r="AM563" s="86">
        <f t="shared" si="63"/>
        <v>2884000</v>
      </c>
      <c r="AN563" s="63" t="s">
        <v>1155</v>
      </c>
      <c r="AO563" s="86">
        <f t="shared" si="64"/>
        <v>0</v>
      </c>
      <c r="AP563" s="63"/>
      <c r="AQ563" s="63"/>
      <c r="AR563" s="63"/>
      <c r="AS563" s="63"/>
      <c r="AT563" s="63"/>
      <c r="AU563" s="220"/>
      <c r="AV563" s="220"/>
      <c r="AW563" s="220"/>
    </row>
    <row r="564" spans="1:49" s="221" customFormat="1" ht="213.75" x14ac:dyDescent="0.25">
      <c r="A564" s="63">
        <v>150</v>
      </c>
      <c r="B564" s="63" t="str">
        <f t="shared" si="61"/>
        <v>3075-150</v>
      </c>
      <c r="C564" s="76" t="s">
        <v>1141</v>
      </c>
      <c r="D564" s="76" t="s">
        <v>1142</v>
      </c>
      <c r="E564" s="76" t="s">
        <v>1143</v>
      </c>
      <c r="F564" s="76" t="s">
        <v>1158</v>
      </c>
      <c r="G564" s="77" t="s">
        <v>1159</v>
      </c>
      <c r="H564" s="78" t="s">
        <v>1160</v>
      </c>
      <c r="I564" s="76" t="s">
        <v>1147</v>
      </c>
      <c r="J564" s="76" t="s">
        <v>1148</v>
      </c>
      <c r="K564" s="76">
        <v>801116</v>
      </c>
      <c r="L564" s="63" t="s">
        <v>1149</v>
      </c>
      <c r="M564" s="63" t="s">
        <v>58</v>
      </c>
      <c r="N564" s="63" t="s">
        <v>59</v>
      </c>
      <c r="O564" s="76" t="s">
        <v>1213</v>
      </c>
      <c r="P564" s="76" t="s">
        <v>1594</v>
      </c>
      <c r="Q564" s="83">
        <v>3399000</v>
      </c>
      <c r="R564" s="63">
        <v>1</v>
      </c>
      <c r="S564" s="80">
        <v>30591000</v>
      </c>
      <c r="T564" s="63" t="s">
        <v>888</v>
      </c>
      <c r="U564" s="63" t="s">
        <v>1163</v>
      </c>
      <c r="V564" s="81" t="s">
        <v>64</v>
      </c>
      <c r="W564" s="82">
        <v>9</v>
      </c>
      <c r="X564" s="63" t="s">
        <v>1595</v>
      </c>
      <c r="Y564" s="81">
        <v>43102</v>
      </c>
      <c r="Z564" s="83">
        <v>30591000</v>
      </c>
      <c r="AA564" s="84" t="s">
        <v>1577</v>
      </c>
      <c r="AB564" s="85">
        <v>358</v>
      </c>
      <c r="AC564" s="81">
        <v>43110</v>
      </c>
      <c r="AD564" s="86">
        <v>30591000</v>
      </c>
      <c r="AE564" s="87">
        <f t="shared" si="65"/>
        <v>0</v>
      </c>
      <c r="AF564" s="85">
        <v>256</v>
      </c>
      <c r="AG564" s="81">
        <v>43119</v>
      </c>
      <c r="AH564" s="86">
        <v>30591000</v>
      </c>
      <c r="AI564" s="63" t="s">
        <v>1596</v>
      </c>
      <c r="AJ564" s="63">
        <v>224</v>
      </c>
      <c r="AK564" s="87">
        <f t="shared" si="62"/>
        <v>0</v>
      </c>
      <c r="AL564" s="86">
        <v>23566400</v>
      </c>
      <c r="AM564" s="86">
        <f t="shared" si="63"/>
        <v>7024600</v>
      </c>
      <c r="AN564" s="63" t="s">
        <v>1155</v>
      </c>
      <c r="AO564" s="86">
        <f t="shared" si="64"/>
        <v>0</v>
      </c>
      <c r="AP564" s="63"/>
      <c r="AQ564" s="63"/>
      <c r="AR564" s="63"/>
      <c r="AS564" s="63"/>
      <c r="AT564" s="63"/>
      <c r="AU564" s="220"/>
      <c r="AV564" s="220"/>
      <c r="AW564" s="220"/>
    </row>
    <row r="565" spans="1:49" s="221" customFormat="1" ht="299.25" x14ac:dyDescent="0.25">
      <c r="A565" s="63">
        <v>151</v>
      </c>
      <c r="B565" s="63" t="str">
        <f t="shared" si="61"/>
        <v>3075-151</v>
      </c>
      <c r="C565" s="76" t="s">
        <v>1141</v>
      </c>
      <c r="D565" s="76" t="s">
        <v>1142</v>
      </c>
      <c r="E565" s="76" t="s">
        <v>1143</v>
      </c>
      <c r="F565" s="76" t="s">
        <v>1158</v>
      </c>
      <c r="G565" s="77" t="s">
        <v>1159</v>
      </c>
      <c r="H565" s="78" t="s">
        <v>1160</v>
      </c>
      <c r="I565" s="76" t="s">
        <v>1147</v>
      </c>
      <c r="J565" s="76" t="s">
        <v>1148</v>
      </c>
      <c r="K565" s="76">
        <v>801116</v>
      </c>
      <c r="L565" s="63" t="s">
        <v>1149</v>
      </c>
      <c r="M565" s="63" t="s">
        <v>58</v>
      </c>
      <c r="N565" s="63" t="s">
        <v>59</v>
      </c>
      <c r="O565" s="76" t="s">
        <v>1213</v>
      </c>
      <c r="P565" s="76" t="s">
        <v>1597</v>
      </c>
      <c r="Q565" s="83">
        <v>3553500</v>
      </c>
      <c r="R565" s="63">
        <v>1</v>
      </c>
      <c r="S565" s="80">
        <v>39088500</v>
      </c>
      <c r="T565" s="63" t="s">
        <v>888</v>
      </c>
      <c r="U565" s="63" t="s">
        <v>1163</v>
      </c>
      <c r="V565" s="81" t="s">
        <v>64</v>
      </c>
      <c r="W565" s="82">
        <v>11</v>
      </c>
      <c r="X565" s="63" t="s">
        <v>1598</v>
      </c>
      <c r="Y565" s="81">
        <v>43102</v>
      </c>
      <c r="Z565" s="83">
        <v>39088500</v>
      </c>
      <c r="AA565" s="84" t="s">
        <v>1525</v>
      </c>
      <c r="AB565" s="85">
        <v>408</v>
      </c>
      <c r="AC565" s="81">
        <v>43110</v>
      </c>
      <c r="AD565" s="86">
        <v>39088500</v>
      </c>
      <c r="AE565" s="87">
        <f t="shared" si="65"/>
        <v>0</v>
      </c>
      <c r="AF565" s="85">
        <v>330</v>
      </c>
      <c r="AG565" s="81">
        <v>43123</v>
      </c>
      <c r="AH565" s="86">
        <v>39088500</v>
      </c>
      <c r="AI565" s="63" t="s">
        <v>1599</v>
      </c>
      <c r="AJ565" s="63">
        <v>289</v>
      </c>
      <c r="AK565" s="87">
        <f t="shared" si="62"/>
        <v>0</v>
      </c>
      <c r="AL565" s="86">
        <v>25822100</v>
      </c>
      <c r="AM565" s="86">
        <f t="shared" si="63"/>
        <v>13266400</v>
      </c>
      <c r="AN565" s="63" t="s">
        <v>1155</v>
      </c>
      <c r="AO565" s="86">
        <f t="shared" si="64"/>
        <v>0</v>
      </c>
      <c r="AP565" s="63"/>
      <c r="AQ565" s="63"/>
      <c r="AR565" s="63"/>
      <c r="AS565" s="63"/>
      <c r="AT565" s="63"/>
      <c r="AU565" s="220"/>
      <c r="AV565" s="220"/>
      <c r="AW565" s="220"/>
    </row>
    <row r="566" spans="1:49" s="221" customFormat="1" ht="199.5" x14ac:dyDescent="0.25">
      <c r="A566" s="63">
        <v>152</v>
      </c>
      <c r="B566" s="63" t="str">
        <f t="shared" si="61"/>
        <v>3075-152</v>
      </c>
      <c r="C566" s="76" t="s">
        <v>1141</v>
      </c>
      <c r="D566" s="76" t="s">
        <v>1142</v>
      </c>
      <c r="E566" s="76" t="s">
        <v>1143</v>
      </c>
      <c r="F566" s="76" t="s">
        <v>1158</v>
      </c>
      <c r="G566" s="77" t="s">
        <v>1159</v>
      </c>
      <c r="H566" s="78" t="s">
        <v>1160</v>
      </c>
      <c r="I566" s="76" t="s">
        <v>1147</v>
      </c>
      <c r="J566" s="76" t="s">
        <v>1148</v>
      </c>
      <c r="K566" s="76">
        <v>801116</v>
      </c>
      <c r="L566" s="63" t="s">
        <v>1149</v>
      </c>
      <c r="M566" s="63" t="s">
        <v>58</v>
      </c>
      <c r="N566" s="63" t="s">
        <v>59</v>
      </c>
      <c r="O566" s="76" t="s">
        <v>1213</v>
      </c>
      <c r="P566" s="76" t="s">
        <v>1600</v>
      </c>
      <c r="Q566" s="83">
        <v>3038500</v>
      </c>
      <c r="R566" s="63">
        <v>1</v>
      </c>
      <c r="S566" s="80">
        <v>30385000</v>
      </c>
      <c r="T566" s="63" t="s">
        <v>928</v>
      </c>
      <c r="U566" s="63" t="s">
        <v>1163</v>
      </c>
      <c r="V566" s="81" t="s">
        <v>64</v>
      </c>
      <c r="W566" s="82">
        <v>10</v>
      </c>
      <c r="X566" s="63" t="s">
        <v>1601</v>
      </c>
      <c r="Y566" s="81">
        <v>43102</v>
      </c>
      <c r="Z566" s="83">
        <v>30385000</v>
      </c>
      <c r="AA566" s="84" t="s">
        <v>1602</v>
      </c>
      <c r="AB566" s="85">
        <v>410</v>
      </c>
      <c r="AC566" s="81">
        <v>43110</v>
      </c>
      <c r="AD566" s="86">
        <v>30385000</v>
      </c>
      <c r="AE566" s="87">
        <f t="shared" si="65"/>
        <v>0</v>
      </c>
      <c r="AF566" s="85">
        <v>382</v>
      </c>
      <c r="AG566" s="81">
        <v>43124</v>
      </c>
      <c r="AH566" s="86">
        <v>30385000</v>
      </c>
      <c r="AI566" s="63" t="s">
        <v>1603</v>
      </c>
      <c r="AJ566" s="63">
        <v>323</v>
      </c>
      <c r="AK566" s="87">
        <f t="shared" si="62"/>
        <v>0</v>
      </c>
      <c r="AL566" s="86">
        <v>21978483</v>
      </c>
      <c r="AM566" s="86">
        <f t="shared" si="63"/>
        <v>8406517</v>
      </c>
      <c r="AN566" s="63" t="s">
        <v>1155</v>
      </c>
      <c r="AO566" s="86">
        <f t="shared" si="64"/>
        <v>0</v>
      </c>
      <c r="AP566" s="63"/>
      <c r="AQ566" s="63"/>
      <c r="AR566" s="63"/>
      <c r="AS566" s="63"/>
      <c r="AT566" s="63"/>
      <c r="AU566" s="220"/>
      <c r="AV566" s="220"/>
      <c r="AW566" s="220"/>
    </row>
    <row r="567" spans="1:49" s="221" customFormat="1" ht="213.75" x14ac:dyDescent="0.25">
      <c r="A567" s="63">
        <v>153</v>
      </c>
      <c r="B567" s="63" t="str">
        <f t="shared" si="61"/>
        <v>3075-153</v>
      </c>
      <c r="C567" s="76" t="s">
        <v>1141</v>
      </c>
      <c r="D567" s="76" t="s">
        <v>1142</v>
      </c>
      <c r="E567" s="76" t="s">
        <v>1143</v>
      </c>
      <c r="F567" s="76" t="s">
        <v>1158</v>
      </c>
      <c r="G567" s="77" t="s">
        <v>1159</v>
      </c>
      <c r="H567" s="78" t="s">
        <v>1160</v>
      </c>
      <c r="I567" s="76" t="s">
        <v>1147</v>
      </c>
      <c r="J567" s="76" t="s">
        <v>1148</v>
      </c>
      <c r="K567" s="76">
        <v>801116</v>
      </c>
      <c r="L567" s="63" t="s">
        <v>1149</v>
      </c>
      <c r="M567" s="63" t="s">
        <v>58</v>
      </c>
      <c r="N567" s="63" t="s">
        <v>59</v>
      </c>
      <c r="O567" s="76" t="s">
        <v>1213</v>
      </c>
      <c r="P567" s="76" t="s">
        <v>1604</v>
      </c>
      <c r="Q567" s="83">
        <v>3038500</v>
      </c>
      <c r="R567" s="63">
        <v>1</v>
      </c>
      <c r="S567" s="80">
        <v>24308000</v>
      </c>
      <c r="T567" s="63" t="s">
        <v>928</v>
      </c>
      <c r="U567" s="63" t="s">
        <v>1163</v>
      </c>
      <c r="V567" s="81" t="s">
        <v>64</v>
      </c>
      <c r="W567" s="82">
        <v>8</v>
      </c>
      <c r="X567" s="63" t="s">
        <v>1605</v>
      </c>
      <c r="Y567" s="81">
        <v>43102</v>
      </c>
      <c r="Z567" s="83">
        <v>24308000</v>
      </c>
      <c r="AA567" s="84" t="s">
        <v>1602</v>
      </c>
      <c r="AB567" s="85">
        <v>201</v>
      </c>
      <c r="AC567" s="81">
        <v>43105</v>
      </c>
      <c r="AD567" s="86">
        <v>24308000</v>
      </c>
      <c r="AE567" s="87">
        <f t="shared" si="65"/>
        <v>0</v>
      </c>
      <c r="AF567" s="85">
        <v>344</v>
      </c>
      <c r="AG567" s="81">
        <v>43123</v>
      </c>
      <c r="AH567" s="86">
        <v>24308000</v>
      </c>
      <c r="AI567" s="63" t="s">
        <v>1606</v>
      </c>
      <c r="AJ567" s="63">
        <v>293</v>
      </c>
      <c r="AK567" s="87">
        <f t="shared" si="62"/>
        <v>0</v>
      </c>
      <c r="AL567" s="86">
        <v>21978483</v>
      </c>
      <c r="AM567" s="86">
        <f t="shared" si="63"/>
        <v>2329517</v>
      </c>
      <c r="AN567" s="63" t="s">
        <v>1155</v>
      </c>
      <c r="AO567" s="86">
        <f t="shared" si="64"/>
        <v>0</v>
      </c>
      <c r="AP567" s="63"/>
      <c r="AQ567" s="63"/>
      <c r="AR567" s="63"/>
      <c r="AS567" s="63"/>
      <c r="AT567" s="63"/>
      <c r="AU567" s="220"/>
      <c r="AV567" s="220"/>
      <c r="AW567" s="220"/>
    </row>
    <row r="568" spans="1:49" s="221" customFormat="1" ht="242.25" x14ac:dyDescent="0.25">
      <c r="A568" s="63">
        <v>154</v>
      </c>
      <c r="B568" s="63" t="str">
        <f t="shared" si="61"/>
        <v>3075-154</v>
      </c>
      <c r="C568" s="76" t="s">
        <v>1141</v>
      </c>
      <c r="D568" s="76" t="s">
        <v>1142</v>
      </c>
      <c r="E568" s="76" t="s">
        <v>1143</v>
      </c>
      <c r="F568" s="76" t="s">
        <v>1158</v>
      </c>
      <c r="G568" s="77" t="s">
        <v>1159</v>
      </c>
      <c r="H568" s="78" t="s">
        <v>1160</v>
      </c>
      <c r="I568" s="76" t="s">
        <v>1147</v>
      </c>
      <c r="J568" s="76" t="s">
        <v>1148</v>
      </c>
      <c r="K568" s="76">
        <v>801116</v>
      </c>
      <c r="L568" s="63" t="s">
        <v>1149</v>
      </c>
      <c r="M568" s="63" t="s">
        <v>58</v>
      </c>
      <c r="N568" s="63" t="s">
        <v>59</v>
      </c>
      <c r="O568" s="76" t="s">
        <v>1213</v>
      </c>
      <c r="P568" s="76" t="s">
        <v>1309</v>
      </c>
      <c r="Q568" s="83">
        <v>4120000</v>
      </c>
      <c r="R568" s="63">
        <v>1</v>
      </c>
      <c r="S568" s="80">
        <v>37080000</v>
      </c>
      <c r="T568" s="63" t="s">
        <v>888</v>
      </c>
      <c r="U568" s="63" t="s">
        <v>1163</v>
      </c>
      <c r="V568" s="81" t="s">
        <v>64</v>
      </c>
      <c r="W568" s="82">
        <v>9</v>
      </c>
      <c r="X568" s="63" t="s">
        <v>1607</v>
      </c>
      <c r="Y568" s="81">
        <v>43102</v>
      </c>
      <c r="Z568" s="83">
        <v>37080000</v>
      </c>
      <c r="AA568" s="84" t="s">
        <v>1534</v>
      </c>
      <c r="AB568" s="85">
        <v>204</v>
      </c>
      <c r="AC568" s="81">
        <v>43105</v>
      </c>
      <c r="AD568" s="86">
        <v>37080000</v>
      </c>
      <c r="AE568" s="87">
        <f t="shared" si="65"/>
        <v>0</v>
      </c>
      <c r="AF568" s="85">
        <v>348</v>
      </c>
      <c r="AG568" s="81">
        <v>43123</v>
      </c>
      <c r="AH568" s="86">
        <v>37080000</v>
      </c>
      <c r="AI568" s="63" t="s">
        <v>1608</v>
      </c>
      <c r="AJ568" s="63">
        <v>295</v>
      </c>
      <c r="AK568" s="87">
        <f t="shared" si="62"/>
        <v>0</v>
      </c>
      <c r="AL568" s="86">
        <v>26505333</v>
      </c>
      <c r="AM568" s="86">
        <f t="shared" si="63"/>
        <v>10574667</v>
      </c>
      <c r="AN568" s="63" t="s">
        <v>1155</v>
      </c>
      <c r="AO568" s="86">
        <f t="shared" si="64"/>
        <v>0</v>
      </c>
      <c r="AP568" s="63"/>
      <c r="AQ568" s="63"/>
      <c r="AR568" s="63"/>
      <c r="AS568" s="63"/>
      <c r="AT568" s="63"/>
      <c r="AU568" s="220"/>
      <c r="AV568" s="220"/>
      <c r="AW568" s="220"/>
    </row>
    <row r="569" spans="1:49" s="221" customFormat="1" ht="199.5" x14ac:dyDescent="0.25">
      <c r="A569" s="63">
        <v>155</v>
      </c>
      <c r="B569" s="63" t="str">
        <f t="shared" si="61"/>
        <v>3075-155</v>
      </c>
      <c r="C569" s="76" t="s">
        <v>1141</v>
      </c>
      <c r="D569" s="76" t="s">
        <v>1142</v>
      </c>
      <c r="E569" s="76" t="s">
        <v>1143</v>
      </c>
      <c r="F569" s="76" t="s">
        <v>1158</v>
      </c>
      <c r="G569" s="77" t="s">
        <v>1159</v>
      </c>
      <c r="H569" s="78" t="s">
        <v>1160</v>
      </c>
      <c r="I569" s="76" t="s">
        <v>1147</v>
      </c>
      <c r="J569" s="76" t="s">
        <v>1148</v>
      </c>
      <c r="K569" s="76">
        <v>801116</v>
      </c>
      <c r="L569" s="63" t="s">
        <v>1149</v>
      </c>
      <c r="M569" s="63" t="s">
        <v>58</v>
      </c>
      <c r="N569" s="63" t="s">
        <v>59</v>
      </c>
      <c r="O569" s="76" t="s">
        <v>1213</v>
      </c>
      <c r="P569" s="76" t="s">
        <v>1609</v>
      </c>
      <c r="Q569" s="83">
        <v>4120000</v>
      </c>
      <c r="R569" s="63">
        <v>1</v>
      </c>
      <c r="S569" s="80">
        <v>41200000</v>
      </c>
      <c r="T569" s="63" t="s">
        <v>888</v>
      </c>
      <c r="U569" s="63" t="s">
        <v>1163</v>
      </c>
      <c r="V569" s="81" t="s">
        <v>64</v>
      </c>
      <c r="W569" s="82">
        <v>9.75</v>
      </c>
      <c r="X569" s="63" t="s">
        <v>1610</v>
      </c>
      <c r="Y569" s="81">
        <v>43102</v>
      </c>
      <c r="Z569" s="83">
        <v>41200000</v>
      </c>
      <c r="AA569" s="84" t="s">
        <v>1552</v>
      </c>
      <c r="AB569" s="85">
        <v>206</v>
      </c>
      <c r="AC569" s="81">
        <v>43105</v>
      </c>
      <c r="AD569" s="86">
        <v>41200000</v>
      </c>
      <c r="AE569" s="87">
        <f t="shared" si="65"/>
        <v>0</v>
      </c>
      <c r="AF569" s="85">
        <v>397</v>
      </c>
      <c r="AG569" s="81">
        <v>43124</v>
      </c>
      <c r="AH569" s="86">
        <v>41200000</v>
      </c>
      <c r="AI569" s="63" t="s">
        <v>1611</v>
      </c>
      <c r="AJ569" s="63">
        <v>318</v>
      </c>
      <c r="AK569" s="87">
        <f t="shared" si="62"/>
        <v>0</v>
      </c>
      <c r="AL569" s="86">
        <v>29801333</v>
      </c>
      <c r="AM569" s="86">
        <f t="shared" si="63"/>
        <v>11398667</v>
      </c>
      <c r="AN569" s="63" t="s">
        <v>1155</v>
      </c>
      <c r="AO569" s="86">
        <f t="shared" si="64"/>
        <v>0</v>
      </c>
      <c r="AP569" s="63"/>
      <c r="AQ569" s="63"/>
      <c r="AR569" s="63"/>
      <c r="AS569" s="63"/>
      <c r="AT569" s="63"/>
      <c r="AU569" s="220"/>
      <c r="AV569" s="220"/>
      <c r="AW569" s="220"/>
    </row>
    <row r="570" spans="1:49" s="221" customFormat="1" ht="213.75" x14ac:dyDescent="0.25">
      <c r="A570" s="63">
        <v>156</v>
      </c>
      <c r="B570" s="63" t="str">
        <f t="shared" si="61"/>
        <v>3075-156</v>
      </c>
      <c r="C570" s="76" t="s">
        <v>1141</v>
      </c>
      <c r="D570" s="76" t="s">
        <v>1142</v>
      </c>
      <c r="E570" s="76" t="s">
        <v>1143</v>
      </c>
      <c r="F570" s="76" t="s">
        <v>1158</v>
      </c>
      <c r="G570" s="77" t="s">
        <v>1159</v>
      </c>
      <c r="H570" s="78" t="s">
        <v>1160</v>
      </c>
      <c r="I570" s="76" t="s">
        <v>1147</v>
      </c>
      <c r="J570" s="76" t="s">
        <v>1148</v>
      </c>
      <c r="K570" s="76">
        <v>801116</v>
      </c>
      <c r="L570" s="63" t="s">
        <v>1149</v>
      </c>
      <c r="M570" s="63" t="s">
        <v>58</v>
      </c>
      <c r="N570" s="63" t="s">
        <v>59</v>
      </c>
      <c r="O570" s="76" t="s">
        <v>1213</v>
      </c>
      <c r="P570" s="76" t="s">
        <v>1594</v>
      </c>
      <c r="Q570" s="83">
        <v>4120000</v>
      </c>
      <c r="R570" s="63">
        <v>1</v>
      </c>
      <c r="S570" s="80">
        <v>41200000</v>
      </c>
      <c r="T570" s="63" t="s">
        <v>888</v>
      </c>
      <c r="U570" s="63" t="s">
        <v>1163</v>
      </c>
      <c r="V570" s="81" t="s">
        <v>64</v>
      </c>
      <c r="W570" s="82">
        <v>9.75</v>
      </c>
      <c r="X570" s="63" t="s">
        <v>1612</v>
      </c>
      <c r="Y570" s="81">
        <v>43102</v>
      </c>
      <c r="Z570" s="83">
        <v>41200000</v>
      </c>
      <c r="AA570" s="84" t="s">
        <v>1528</v>
      </c>
      <c r="AB570" s="85">
        <v>210</v>
      </c>
      <c r="AC570" s="81">
        <v>43105</v>
      </c>
      <c r="AD570" s="86">
        <v>41200000</v>
      </c>
      <c r="AE570" s="87">
        <f t="shared" si="65"/>
        <v>0</v>
      </c>
      <c r="AF570" s="85">
        <v>261</v>
      </c>
      <c r="AG570" s="81">
        <v>43119</v>
      </c>
      <c r="AH570" s="86">
        <v>41200000</v>
      </c>
      <c r="AI570" s="63" t="s">
        <v>1613</v>
      </c>
      <c r="AJ570" s="63">
        <v>227</v>
      </c>
      <c r="AK570" s="87">
        <f t="shared" si="62"/>
        <v>0</v>
      </c>
      <c r="AL570" s="86">
        <v>30076000</v>
      </c>
      <c r="AM570" s="86">
        <f t="shared" si="63"/>
        <v>11124000</v>
      </c>
      <c r="AN570" s="63" t="s">
        <v>1155</v>
      </c>
      <c r="AO570" s="86">
        <f t="shared" si="64"/>
        <v>0</v>
      </c>
      <c r="AP570" s="63"/>
      <c r="AQ570" s="63"/>
      <c r="AR570" s="63"/>
      <c r="AS570" s="63"/>
      <c r="AT570" s="63"/>
      <c r="AU570" s="220"/>
      <c r="AV570" s="220"/>
      <c r="AW570" s="220"/>
    </row>
    <row r="571" spans="1:49" s="221" customFormat="1" ht="213.75" x14ac:dyDescent="0.25">
      <c r="A571" s="63">
        <v>157</v>
      </c>
      <c r="B571" s="63" t="str">
        <f t="shared" si="61"/>
        <v>3075-157</v>
      </c>
      <c r="C571" s="76" t="s">
        <v>1141</v>
      </c>
      <c r="D571" s="76" t="s">
        <v>1142</v>
      </c>
      <c r="E571" s="76" t="s">
        <v>1143</v>
      </c>
      <c r="F571" s="76" t="s">
        <v>1158</v>
      </c>
      <c r="G571" s="77" t="s">
        <v>1159</v>
      </c>
      <c r="H571" s="78" t="s">
        <v>1160</v>
      </c>
      <c r="I571" s="76" t="s">
        <v>1147</v>
      </c>
      <c r="J571" s="76" t="s">
        <v>1148</v>
      </c>
      <c r="K571" s="76">
        <v>801116</v>
      </c>
      <c r="L571" s="63" t="s">
        <v>1149</v>
      </c>
      <c r="M571" s="63" t="s">
        <v>58</v>
      </c>
      <c r="N571" s="63" t="s">
        <v>59</v>
      </c>
      <c r="O571" s="76" t="s">
        <v>1213</v>
      </c>
      <c r="P571" s="76" t="s">
        <v>1287</v>
      </c>
      <c r="Q571" s="83">
        <v>4120000</v>
      </c>
      <c r="R571" s="63">
        <v>1</v>
      </c>
      <c r="S571" s="80">
        <f>37080000-4892500-13046667-5927807-6341782</f>
        <v>6871244</v>
      </c>
      <c r="T571" s="63" t="s">
        <v>888</v>
      </c>
      <c r="U571" s="63" t="s">
        <v>1163</v>
      </c>
      <c r="V571" s="81" t="s">
        <v>64</v>
      </c>
      <c r="W571" s="82">
        <v>9</v>
      </c>
      <c r="X571" s="63" t="s">
        <v>1614</v>
      </c>
      <c r="Y571" s="81">
        <v>43102</v>
      </c>
      <c r="Z571" s="83">
        <f>37080000-31312000</f>
        <v>5768000</v>
      </c>
      <c r="AA571" s="84" t="s">
        <v>1528</v>
      </c>
      <c r="AB571" s="85">
        <v>411</v>
      </c>
      <c r="AC571" s="81">
        <v>43110</v>
      </c>
      <c r="AD571" s="86">
        <v>5768000</v>
      </c>
      <c r="AE571" s="87">
        <f t="shared" si="65"/>
        <v>1103244</v>
      </c>
      <c r="AF571" s="85">
        <v>377</v>
      </c>
      <c r="AG571" s="81">
        <v>43124</v>
      </c>
      <c r="AH571" s="86">
        <v>5768000</v>
      </c>
      <c r="AI571" s="63" t="s">
        <v>1615</v>
      </c>
      <c r="AJ571" s="63">
        <v>327</v>
      </c>
      <c r="AK571" s="87">
        <f t="shared" si="62"/>
        <v>0</v>
      </c>
      <c r="AL571" s="86">
        <v>5768000</v>
      </c>
      <c r="AM571" s="86">
        <f t="shared" si="63"/>
        <v>0</v>
      </c>
      <c r="AN571" s="63" t="s">
        <v>1155</v>
      </c>
      <c r="AO571" s="86">
        <f t="shared" si="64"/>
        <v>1103244</v>
      </c>
      <c r="AP571" s="63" t="s">
        <v>1616</v>
      </c>
      <c r="AQ571" s="63"/>
      <c r="AR571" s="63"/>
      <c r="AS571" s="63"/>
      <c r="AT571" s="63"/>
      <c r="AU571" s="220"/>
      <c r="AV571" s="220"/>
      <c r="AW571" s="220"/>
    </row>
    <row r="572" spans="1:49" s="221" customFormat="1" ht="285" x14ac:dyDescent="0.25">
      <c r="A572" s="63">
        <v>158</v>
      </c>
      <c r="B572" s="63" t="str">
        <f t="shared" si="61"/>
        <v>3075-158</v>
      </c>
      <c r="C572" s="76" t="s">
        <v>1141</v>
      </c>
      <c r="D572" s="76" t="s">
        <v>1142</v>
      </c>
      <c r="E572" s="76" t="s">
        <v>1143</v>
      </c>
      <c r="F572" s="76" t="s">
        <v>1158</v>
      </c>
      <c r="G572" s="77" t="s">
        <v>1159</v>
      </c>
      <c r="H572" s="78" t="s">
        <v>1160</v>
      </c>
      <c r="I572" s="76" t="s">
        <v>1147</v>
      </c>
      <c r="J572" s="76" t="s">
        <v>1148</v>
      </c>
      <c r="K572" s="76">
        <v>801116</v>
      </c>
      <c r="L572" s="63" t="s">
        <v>1149</v>
      </c>
      <c r="M572" s="63" t="s">
        <v>58</v>
      </c>
      <c r="N572" s="63" t="s">
        <v>59</v>
      </c>
      <c r="O572" s="76" t="s">
        <v>1213</v>
      </c>
      <c r="P572" s="76" t="s">
        <v>1298</v>
      </c>
      <c r="Q572" s="83">
        <v>4120000</v>
      </c>
      <c r="R572" s="63">
        <v>1</v>
      </c>
      <c r="S572" s="80">
        <v>32960000</v>
      </c>
      <c r="T572" s="63" t="s">
        <v>888</v>
      </c>
      <c r="U572" s="63" t="s">
        <v>1163</v>
      </c>
      <c r="V572" s="81" t="s">
        <v>64</v>
      </c>
      <c r="W572" s="82">
        <v>8</v>
      </c>
      <c r="X572" s="63" t="s">
        <v>1617</v>
      </c>
      <c r="Y572" s="81">
        <v>43102</v>
      </c>
      <c r="Z572" s="83">
        <v>32960000</v>
      </c>
      <c r="AA572" s="84" t="s">
        <v>1548</v>
      </c>
      <c r="AB572" s="85">
        <v>213</v>
      </c>
      <c r="AC572" s="81">
        <v>43105</v>
      </c>
      <c r="AD572" s="86">
        <v>32960000</v>
      </c>
      <c r="AE572" s="87">
        <f t="shared" si="65"/>
        <v>0</v>
      </c>
      <c r="AF572" s="85">
        <v>350</v>
      </c>
      <c r="AG572" s="81">
        <v>43123</v>
      </c>
      <c r="AH572" s="86">
        <v>32960000</v>
      </c>
      <c r="AI572" s="63" t="s">
        <v>1618</v>
      </c>
      <c r="AJ572" s="63">
        <v>296</v>
      </c>
      <c r="AK572" s="87">
        <f t="shared" si="62"/>
        <v>0</v>
      </c>
      <c r="AL572" s="86">
        <v>29801333</v>
      </c>
      <c r="AM572" s="86">
        <f t="shared" si="63"/>
        <v>3158667</v>
      </c>
      <c r="AN572" s="63" t="s">
        <v>1155</v>
      </c>
      <c r="AO572" s="86">
        <f t="shared" si="64"/>
        <v>0</v>
      </c>
      <c r="AP572" s="63"/>
      <c r="AQ572" s="63"/>
      <c r="AR572" s="63"/>
      <c r="AS572" s="63"/>
      <c r="AT572" s="63"/>
      <c r="AU572" s="220"/>
      <c r="AV572" s="220"/>
      <c r="AW572" s="220"/>
    </row>
    <row r="573" spans="1:49" s="221" customFormat="1" ht="242.25" x14ac:dyDescent="0.25">
      <c r="A573" s="63">
        <v>159</v>
      </c>
      <c r="B573" s="63" t="str">
        <f t="shared" si="61"/>
        <v>3075-159</v>
      </c>
      <c r="C573" s="76" t="s">
        <v>1141</v>
      </c>
      <c r="D573" s="76" t="s">
        <v>1142</v>
      </c>
      <c r="E573" s="76" t="s">
        <v>1143</v>
      </c>
      <c r="F573" s="76" t="s">
        <v>1158</v>
      </c>
      <c r="G573" s="77" t="s">
        <v>1159</v>
      </c>
      <c r="H573" s="78" t="s">
        <v>1160</v>
      </c>
      <c r="I573" s="76" t="s">
        <v>1147</v>
      </c>
      <c r="J573" s="76" t="s">
        <v>1148</v>
      </c>
      <c r="K573" s="76">
        <v>801116</v>
      </c>
      <c r="L573" s="63" t="s">
        <v>1149</v>
      </c>
      <c r="M573" s="63" t="s">
        <v>58</v>
      </c>
      <c r="N573" s="63" t="s">
        <v>59</v>
      </c>
      <c r="O573" s="76" t="s">
        <v>1213</v>
      </c>
      <c r="P573" s="76" t="s">
        <v>1272</v>
      </c>
      <c r="Q573" s="83">
        <v>1751000</v>
      </c>
      <c r="R573" s="63">
        <v>1</v>
      </c>
      <c r="S573" s="80">
        <v>19261000</v>
      </c>
      <c r="T573" s="63" t="s">
        <v>928</v>
      </c>
      <c r="U573" s="63" t="s">
        <v>1163</v>
      </c>
      <c r="V573" s="81" t="s">
        <v>64</v>
      </c>
      <c r="W573" s="82">
        <v>11</v>
      </c>
      <c r="X573" s="63" t="s">
        <v>1619</v>
      </c>
      <c r="Y573" s="81">
        <v>43102</v>
      </c>
      <c r="Z573" s="83">
        <v>19261000</v>
      </c>
      <c r="AA573" s="84" t="s">
        <v>1537</v>
      </c>
      <c r="AB573" s="85">
        <v>215</v>
      </c>
      <c r="AC573" s="81">
        <v>43105</v>
      </c>
      <c r="AD573" s="86">
        <v>19261000</v>
      </c>
      <c r="AE573" s="87">
        <f t="shared" si="65"/>
        <v>0</v>
      </c>
      <c r="AF573" s="85">
        <v>288</v>
      </c>
      <c r="AG573" s="81">
        <v>43122</v>
      </c>
      <c r="AH573" s="86">
        <v>19261000</v>
      </c>
      <c r="AI573" s="63" t="s">
        <v>1620</v>
      </c>
      <c r="AJ573" s="63">
        <v>257</v>
      </c>
      <c r="AK573" s="87">
        <f t="shared" si="62"/>
        <v>0</v>
      </c>
      <c r="AL573" s="86">
        <v>12782300</v>
      </c>
      <c r="AM573" s="86">
        <f t="shared" si="63"/>
        <v>6478700</v>
      </c>
      <c r="AN573" s="63" t="s">
        <v>1155</v>
      </c>
      <c r="AO573" s="86">
        <f t="shared" si="64"/>
        <v>0</v>
      </c>
      <c r="AP573" s="63"/>
      <c r="AQ573" s="63"/>
      <c r="AR573" s="63"/>
      <c r="AS573" s="63"/>
      <c r="AT573" s="63"/>
      <c r="AU573" s="220"/>
      <c r="AV573" s="220"/>
      <c r="AW573" s="220"/>
    </row>
    <row r="574" spans="1:49" s="221" customFormat="1" ht="256.5" x14ac:dyDescent="0.25">
      <c r="A574" s="63">
        <v>160</v>
      </c>
      <c r="B574" s="63" t="str">
        <f t="shared" si="61"/>
        <v>3075-160</v>
      </c>
      <c r="C574" s="76" t="s">
        <v>1141</v>
      </c>
      <c r="D574" s="76" t="s">
        <v>1142</v>
      </c>
      <c r="E574" s="76" t="s">
        <v>1143</v>
      </c>
      <c r="F574" s="76" t="s">
        <v>1158</v>
      </c>
      <c r="G574" s="77" t="s">
        <v>1159</v>
      </c>
      <c r="H574" s="78" t="s">
        <v>1160</v>
      </c>
      <c r="I574" s="76" t="s">
        <v>1147</v>
      </c>
      <c r="J574" s="76" t="s">
        <v>1148</v>
      </c>
      <c r="K574" s="76">
        <v>801116</v>
      </c>
      <c r="L574" s="63" t="s">
        <v>1149</v>
      </c>
      <c r="M574" s="63" t="s">
        <v>58</v>
      </c>
      <c r="N574" s="63" t="s">
        <v>59</v>
      </c>
      <c r="O574" s="76" t="s">
        <v>1213</v>
      </c>
      <c r="P574" s="76" t="s">
        <v>1621</v>
      </c>
      <c r="Q574" s="83">
        <v>3326900</v>
      </c>
      <c r="R574" s="63">
        <v>1</v>
      </c>
      <c r="S574" s="80">
        <v>23288300</v>
      </c>
      <c r="T574" s="63" t="s">
        <v>928</v>
      </c>
      <c r="U574" s="63" t="s">
        <v>1163</v>
      </c>
      <c r="V574" s="81" t="s">
        <v>64</v>
      </c>
      <c r="W574" s="82">
        <v>7</v>
      </c>
      <c r="X574" s="63" t="s">
        <v>1622</v>
      </c>
      <c r="Y574" s="81">
        <v>43102</v>
      </c>
      <c r="Z574" s="83">
        <v>23288300</v>
      </c>
      <c r="AA574" s="84" t="s">
        <v>1623</v>
      </c>
      <c r="AB574" s="85">
        <v>359</v>
      </c>
      <c r="AC574" s="81">
        <v>43110</v>
      </c>
      <c r="AD574" s="86">
        <v>23288300</v>
      </c>
      <c r="AE574" s="87">
        <f t="shared" si="65"/>
        <v>0</v>
      </c>
      <c r="AF574" s="85">
        <v>466</v>
      </c>
      <c r="AG574" s="81">
        <v>43126</v>
      </c>
      <c r="AH574" s="86">
        <v>23288300</v>
      </c>
      <c r="AI574" s="63" t="s">
        <v>1624</v>
      </c>
      <c r="AJ574" s="63">
        <v>393</v>
      </c>
      <c r="AK574" s="87">
        <f t="shared" si="62"/>
        <v>0</v>
      </c>
      <c r="AL574" s="86">
        <v>23288300</v>
      </c>
      <c r="AM574" s="86">
        <f t="shared" si="63"/>
        <v>0</v>
      </c>
      <c r="AN574" s="63" t="s">
        <v>1155</v>
      </c>
      <c r="AO574" s="86">
        <f t="shared" si="64"/>
        <v>0</v>
      </c>
      <c r="AP574" s="63"/>
      <c r="AQ574" s="63"/>
      <c r="AR574" s="63"/>
      <c r="AS574" s="63"/>
      <c r="AT574" s="63"/>
      <c r="AU574" s="220"/>
      <c r="AV574" s="220"/>
      <c r="AW574" s="220"/>
    </row>
    <row r="575" spans="1:49" s="221" customFormat="1" ht="356.25" x14ac:dyDescent="0.25">
      <c r="A575" s="63">
        <v>161</v>
      </c>
      <c r="B575" s="63" t="str">
        <f t="shared" si="61"/>
        <v>3075-161</v>
      </c>
      <c r="C575" s="76" t="s">
        <v>1141</v>
      </c>
      <c r="D575" s="76" t="s">
        <v>1142</v>
      </c>
      <c r="E575" s="76" t="s">
        <v>1143</v>
      </c>
      <c r="F575" s="76" t="s">
        <v>1158</v>
      </c>
      <c r="G575" s="77" t="s">
        <v>1159</v>
      </c>
      <c r="H575" s="78" t="s">
        <v>1160</v>
      </c>
      <c r="I575" s="76" t="s">
        <v>1147</v>
      </c>
      <c r="J575" s="76" t="s">
        <v>1148</v>
      </c>
      <c r="K575" s="76">
        <v>801116</v>
      </c>
      <c r="L575" s="63" t="s">
        <v>1149</v>
      </c>
      <c r="M575" s="63" t="s">
        <v>58</v>
      </c>
      <c r="N575" s="63" t="s">
        <v>59</v>
      </c>
      <c r="O575" s="76" t="s">
        <v>1213</v>
      </c>
      <c r="P575" s="76" t="s">
        <v>1625</v>
      </c>
      <c r="Q575" s="83">
        <v>3399000</v>
      </c>
      <c r="R575" s="63">
        <v>1</v>
      </c>
      <c r="S575" s="80">
        <v>33990000</v>
      </c>
      <c r="T575" s="63" t="s">
        <v>888</v>
      </c>
      <c r="U575" s="63" t="s">
        <v>1163</v>
      </c>
      <c r="V575" s="81" t="s">
        <v>64</v>
      </c>
      <c r="W575" s="82">
        <v>9.5</v>
      </c>
      <c r="X575" s="63" t="s">
        <v>1626</v>
      </c>
      <c r="Y575" s="81">
        <v>43102</v>
      </c>
      <c r="Z575" s="83">
        <v>33990000</v>
      </c>
      <c r="AA575" s="84" t="s">
        <v>1577</v>
      </c>
      <c r="AB575" s="85">
        <v>412</v>
      </c>
      <c r="AC575" s="81">
        <v>43110</v>
      </c>
      <c r="AD575" s="86">
        <v>33990000</v>
      </c>
      <c r="AE575" s="87">
        <f t="shared" si="65"/>
        <v>0</v>
      </c>
      <c r="AF575" s="85">
        <v>299</v>
      </c>
      <c r="AG575" s="81">
        <v>43122</v>
      </c>
      <c r="AH575" s="86">
        <v>33990000</v>
      </c>
      <c r="AI575" s="63" t="s">
        <v>1627</v>
      </c>
      <c r="AJ575" s="63">
        <v>273</v>
      </c>
      <c r="AK575" s="87">
        <f t="shared" si="62"/>
        <v>0</v>
      </c>
      <c r="AL575" s="86">
        <v>24699400</v>
      </c>
      <c r="AM575" s="86">
        <f t="shared" si="63"/>
        <v>9290600</v>
      </c>
      <c r="AN575" s="63" t="s">
        <v>1155</v>
      </c>
      <c r="AO575" s="86">
        <f t="shared" si="64"/>
        <v>0</v>
      </c>
      <c r="AP575" s="63"/>
      <c r="AQ575" s="63"/>
      <c r="AR575" s="63"/>
      <c r="AS575" s="63"/>
      <c r="AT575" s="63"/>
      <c r="AU575" s="220"/>
      <c r="AV575" s="220"/>
      <c r="AW575" s="220"/>
    </row>
    <row r="576" spans="1:49" s="221" customFormat="1" ht="242.25" x14ac:dyDescent="0.25">
      <c r="A576" s="63">
        <v>162</v>
      </c>
      <c r="B576" s="63" t="str">
        <f t="shared" si="61"/>
        <v>3075-162</v>
      </c>
      <c r="C576" s="76" t="s">
        <v>1141</v>
      </c>
      <c r="D576" s="76" t="s">
        <v>1142</v>
      </c>
      <c r="E576" s="76" t="s">
        <v>1143</v>
      </c>
      <c r="F576" s="76" t="s">
        <v>1158</v>
      </c>
      <c r="G576" s="77" t="s">
        <v>1159</v>
      </c>
      <c r="H576" s="78" t="s">
        <v>1160</v>
      </c>
      <c r="I576" s="76" t="s">
        <v>1147</v>
      </c>
      <c r="J576" s="76" t="s">
        <v>1148</v>
      </c>
      <c r="K576" s="76">
        <v>801116</v>
      </c>
      <c r="L576" s="63" t="s">
        <v>1149</v>
      </c>
      <c r="M576" s="63" t="s">
        <v>58</v>
      </c>
      <c r="N576" s="63" t="s">
        <v>59</v>
      </c>
      <c r="O576" s="76" t="s">
        <v>1213</v>
      </c>
      <c r="P576" s="76" t="s">
        <v>1272</v>
      </c>
      <c r="Q576" s="83">
        <v>1751000</v>
      </c>
      <c r="R576" s="63">
        <v>1</v>
      </c>
      <c r="S576" s="80">
        <v>10506000</v>
      </c>
      <c r="T576" s="63" t="s">
        <v>928</v>
      </c>
      <c r="U576" s="63" t="s">
        <v>1163</v>
      </c>
      <c r="V576" s="81" t="s">
        <v>64</v>
      </c>
      <c r="W576" s="82">
        <v>6</v>
      </c>
      <c r="X576" s="63" t="s">
        <v>1628</v>
      </c>
      <c r="Y576" s="81">
        <v>43102</v>
      </c>
      <c r="Z576" s="83">
        <v>10506000</v>
      </c>
      <c r="AA576" s="84" t="s">
        <v>1537</v>
      </c>
      <c r="AB576" s="85">
        <v>361</v>
      </c>
      <c r="AC576" s="81">
        <v>43110</v>
      </c>
      <c r="AD576" s="86">
        <v>10506000</v>
      </c>
      <c r="AE576" s="87">
        <f t="shared" si="65"/>
        <v>0</v>
      </c>
      <c r="AF576" s="85">
        <v>367</v>
      </c>
      <c r="AG576" s="81">
        <v>43124</v>
      </c>
      <c r="AH576" s="86">
        <v>10506000</v>
      </c>
      <c r="AI576" s="63" t="s">
        <v>1629</v>
      </c>
      <c r="AJ576" s="63">
        <v>267</v>
      </c>
      <c r="AK576" s="87">
        <f t="shared" si="62"/>
        <v>0</v>
      </c>
      <c r="AL576" s="86">
        <v>10506000</v>
      </c>
      <c r="AM576" s="86">
        <f t="shared" si="63"/>
        <v>0</v>
      </c>
      <c r="AN576" s="63" t="s">
        <v>1155</v>
      </c>
      <c r="AO576" s="86">
        <f t="shared" si="64"/>
        <v>0</v>
      </c>
      <c r="AP576" s="63"/>
      <c r="AQ576" s="63"/>
      <c r="AR576" s="63"/>
      <c r="AS576" s="63"/>
      <c r="AT576" s="63"/>
      <c r="AU576" s="220"/>
      <c r="AV576" s="220"/>
      <c r="AW576" s="220"/>
    </row>
    <row r="577" spans="1:49" s="221" customFormat="1" ht="256.5" x14ac:dyDescent="0.25">
      <c r="A577" s="63">
        <v>163</v>
      </c>
      <c r="B577" s="63" t="str">
        <f t="shared" si="61"/>
        <v>3075-163</v>
      </c>
      <c r="C577" s="76" t="s">
        <v>1141</v>
      </c>
      <c r="D577" s="76" t="s">
        <v>1142</v>
      </c>
      <c r="E577" s="76" t="s">
        <v>1143</v>
      </c>
      <c r="F577" s="76" t="s">
        <v>1158</v>
      </c>
      <c r="G577" s="77" t="s">
        <v>1159</v>
      </c>
      <c r="H577" s="78" t="s">
        <v>1160</v>
      </c>
      <c r="I577" s="76" t="s">
        <v>1147</v>
      </c>
      <c r="J577" s="76" t="s">
        <v>1148</v>
      </c>
      <c r="K577" s="76">
        <v>801116</v>
      </c>
      <c r="L577" s="63" t="s">
        <v>1149</v>
      </c>
      <c r="M577" s="63" t="s">
        <v>58</v>
      </c>
      <c r="N577" s="63" t="s">
        <v>59</v>
      </c>
      <c r="O577" s="76" t="s">
        <v>1213</v>
      </c>
      <c r="P577" s="76" t="s">
        <v>1630</v>
      </c>
      <c r="Q577" s="83">
        <v>3553500</v>
      </c>
      <c r="R577" s="63">
        <v>1</v>
      </c>
      <c r="S577" s="80">
        <v>31981500</v>
      </c>
      <c r="T577" s="63" t="s">
        <v>888</v>
      </c>
      <c r="U577" s="63" t="s">
        <v>1163</v>
      </c>
      <c r="V577" s="81" t="s">
        <v>64</v>
      </c>
      <c r="W577" s="82">
        <v>9</v>
      </c>
      <c r="X577" s="63" t="s">
        <v>1631</v>
      </c>
      <c r="Y577" s="81">
        <v>43102</v>
      </c>
      <c r="Z577" s="83">
        <v>31981500</v>
      </c>
      <c r="AA577" s="84" t="s">
        <v>1623</v>
      </c>
      <c r="AB577" s="85">
        <v>220</v>
      </c>
      <c r="AC577" s="81">
        <v>43105</v>
      </c>
      <c r="AD577" s="86">
        <v>31981500</v>
      </c>
      <c r="AE577" s="87">
        <f t="shared" si="65"/>
        <v>0</v>
      </c>
      <c r="AF577" s="85">
        <v>298</v>
      </c>
      <c r="AG577" s="81">
        <v>43122</v>
      </c>
      <c r="AH577" s="86">
        <v>31981500</v>
      </c>
      <c r="AI577" s="63" t="s">
        <v>1632</v>
      </c>
      <c r="AJ577" s="63">
        <v>271</v>
      </c>
      <c r="AK577" s="87">
        <f t="shared" si="62"/>
        <v>0</v>
      </c>
      <c r="AL577" s="86">
        <v>25822100</v>
      </c>
      <c r="AM577" s="86">
        <f t="shared" si="63"/>
        <v>6159400</v>
      </c>
      <c r="AN577" s="63" t="s">
        <v>1155</v>
      </c>
      <c r="AO577" s="86">
        <f t="shared" si="64"/>
        <v>0</v>
      </c>
      <c r="AP577" s="63"/>
      <c r="AQ577" s="63"/>
      <c r="AR577" s="63"/>
      <c r="AS577" s="63"/>
      <c r="AT577" s="63"/>
      <c r="AU577" s="220"/>
      <c r="AV577" s="220"/>
      <c r="AW577" s="220"/>
    </row>
    <row r="578" spans="1:49" s="221" customFormat="1" ht="213.75" x14ac:dyDescent="0.25">
      <c r="A578" s="63">
        <v>164</v>
      </c>
      <c r="B578" s="63" t="str">
        <f t="shared" si="61"/>
        <v>3075-164</v>
      </c>
      <c r="C578" s="76" t="s">
        <v>1141</v>
      </c>
      <c r="D578" s="76" t="s">
        <v>1142</v>
      </c>
      <c r="E578" s="76" t="s">
        <v>1143</v>
      </c>
      <c r="F578" s="76" t="s">
        <v>1158</v>
      </c>
      <c r="G578" s="77" t="s">
        <v>1159</v>
      </c>
      <c r="H578" s="78" t="s">
        <v>1160</v>
      </c>
      <c r="I578" s="76" t="s">
        <v>1147</v>
      </c>
      <c r="J578" s="76" t="s">
        <v>1148</v>
      </c>
      <c r="K578" s="76">
        <v>801116</v>
      </c>
      <c r="L578" s="63" t="s">
        <v>1149</v>
      </c>
      <c r="M578" s="63" t="s">
        <v>58</v>
      </c>
      <c r="N578" s="63" t="s">
        <v>59</v>
      </c>
      <c r="O578" s="76" t="s">
        <v>1213</v>
      </c>
      <c r="P578" s="76" t="s">
        <v>1348</v>
      </c>
      <c r="Q578" s="83">
        <v>4120000</v>
      </c>
      <c r="R578" s="63">
        <v>1</v>
      </c>
      <c r="S578" s="80">
        <v>41200000</v>
      </c>
      <c r="T578" s="63" t="s">
        <v>888</v>
      </c>
      <c r="U578" s="63" t="s">
        <v>1163</v>
      </c>
      <c r="V578" s="81" t="s">
        <v>64</v>
      </c>
      <c r="W578" s="82">
        <v>9.75</v>
      </c>
      <c r="X578" s="63" t="s">
        <v>1633</v>
      </c>
      <c r="Y578" s="81">
        <v>43102</v>
      </c>
      <c r="Z578" s="83">
        <v>41200000</v>
      </c>
      <c r="AA578" s="84" t="s">
        <v>1552</v>
      </c>
      <c r="AB578" s="85">
        <v>223</v>
      </c>
      <c r="AC578" s="81">
        <v>43105</v>
      </c>
      <c r="AD578" s="86">
        <v>41200000</v>
      </c>
      <c r="AE578" s="87">
        <f t="shared" si="65"/>
        <v>0</v>
      </c>
      <c r="AF578" s="85">
        <v>123</v>
      </c>
      <c r="AG578" s="81">
        <v>43117</v>
      </c>
      <c r="AH578" s="86">
        <v>41200000</v>
      </c>
      <c r="AI578" s="63" t="s">
        <v>1634</v>
      </c>
      <c r="AJ578" s="63">
        <v>116</v>
      </c>
      <c r="AK578" s="87">
        <f t="shared" si="62"/>
        <v>0</v>
      </c>
      <c r="AL578" s="86">
        <v>30076000</v>
      </c>
      <c r="AM578" s="86">
        <f t="shared" si="63"/>
        <v>11124000</v>
      </c>
      <c r="AN578" s="63" t="s">
        <v>1155</v>
      </c>
      <c r="AO578" s="86">
        <f t="shared" si="64"/>
        <v>0</v>
      </c>
      <c r="AP578" s="63"/>
      <c r="AQ578" s="63"/>
      <c r="AR578" s="63"/>
      <c r="AS578" s="63"/>
      <c r="AT578" s="63"/>
      <c r="AU578" s="220"/>
      <c r="AV578" s="220"/>
      <c r="AW578" s="220"/>
    </row>
    <row r="579" spans="1:49" s="221" customFormat="1" ht="213.75" x14ac:dyDescent="0.25">
      <c r="A579" s="63">
        <v>165</v>
      </c>
      <c r="B579" s="63" t="str">
        <f t="shared" si="61"/>
        <v>3075-165</v>
      </c>
      <c r="C579" s="76" t="s">
        <v>1141</v>
      </c>
      <c r="D579" s="76" t="s">
        <v>1142</v>
      </c>
      <c r="E579" s="76" t="s">
        <v>1143</v>
      </c>
      <c r="F579" s="76" t="s">
        <v>1158</v>
      </c>
      <c r="G579" s="77" t="s">
        <v>1159</v>
      </c>
      <c r="H579" s="78" t="s">
        <v>1160</v>
      </c>
      <c r="I579" s="76" t="s">
        <v>1147</v>
      </c>
      <c r="J579" s="76" t="s">
        <v>1148</v>
      </c>
      <c r="K579" s="76">
        <v>801116</v>
      </c>
      <c r="L579" s="63" t="s">
        <v>1149</v>
      </c>
      <c r="M579" s="63" t="s">
        <v>58</v>
      </c>
      <c r="N579" s="63" t="s">
        <v>59</v>
      </c>
      <c r="O579" s="76" t="s">
        <v>1213</v>
      </c>
      <c r="P579" s="76" t="s">
        <v>1276</v>
      </c>
      <c r="Q579" s="83">
        <v>2472000</v>
      </c>
      <c r="R579" s="63">
        <v>1</v>
      </c>
      <c r="S579" s="80">
        <v>27192000</v>
      </c>
      <c r="T579" s="63" t="s">
        <v>928</v>
      </c>
      <c r="U579" s="63" t="s">
        <v>1163</v>
      </c>
      <c r="V579" s="81" t="s">
        <v>64</v>
      </c>
      <c r="W579" s="82">
        <v>11</v>
      </c>
      <c r="X579" s="63" t="s">
        <v>1635</v>
      </c>
      <c r="Y579" s="81">
        <v>43102</v>
      </c>
      <c r="Z579" s="83">
        <v>27192000</v>
      </c>
      <c r="AA579" s="84" t="s">
        <v>1570</v>
      </c>
      <c r="AB579" s="85">
        <v>232</v>
      </c>
      <c r="AC579" s="81">
        <v>43105</v>
      </c>
      <c r="AD579" s="86">
        <v>27192000</v>
      </c>
      <c r="AE579" s="87">
        <f t="shared" si="65"/>
        <v>0</v>
      </c>
      <c r="AF579" s="85">
        <v>412</v>
      </c>
      <c r="AG579" s="81">
        <v>43124</v>
      </c>
      <c r="AH579" s="86">
        <v>27192000</v>
      </c>
      <c r="AI579" s="63" t="s">
        <v>1636</v>
      </c>
      <c r="AJ579" s="63">
        <v>334</v>
      </c>
      <c r="AK579" s="87">
        <f t="shared" si="62"/>
        <v>0</v>
      </c>
      <c r="AL579" s="86">
        <v>17798400</v>
      </c>
      <c r="AM579" s="86">
        <f t="shared" si="63"/>
        <v>9393600</v>
      </c>
      <c r="AN579" s="63" t="s">
        <v>1155</v>
      </c>
      <c r="AO579" s="86">
        <f t="shared" si="64"/>
        <v>0</v>
      </c>
      <c r="AP579" s="63"/>
      <c r="AQ579" s="63"/>
      <c r="AR579" s="63"/>
      <c r="AS579" s="63"/>
      <c r="AT579" s="63"/>
      <c r="AU579" s="220"/>
      <c r="AV579" s="220"/>
      <c r="AW579" s="220"/>
    </row>
    <row r="580" spans="1:49" s="221" customFormat="1" ht="242.25" x14ac:dyDescent="0.25">
      <c r="A580" s="63">
        <v>166</v>
      </c>
      <c r="B580" s="63" t="str">
        <f t="shared" si="61"/>
        <v>3075-166</v>
      </c>
      <c r="C580" s="76" t="s">
        <v>1141</v>
      </c>
      <c r="D580" s="76" t="s">
        <v>1142</v>
      </c>
      <c r="E580" s="76" t="s">
        <v>1143</v>
      </c>
      <c r="F580" s="76" t="s">
        <v>1158</v>
      </c>
      <c r="G580" s="77" t="s">
        <v>1159</v>
      </c>
      <c r="H580" s="78" t="s">
        <v>1160</v>
      </c>
      <c r="I580" s="76" t="s">
        <v>1147</v>
      </c>
      <c r="J580" s="76" t="s">
        <v>1148</v>
      </c>
      <c r="K580" s="76">
        <v>801116</v>
      </c>
      <c r="L580" s="63" t="s">
        <v>1149</v>
      </c>
      <c r="M580" s="63" t="s">
        <v>58</v>
      </c>
      <c r="N580" s="63" t="s">
        <v>59</v>
      </c>
      <c r="O580" s="76" t="s">
        <v>1213</v>
      </c>
      <c r="P580" s="76" t="s">
        <v>1637</v>
      </c>
      <c r="Q580" s="83">
        <v>7210000</v>
      </c>
      <c r="R580" s="63">
        <v>1</v>
      </c>
      <c r="S580" s="80">
        <v>57680000</v>
      </c>
      <c r="T580" s="63" t="s">
        <v>888</v>
      </c>
      <c r="U580" s="63" t="s">
        <v>1163</v>
      </c>
      <c r="V580" s="81" t="s">
        <v>64</v>
      </c>
      <c r="W580" s="82">
        <v>8.3333333333333339</v>
      </c>
      <c r="X580" s="63" t="s">
        <v>1638</v>
      </c>
      <c r="Y580" s="81">
        <v>43103</v>
      </c>
      <c r="Z580" s="83">
        <v>57680000</v>
      </c>
      <c r="AA580" s="84" t="s">
        <v>1236</v>
      </c>
      <c r="AB580" s="85">
        <v>234</v>
      </c>
      <c r="AC580" s="81">
        <v>43105</v>
      </c>
      <c r="AD580" s="86">
        <v>57680000</v>
      </c>
      <c r="AE580" s="87">
        <f t="shared" si="65"/>
        <v>0</v>
      </c>
      <c r="AF580" s="85">
        <v>247</v>
      </c>
      <c r="AG580" s="81">
        <v>43119</v>
      </c>
      <c r="AH580" s="86">
        <v>57680000</v>
      </c>
      <c r="AI580" s="63" t="s">
        <v>1639</v>
      </c>
      <c r="AJ580" s="63">
        <v>214</v>
      </c>
      <c r="AK580" s="87">
        <f t="shared" si="62"/>
        <v>0</v>
      </c>
      <c r="AL580" s="86">
        <v>53354000</v>
      </c>
      <c r="AM580" s="86">
        <f t="shared" si="63"/>
        <v>4326000</v>
      </c>
      <c r="AN580" s="63" t="s">
        <v>1155</v>
      </c>
      <c r="AO580" s="86">
        <f t="shared" si="64"/>
        <v>0</v>
      </c>
      <c r="AP580" s="63"/>
      <c r="AQ580" s="63"/>
      <c r="AR580" s="63"/>
      <c r="AS580" s="63"/>
      <c r="AT580" s="63"/>
      <c r="AU580" s="220"/>
      <c r="AV580" s="220"/>
      <c r="AW580" s="220"/>
    </row>
    <row r="581" spans="1:49" s="221" customFormat="1" ht="399" x14ac:dyDescent="0.25">
      <c r="A581" s="63">
        <v>167</v>
      </c>
      <c r="B581" s="63" t="str">
        <f t="shared" si="61"/>
        <v>3075-167</v>
      </c>
      <c r="C581" s="76" t="s">
        <v>1141</v>
      </c>
      <c r="D581" s="76" t="s">
        <v>1142</v>
      </c>
      <c r="E581" s="76" t="s">
        <v>1143</v>
      </c>
      <c r="F581" s="76" t="s">
        <v>1158</v>
      </c>
      <c r="G581" s="77" t="s">
        <v>1159</v>
      </c>
      <c r="H581" s="78" t="s">
        <v>1160</v>
      </c>
      <c r="I581" s="76" t="s">
        <v>1147</v>
      </c>
      <c r="J581" s="76" t="s">
        <v>1148</v>
      </c>
      <c r="K581" s="76">
        <v>801116</v>
      </c>
      <c r="L581" s="63" t="s">
        <v>1149</v>
      </c>
      <c r="M581" s="63" t="s">
        <v>58</v>
      </c>
      <c r="N581" s="63" t="s">
        <v>59</v>
      </c>
      <c r="O581" s="76" t="s">
        <v>1213</v>
      </c>
      <c r="P581" s="76" t="s">
        <v>1640</v>
      </c>
      <c r="Q581" s="83">
        <v>5665000</v>
      </c>
      <c r="R581" s="63">
        <v>1</v>
      </c>
      <c r="S581" s="80">
        <v>0</v>
      </c>
      <c r="T581" s="63"/>
      <c r="U581" s="63"/>
      <c r="V581" s="81"/>
      <c r="W581" s="82"/>
      <c r="X581" s="63" t="s">
        <v>1641</v>
      </c>
      <c r="Y581" s="81">
        <v>43103</v>
      </c>
      <c r="Z581" s="83">
        <v>0</v>
      </c>
      <c r="AA581" s="84" t="s">
        <v>1642</v>
      </c>
      <c r="AB581" s="85"/>
      <c r="AC581" s="81"/>
      <c r="AD581" s="86"/>
      <c r="AE581" s="87">
        <f t="shared" si="65"/>
        <v>0</v>
      </c>
      <c r="AF581" s="85"/>
      <c r="AG581" s="81"/>
      <c r="AH581" s="86"/>
      <c r="AI581" s="63"/>
      <c r="AJ581" s="63"/>
      <c r="AK581" s="87">
        <f t="shared" si="62"/>
        <v>0</v>
      </c>
      <c r="AL581" s="86"/>
      <c r="AM581" s="86">
        <f t="shared" si="63"/>
        <v>0</v>
      </c>
      <c r="AN581" s="63" t="s">
        <v>1155</v>
      </c>
      <c r="AO581" s="86">
        <f t="shared" si="64"/>
        <v>0</v>
      </c>
      <c r="AP581" s="63"/>
      <c r="AQ581" s="63"/>
      <c r="AR581" s="63" t="s">
        <v>1157</v>
      </c>
      <c r="AS581" s="63"/>
      <c r="AT581" s="63"/>
      <c r="AU581" s="220"/>
      <c r="AV581" s="220"/>
      <c r="AW581" s="220"/>
    </row>
    <row r="582" spans="1:49" s="221" customFormat="1" ht="242.25" x14ac:dyDescent="0.25">
      <c r="A582" s="63">
        <v>168</v>
      </c>
      <c r="B582" s="63" t="str">
        <f t="shared" si="61"/>
        <v>3075-168</v>
      </c>
      <c r="C582" s="76" t="s">
        <v>1141</v>
      </c>
      <c r="D582" s="76" t="s">
        <v>1142</v>
      </c>
      <c r="E582" s="76" t="s">
        <v>1143</v>
      </c>
      <c r="F582" s="76" t="s">
        <v>1158</v>
      </c>
      <c r="G582" s="77" t="s">
        <v>1159</v>
      </c>
      <c r="H582" s="78" t="s">
        <v>1160</v>
      </c>
      <c r="I582" s="76" t="s">
        <v>1147</v>
      </c>
      <c r="J582" s="76" t="s">
        <v>1148</v>
      </c>
      <c r="K582" s="76">
        <v>801116</v>
      </c>
      <c r="L582" s="63" t="s">
        <v>1149</v>
      </c>
      <c r="M582" s="63" t="s">
        <v>58</v>
      </c>
      <c r="N582" s="63" t="s">
        <v>59</v>
      </c>
      <c r="O582" s="76" t="s">
        <v>1213</v>
      </c>
      <c r="P582" s="76" t="s">
        <v>1643</v>
      </c>
      <c r="Q582" s="83">
        <v>8240000</v>
      </c>
      <c r="R582" s="63">
        <v>1</v>
      </c>
      <c r="S582" s="80">
        <v>82400000</v>
      </c>
      <c r="T582" s="63" t="s">
        <v>888</v>
      </c>
      <c r="U582" s="63" t="s">
        <v>1163</v>
      </c>
      <c r="V582" s="81" t="s">
        <v>64</v>
      </c>
      <c r="W582" s="82">
        <v>10.333333333333334</v>
      </c>
      <c r="X582" s="63" t="s">
        <v>1644</v>
      </c>
      <c r="Y582" s="81">
        <v>43103</v>
      </c>
      <c r="Z582" s="83">
        <v>82400000</v>
      </c>
      <c r="AA582" s="84" t="s">
        <v>1645</v>
      </c>
      <c r="AB582" s="85">
        <v>338</v>
      </c>
      <c r="AC582" s="81">
        <v>43110</v>
      </c>
      <c r="AD582" s="86">
        <v>82400000</v>
      </c>
      <c r="AE582" s="87">
        <f t="shared" si="65"/>
        <v>0</v>
      </c>
      <c r="AF582" s="85">
        <v>190</v>
      </c>
      <c r="AG582" s="81">
        <v>43118</v>
      </c>
      <c r="AH582" s="86">
        <v>82400000</v>
      </c>
      <c r="AI582" s="63" t="s">
        <v>1646</v>
      </c>
      <c r="AJ582" s="63">
        <v>167</v>
      </c>
      <c r="AK582" s="87">
        <f t="shared" si="62"/>
        <v>0</v>
      </c>
      <c r="AL582" s="86">
        <v>60976000</v>
      </c>
      <c r="AM582" s="86">
        <f t="shared" si="63"/>
        <v>21424000</v>
      </c>
      <c r="AN582" s="63" t="s">
        <v>1155</v>
      </c>
      <c r="AO582" s="86">
        <f t="shared" si="64"/>
        <v>0</v>
      </c>
      <c r="AP582" s="63"/>
      <c r="AQ582" s="63"/>
      <c r="AR582" s="63"/>
      <c r="AS582" s="63"/>
      <c r="AT582" s="63"/>
      <c r="AU582" s="220"/>
      <c r="AV582" s="220"/>
      <c r="AW582" s="220"/>
    </row>
    <row r="583" spans="1:49" s="221" customFormat="1" ht="199.5" x14ac:dyDescent="0.25">
      <c r="A583" s="63">
        <v>169</v>
      </c>
      <c r="B583" s="63" t="str">
        <f t="shared" si="61"/>
        <v>3075-169</v>
      </c>
      <c r="C583" s="76" t="s">
        <v>1141</v>
      </c>
      <c r="D583" s="76" t="s">
        <v>1142</v>
      </c>
      <c r="E583" s="76" t="s">
        <v>1143</v>
      </c>
      <c r="F583" s="76" t="s">
        <v>1158</v>
      </c>
      <c r="G583" s="77" t="s">
        <v>1159</v>
      </c>
      <c r="H583" s="78" t="s">
        <v>1160</v>
      </c>
      <c r="I583" s="76" t="s">
        <v>1147</v>
      </c>
      <c r="J583" s="76" t="s">
        <v>1148</v>
      </c>
      <c r="K583" s="76">
        <v>801116</v>
      </c>
      <c r="L583" s="63" t="s">
        <v>1149</v>
      </c>
      <c r="M583" s="63" t="s">
        <v>58</v>
      </c>
      <c r="N583" s="63" t="s">
        <v>59</v>
      </c>
      <c r="O583" s="76" t="s">
        <v>1213</v>
      </c>
      <c r="P583" s="76" t="s">
        <v>1647</v>
      </c>
      <c r="Q583" s="83">
        <v>8240000</v>
      </c>
      <c r="R583" s="63">
        <v>1</v>
      </c>
      <c r="S583" s="80">
        <f>90640000-14270650-15949550-10763500</f>
        <v>49656300</v>
      </c>
      <c r="T583" s="63" t="s">
        <v>888</v>
      </c>
      <c r="U583" s="63" t="s">
        <v>1163</v>
      </c>
      <c r="V583" s="81" t="s">
        <v>64</v>
      </c>
      <c r="W583" s="82">
        <v>11</v>
      </c>
      <c r="X583" s="63" t="s">
        <v>1648</v>
      </c>
      <c r="Y583" s="81">
        <v>43103</v>
      </c>
      <c r="Z583" s="83">
        <f>90640000-45320000</f>
        <v>45320000</v>
      </c>
      <c r="AA583" s="84" t="s">
        <v>1645</v>
      </c>
      <c r="AB583" s="85">
        <v>342</v>
      </c>
      <c r="AC583" s="81">
        <v>43110</v>
      </c>
      <c r="AD583" s="86">
        <v>45320000</v>
      </c>
      <c r="AE583" s="87">
        <f>AD583-Z583</f>
        <v>0</v>
      </c>
      <c r="AF583" s="85">
        <v>415</v>
      </c>
      <c r="AG583" s="81">
        <v>43124</v>
      </c>
      <c r="AH583" s="86">
        <v>45320000</v>
      </c>
      <c r="AI583" s="63" t="s">
        <v>1649</v>
      </c>
      <c r="AJ583" s="63">
        <v>336</v>
      </c>
      <c r="AK583" s="87">
        <f t="shared" si="62"/>
        <v>0</v>
      </c>
      <c r="AL583" s="86">
        <v>45320000</v>
      </c>
      <c r="AM583" s="86">
        <f t="shared" si="63"/>
        <v>0</v>
      </c>
      <c r="AN583" s="63" t="s">
        <v>1155</v>
      </c>
      <c r="AO583" s="86">
        <f t="shared" si="64"/>
        <v>4336300</v>
      </c>
      <c r="AP583" s="63"/>
      <c r="AQ583" s="63"/>
      <c r="AR583" s="63"/>
      <c r="AS583" s="63"/>
      <c r="AT583" s="63"/>
      <c r="AU583" s="220"/>
      <c r="AV583" s="220"/>
      <c r="AW583" s="220"/>
    </row>
    <row r="584" spans="1:49" s="221" customFormat="1" ht="242.25" x14ac:dyDescent="0.25">
      <c r="A584" s="63">
        <v>170</v>
      </c>
      <c r="B584" s="63" t="str">
        <f t="shared" si="61"/>
        <v>3075-170</v>
      </c>
      <c r="C584" s="76" t="s">
        <v>1141</v>
      </c>
      <c r="D584" s="76" t="s">
        <v>1142</v>
      </c>
      <c r="E584" s="76" t="s">
        <v>1143</v>
      </c>
      <c r="F584" s="76" t="s">
        <v>1158</v>
      </c>
      <c r="G584" s="77" t="s">
        <v>1159</v>
      </c>
      <c r="H584" s="78" t="s">
        <v>1160</v>
      </c>
      <c r="I584" s="76" t="s">
        <v>1147</v>
      </c>
      <c r="J584" s="76" t="s">
        <v>1148</v>
      </c>
      <c r="K584" s="76">
        <v>801116</v>
      </c>
      <c r="L584" s="63" t="s">
        <v>1149</v>
      </c>
      <c r="M584" s="63" t="s">
        <v>58</v>
      </c>
      <c r="N584" s="63" t="s">
        <v>59</v>
      </c>
      <c r="O584" s="76" t="s">
        <v>1213</v>
      </c>
      <c r="P584" s="76" t="s">
        <v>1637</v>
      </c>
      <c r="Q584" s="83">
        <v>7210000</v>
      </c>
      <c r="R584" s="63">
        <v>1</v>
      </c>
      <c r="S584" s="80">
        <f>64890000-15949550-10535183-192267</f>
        <v>38213000</v>
      </c>
      <c r="T584" s="63" t="s">
        <v>888</v>
      </c>
      <c r="U584" s="63" t="s">
        <v>1163</v>
      </c>
      <c r="V584" s="81" t="s">
        <v>64</v>
      </c>
      <c r="W584" s="82">
        <v>9</v>
      </c>
      <c r="X584" s="63" t="s">
        <v>1650</v>
      </c>
      <c r="Y584" s="81">
        <v>43103</v>
      </c>
      <c r="Z584" s="83">
        <f>64890000-26677000</f>
        <v>38213000</v>
      </c>
      <c r="AA584" s="84" t="s">
        <v>1236</v>
      </c>
      <c r="AB584" s="85">
        <v>350</v>
      </c>
      <c r="AC584" s="81">
        <v>43110</v>
      </c>
      <c r="AD584" s="86">
        <v>38213000</v>
      </c>
      <c r="AE584" s="87">
        <f t="shared" ref="AE584:AE647" si="66">S584-Z584</f>
        <v>0</v>
      </c>
      <c r="AF584" s="85">
        <v>262</v>
      </c>
      <c r="AG584" s="81">
        <v>43119</v>
      </c>
      <c r="AH584" s="86">
        <v>38213000</v>
      </c>
      <c r="AI584" s="63" t="s">
        <v>1651</v>
      </c>
      <c r="AJ584" s="63">
        <v>228</v>
      </c>
      <c r="AK584" s="87">
        <f t="shared" si="62"/>
        <v>0</v>
      </c>
      <c r="AL584" s="86">
        <v>38213000</v>
      </c>
      <c r="AM584" s="86">
        <f t="shared" si="63"/>
        <v>0</v>
      </c>
      <c r="AN584" s="63" t="s">
        <v>1155</v>
      </c>
      <c r="AO584" s="86">
        <f t="shared" si="64"/>
        <v>0</v>
      </c>
      <c r="AP584" s="63"/>
      <c r="AQ584" s="63"/>
      <c r="AR584" s="63"/>
      <c r="AS584" s="63"/>
      <c r="AT584" s="63"/>
      <c r="AU584" s="220"/>
      <c r="AV584" s="220"/>
      <c r="AW584" s="220"/>
    </row>
    <row r="585" spans="1:49" s="221" customFormat="1" ht="242.25" x14ac:dyDescent="0.25">
      <c r="A585" s="63">
        <v>171</v>
      </c>
      <c r="B585" s="63" t="str">
        <f t="shared" si="61"/>
        <v>3075-171</v>
      </c>
      <c r="C585" s="76" t="s">
        <v>1141</v>
      </c>
      <c r="D585" s="76" t="s">
        <v>1142</v>
      </c>
      <c r="E585" s="76" t="s">
        <v>1143</v>
      </c>
      <c r="F585" s="76" t="s">
        <v>1158</v>
      </c>
      <c r="G585" s="77" t="s">
        <v>1159</v>
      </c>
      <c r="H585" s="78" t="s">
        <v>1160</v>
      </c>
      <c r="I585" s="76" t="s">
        <v>1147</v>
      </c>
      <c r="J585" s="76" t="s">
        <v>1148</v>
      </c>
      <c r="K585" s="76">
        <v>801116</v>
      </c>
      <c r="L585" s="63" t="s">
        <v>1149</v>
      </c>
      <c r="M585" s="63" t="s">
        <v>58</v>
      </c>
      <c r="N585" s="63" t="s">
        <v>59</v>
      </c>
      <c r="O585" s="76" t="s">
        <v>1213</v>
      </c>
      <c r="P585" s="76" t="s">
        <v>1637</v>
      </c>
      <c r="Q585" s="83">
        <v>4532000</v>
      </c>
      <c r="R585" s="63">
        <v>1</v>
      </c>
      <c r="S585" s="80">
        <v>0</v>
      </c>
      <c r="T585" s="63"/>
      <c r="U585" s="63"/>
      <c r="V585" s="81"/>
      <c r="W585" s="82"/>
      <c r="X585" s="63" t="s">
        <v>1652</v>
      </c>
      <c r="Y585" s="81">
        <v>43103</v>
      </c>
      <c r="Z585" s="83">
        <v>0</v>
      </c>
      <c r="AA585" s="84" t="s">
        <v>1653</v>
      </c>
      <c r="AB585" s="85"/>
      <c r="AC585" s="81"/>
      <c r="AD585" s="86"/>
      <c r="AE585" s="87">
        <f t="shared" si="66"/>
        <v>0</v>
      </c>
      <c r="AF585" s="85"/>
      <c r="AG585" s="81"/>
      <c r="AH585" s="86"/>
      <c r="AI585" s="63"/>
      <c r="AJ585" s="63"/>
      <c r="AK585" s="87">
        <f t="shared" si="62"/>
        <v>0</v>
      </c>
      <c r="AL585" s="86"/>
      <c r="AM585" s="86">
        <f t="shared" si="63"/>
        <v>0</v>
      </c>
      <c r="AN585" s="63" t="s">
        <v>1155</v>
      </c>
      <c r="AO585" s="86">
        <f t="shared" si="64"/>
        <v>0</v>
      </c>
      <c r="AP585" s="63"/>
      <c r="AQ585" s="63"/>
      <c r="AR585" s="63" t="s">
        <v>1157</v>
      </c>
      <c r="AS585" s="63"/>
      <c r="AT585" s="63"/>
      <c r="AU585" s="220"/>
      <c r="AV585" s="220"/>
      <c r="AW585" s="220"/>
    </row>
    <row r="586" spans="1:49" s="221" customFormat="1" ht="242.25" x14ac:dyDescent="0.25">
      <c r="A586" s="63">
        <v>172</v>
      </c>
      <c r="B586" s="63" t="str">
        <f t="shared" si="61"/>
        <v>3075-172</v>
      </c>
      <c r="C586" s="76" t="s">
        <v>1141</v>
      </c>
      <c r="D586" s="76" t="s">
        <v>1142</v>
      </c>
      <c r="E586" s="76" t="s">
        <v>1143</v>
      </c>
      <c r="F586" s="76" t="s">
        <v>1158</v>
      </c>
      <c r="G586" s="77" t="s">
        <v>1159</v>
      </c>
      <c r="H586" s="78" t="s">
        <v>1160</v>
      </c>
      <c r="I586" s="76" t="s">
        <v>1147</v>
      </c>
      <c r="J586" s="76" t="s">
        <v>1148</v>
      </c>
      <c r="K586" s="76">
        <v>801116</v>
      </c>
      <c r="L586" s="63" t="s">
        <v>1149</v>
      </c>
      <c r="M586" s="63" t="s">
        <v>58</v>
      </c>
      <c r="N586" s="63" t="s">
        <v>59</v>
      </c>
      <c r="O586" s="76" t="s">
        <v>1213</v>
      </c>
      <c r="P586" s="76" t="s">
        <v>1637</v>
      </c>
      <c r="Q586" s="83">
        <v>4532000</v>
      </c>
      <c r="R586" s="63">
        <v>1</v>
      </c>
      <c r="S586" s="80">
        <v>31724000</v>
      </c>
      <c r="T586" s="63" t="s">
        <v>888</v>
      </c>
      <c r="U586" s="63" t="s">
        <v>1163</v>
      </c>
      <c r="V586" s="81" t="s">
        <v>64</v>
      </c>
      <c r="W586" s="82">
        <v>7</v>
      </c>
      <c r="X586" s="63" t="s">
        <v>1654</v>
      </c>
      <c r="Y586" s="81">
        <v>43103</v>
      </c>
      <c r="Z586" s="83">
        <v>31724000</v>
      </c>
      <c r="AA586" s="84" t="s">
        <v>1653</v>
      </c>
      <c r="AB586" s="85">
        <v>352</v>
      </c>
      <c r="AC586" s="81">
        <v>43110</v>
      </c>
      <c r="AD586" s="86">
        <v>31724000</v>
      </c>
      <c r="AE586" s="87">
        <f t="shared" si="66"/>
        <v>0</v>
      </c>
      <c r="AF586" s="85">
        <v>398</v>
      </c>
      <c r="AG586" s="81">
        <v>43124</v>
      </c>
      <c r="AH586" s="86">
        <v>31724000</v>
      </c>
      <c r="AI586" s="63" t="s">
        <v>685</v>
      </c>
      <c r="AJ586" s="63">
        <v>319</v>
      </c>
      <c r="AK586" s="87">
        <f t="shared" si="62"/>
        <v>0</v>
      </c>
      <c r="AL586" s="86">
        <v>31724000</v>
      </c>
      <c r="AM586" s="86">
        <f t="shared" si="63"/>
        <v>0</v>
      </c>
      <c r="AN586" s="63" t="s">
        <v>1155</v>
      </c>
      <c r="AO586" s="86">
        <f t="shared" si="64"/>
        <v>0</v>
      </c>
      <c r="AP586" s="63"/>
      <c r="AQ586" s="63"/>
      <c r="AR586" s="63"/>
      <c r="AS586" s="63"/>
      <c r="AT586" s="63"/>
      <c r="AU586" s="220"/>
      <c r="AV586" s="220"/>
      <c r="AW586" s="220"/>
    </row>
    <row r="587" spans="1:49" s="221" customFormat="1" ht="228" x14ac:dyDescent="0.25">
      <c r="A587" s="63">
        <v>173</v>
      </c>
      <c r="B587" s="63" t="str">
        <f t="shared" si="61"/>
        <v>3075-173</v>
      </c>
      <c r="C587" s="76" t="s">
        <v>1141</v>
      </c>
      <c r="D587" s="76" t="s">
        <v>1142</v>
      </c>
      <c r="E587" s="76" t="s">
        <v>1143</v>
      </c>
      <c r="F587" s="76" t="s">
        <v>1158</v>
      </c>
      <c r="G587" s="77" t="s">
        <v>1159</v>
      </c>
      <c r="H587" s="78" t="s">
        <v>1160</v>
      </c>
      <c r="I587" s="76" t="s">
        <v>1147</v>
      </c>
      <c r="J587" s="76" t="s">
        <v>1148</v>
      </c>
      <c r="K587" s="76">
        <v>801116</v>
      </c>
      <c r="L587" s="63" t="s">
        <v>1149</v>
      </c>
      <c r="M587" s="63" t="s">
        <v>58</v>
      </c>
      <c r="N587" s="63" t="s">
        <v>59</v>
      </c>
      <c r="O587" s="76" t="s">
        <v>1213</v>
      </c>
      <c r="P587" s="76" t="s">
        <v>1655</v>
      </c>
      <c r="Q587" s="83">
        <v>8240000</v>
      </c>
      <c r="R587" s="63">
        <v>1</v>
      </c>
      <c r="S587" s="80">
        <v>82400000</v>
      </c>
      <c r="T587" s="63" t="s">
        <v>888</v>
      </c>
      <c r="U587" s="63" t="s">
        <v>1163</v>
      </c>
      <c r="V587" s="81" t="s">
        <v>64</v>
      </c>
      <c r="W587" s="82">
        <v>10.333333333333334</v>
      </c>
      <c r="X587" s="63" t="s">
        <v>1656</v>
      </c>
      <c r="Y587" s="81">
        <v>43103</v>
      </c>
      <c r="Z587" s="83">
        <v>82400000</v>
      </c>
      <c r="AA587" s="84" t="s">
        <v>1645</v>
      </c>
      <c r="AB587" s="85">
        <v>356</v>
      </c>
      <c r="AC587" s="81">
        <v>43110</v>
      </c>
      <c r="AD587" s="86">
        <v>82400000</v>
      </c>
      <c r="AE587" s="87">
        <f t="shared" si="66"/>
        <v>0</v>
      </c>
      <c r="AF587" s="85">
        <v>347</v>
      </c>
      <c r="AG587" s="81">
        <v>43123</v>
      </c>
      <c r="AH587" s="86">
        <v>82400000</v>
      </c>
      <c r="AI587" s="63" t="s">
        <v>1657</v>
      </c>
      <c r="AJ587" s="63">
        <v>349</v>
      </c>
      <c r="AK587" s="87">
        <f t="shared" si="62"/>
        <v>0</v>
      </c>
      <c r="AL587" s="86">
        <v>56581333</v>
      </c>
      <c r="AM587" s="86">
        <f t="shared" si="63"/>
        <v>25818667</v>
      </c>
      <c r="AN587" s="63" t="s">
        <v>1155</v>
      </c>
      <c r="AO587" s="86">
        <f t="shared" si="64"/>
        <v>0</v>
      </c>
      <c r="AP587" s="63"/>
      <c r="AQ587" s="63"/>
      <c r="AR587" s="63"/>
      <c r="AS587" s="63"/>
      <c r="AT587" s="63"/>
      <c r="AU587" s="220"/>
      <c r="AV587" s="220"/>
      <c r="AW587" s="220"/>
    </row>
    <row r="588" spans="1:49" s="221" customFormat="1" ht="228" x14ac:dyDescent="0.25">
      <c r="A588" s="63">
        <v>174</v>
      </c>
      <c r="B588" s="63" t="str">
        <f t="shared" si="61"/>
        <v>3075-174</v>
      </c>
      <c r="C588" s="76" t="s">
        <v>1141</v>
      </c>
      <c r="D588" s="76" t="s">
        <v>1142</v>
      </c>
      <c r="E588" s="76" t="s">
        <v>1143</v>
      </c>
      <c r="F588" s="76" t="s">
        <v>1158</v>
      </c>
      <c r="G588" s="77" t="s">
        <v>1159</v>
      </c>
      <c r="H588" s="78" t="s">
        <v>1160</v>
      </c>
      <c r="I588" s="76" t="s">
        <v>1147</v>
      </c>
      <c r="J588" s="76" t="s">
        <v>1148</v>
      </c>
      <c r="K588" s="76">
        <v>801116</v>
      </c>
      <c r="L588" s="63" t="s">
        <v>1149</v>
      </c>
      <c r="M588" s="63" t="s">
        <v>58</v>
      </c>
      <c r="N588" s="63" t="s">
        <v>59</v>
      </c>
      <c r="O588" s="76" t="s">
        <v>1213</v>
      </c>
      <c r="P588" s="76" t="s">
        <v>1658</v>
      </c>
      <c r="Q588" s="83">
        <v>8240000</v>
      </c>
      <c r="R588" s="63">
        <v>1</v>
      </c>
      <c r="S588" s="80">
        <f>90640000-17939167-22831667-4911227</f>
        <v>44957939</v>
      </c>
      <c r="T588" s="63" t="s">
        <v>888</v>
      </c>
      <c r="U588" s="63" t="s">
        <v>1163</v>
      </c>
      <c r="V588" s="81" t="s">
        <v>64</v>
      </c>
      <c r="W588" s="82">
        <v>10.5</v>
      </c>
      <c r="X588" s="63" t="s">
        <v>1659</v>
      </c>
      <c r="Y588" s="81">
        <v>43103</v>
      </c>
      <c r="Z588" s="83">
        <f>90640000-46144000</f>
        <v>44496000</v>
      </c>
      <c r="AA588" s="84" t="s">
        <v>1541</v>
      </c>
      <c r="AB588" s="85">
        <v>320</v>
      </c>
      <c r="AC588" s="81">
        <v>43110</v>
      </c>
      <c r="AD588" s="86">
        <v>44496000</v>
      </c>
      <c r="AE588" s="87">
        <f t="shared" si="66"/>
        <v>461939</v>
      </c>
      <c r="AF588" s="85">
        <v>380</v>
      </c>
      <c r="AG588" s="81">
        <v>43124</v>
      </c>
      <c r="AH588" s="86">
        <v>44496000</v>
      </c>
      <c r="AI588" s="63" t="s">
        <v>1660</v>
      </c>
      <c r="AJ588" s="63">
        <v>306</v>
      </c>
      <c r="AK588" s="87">
        <f t="shared" si="62"/>
        <v>0</v>
      </c>
      <c r="AL588" s="86">
        <v>44496000</v>
      </c>
      <c r="AM588" s="86">
        <f t="shared" si="63"/>
        <v>0</v>
      </c>
      <c r="AN588" s="63" t="s">
        <v>1155</v>
      </c>
      <c r="AO588" s="86">
        <f t="shared" si="64"/>
        <v>461939</v>
      </c>
      <c r="AP588" s="63"/>
      <c r="AQ588" s="63"/>
      <c r="AR588" s="63"/>
      <c r="AS588" s="63"/>
      <c r="AT588" s="63"/>
      <c r="AU588" s="220"/>
      <c r="AV588" s="220"/>
      <c r="AW588" s="220"/>
    </row>
    <row r="589" spans="1:49" s="221" customFormat="1" ht="313.5" x14ac:dyDescent="0.25">
      <c r="A589" s="63">
        <v>175</v>
      </c>
      <c r="B589" s="63" t="str">
        <f t="shared" si="61"/>
        <v>3075-175</v>
      </c>
      <c r="C589" s="76" t="s">
        <v>1141</v>
      </c>
      <c r="D589" s="76" t="s">
        <v>1142</v>
      </c>
      <c r="E589" s="76" t="s">
        <v>1143</v>
      </c>
      <c r="F589" s="76" t="s">
        <v>1158</v>
      </c>
      <c r="G589" s="77" t="s">
        <v>1159</v>
      </c>
      <c r="H589" s="78" t="s">
        <v>1160</v>
      </c>
      <c r="I589" s="76" t="s">
        <v>1147</v>
      </c>
      <c r="J589" s="76" t="s">
        <v>1148</v>
      </c>
      <c r="K589" s="76">
        <v>801116</v>
      </c>
      <c r="L589" s="63" t="s">
        <v>1149</v>
      </c>
      <c r="M589" s="63" t="s">
        <v>58</v>
      </c>
      <c r="N589" s="63" t="s">
        <v>59</v>
      </c>
      <c r="O589" s="76" t="s">
        <v>1213</v>
      </c>
      <c r="P589" s="76" t="s">
        <v>1661</v>
      </c>
      <c r="Q589" s="83">
        <v>5036700</v>
      </c>
      <c r="R589" s="63">
        <v>1</v>
      </c>
      <c r="S589" s="80">
        <v>50367000</v>
      </c>
      <c r="T589" s="63" t="s">
        <v>888</v>
      </c>
      <c r="U589" s="63" t="s">
        <v>1163</v>
      </c>
      <c r="V589" s="81" t="s">
        <v>64</v>
      </c>
      <c r="W589" s="82">
        <v>10</v>
      </c>
      <c r="X589" s="63" t="s">
        <v>1662</v>
      </c>
      <c r="Y589" s="81">
        <v>43103</v>
      </c>
      <c r="Z589" s="83">
        <v>50367000</v>
      </c>
      <c r="AA589" s="84" t="s">
        <v>1642</v>
      </c>
      <c r="AB589" s="85">
        <v>347</v>
      </c>
      <c r="AC589" s="81">
        <v>43110</v>
      </c>
      <c r="AD589" s="86">
        <v>50367000</v>
      </c>
      <c r="AE589" s="87">
        <f t="shared" si="66"/>
        <v>0</v>
      </c>
      <c r="AF589" s="85">
        <v>402</v>
      </c>
      <c r="AG589" s="81">
        <v>43124</v>
      </c>
      <c r="AH589" s="86">
        <v>50367000</v>
      </c>
      <c r="AI589" s="63" t="s">
        <v>1663</v>
      </c>
      <c r="AJ589" s="63">
        <v>301</v>
      </c>
      <c r="AK589" s="87">
        <f t="shared" si="62"/>
        <v>0</v>
      </c>
      <c r="AL589" s="86">
        <v>33578000</v>
      </c>
      <c r="AM589" s="86">
        <f t="shared" si="63"/>
        <v>16789000</v>
      </c>
      <c r="AN589" s="63" t="s">
        <v>1155</v>
      </c>
      <c r="AO589" s="86">
        <f t="shared" si="64"/>
        <v>0</v>
      </c>
      <c r="AP589" s="63"/>
      <c r="AQ589" s="63"/>
      <c r="AR589" s="63"/>
      <c r="AS589" s="63"/>
      <c r="AT589" s="63"/>
      <c r="AU589" s="220"/>
      <c r="AV589" s="220"/>
      <c r="AW589" s="220"/>
    </row>
    <row r="590" spans="1:49" s="221" customFormat="1" ht="213.75" x14ac:dyDescent="0.25">
      <c r="A590" s="63">
        <v>176</v>
      </c>
      <c r="B590" s="63" t="str">
        <f t="shared" si="61"/>
        <v>3075-176</v>
      </c>
      <c r="C590" s="76" t="s">
        <v>1141</v>
      </c>
      <c r="D590" s="76" t="s">
        <v>1142</v>
      </c>
      <c r="E590" s="76" t="s">
        <v>1143</v>
      </c>
      <c r="F590" s="76" t="s">
        <v>1158</v>
      </c>
      <c r="G590" s="77" t="s">
        <v>1159</v>
      </c>
      <c r="H590" s="78" t="s">
        <v>1160</v>
      </c>
      <c r="I590" s="76" t="s">
        <v>1147</v>
      </c>
      <c r="J590" s="76" t="s">
        <v>1148</v>
      </c>
      <c r="K590" s="76">
        <v>801116</v>
      </c>
      <c r="L590" s="63" t="s">
        <v>1149</v>
      </c>
      <c r="M590" s="63" t="s">
        <v>58</v>
      </c>
      <c r="N590" s="63" t="s">
        <v>59</v>
      </c>
      <c r="O590" s="76" t="s">
        <v>1213</v>
      </c>
      <c r="P590" s="76" t="s">
        <v>1664</v>
      </c>
      <c r="Q590" s="83">
        <v>2472000</v>
      </c>
      <c r="R590" s="63">
        <v>1</v>
      </c>
      <c r="S590" s="80">
        <v>27192000</v>
      </c>
      <c r="T590" s="63" t="s">
        <v>928</v>
      </c>
      <c r="U590" s="63" t="s">
        <v>1163</v>
      </c>
      <c r="V590" s="81" t="s">
        <v>64</v>
      </c>
      <c r="W590" s="82">
        <v>11</v>
      </c>
      <c r="X590" s="63" t="s">
        <v>1665</v>
      </c>
      <c r="Y590" s="81">
        <v>43103</v>
      </c>
      <c r="Z590" s="83">
        <v>27192000</v>
      </c>
      <c r="AA590" s="84" t="s">
        <v>1570</v>
      </c>
      <c r="AB590" s="85">
        <v>365</v>
      </c>
      <c r="AC590" s="81">
        <v>43110</v>
      </c>
      <c r="AD590" s="86">
        <v>27192000</v>
      </c>
      <c r="AE590" s="87">
        <f t="shared" si="66"/>
        <v>0</v>
      </c>
      <c r="AF590" s="85">
        <v>341</v>
      </c>
      <c r="AG590" s="81">
        <v>43123</v>
      </c>
      <c r="AH590" s="86">
        <v>27192000</v>
      </c>
      <c r="AI590" s="63" t="s">
        <v>1666</v>
      </c>
      <c r="AJ590" s="63">
        <v>292</v>
      </c>
      <c r="AK590" s="87">
        <f t="shared" si="62"/>
        <v>0</v>
      </c>
      <c r="AL590" s="86">
        <v>17880800</v>
      </c>
      <c r="AM590" s="86">
        <f t="shared" si="63"/>
        <v>9311200</v>
      </c>
      <c r="AN590" s="63" t="s">
        <v>1155</v>
      </c>
      <c r="AO590" s="86">
        <f t="shared" si="64"/>
        <v>0</v>
      </c>
      <c r="AP590" s="63"/>
      <c r="AQ590" s="63"/>
      <c r="AR590" s="63"/>
      <c r="AS590" s="63"/>
      <c r="AT590" s="63"/>
      <c r="AU590" s="220"/>
      <c r="AV590" s="220"/>
      <c r="AW590" s="220"/>
    </row>
    <row r="591" spans="1:49" s="221" customFormat="1" ht="409.5" x14ac:dyDescent="0.25">
      <c r="A591" s="63">
        <v>177</v>
      </c>
      <c r="B591" s="63" t="str">
        <f t="shared" si="61"/>
        <v>3075-177</v>
      </c>
      <c r="C591" s="76" t="s">
        <v>1141</v>
      </c>
      <c r="D591" s="76" t="s">
        <v>1142</v>
      </c>
      <c r="E591" s="76" t="s">
        <v>1424</v>
      </c>
      <c r="F591" s="76" t="s">
        <v>1158</v>
      </c>
      <c r="G591" s="77" t="s">
        <v>1159</v>
      </c>
      <c r="H591" s="78" t="s">
        <v>1160</v>
      </c>
      <c r="I591" s="76" t="s">
        <v>1147</v>
      </c>
      <c r="J591" s="76" t="s">
        <v>1148</v>
      </c>
      <c r="K591" s="76">
        <v>801116</v>
      </c>
      <c r="L591" s="63" t="s">
        <v>1149</v>
      </c>
      <c r="M591" s="63" t="s">
        <v>58</v>
      </c>
      <c r="N591" s="63" t="s">
        <v>59</v>
      </c>
      <c r="O591" s="76" t="s">
        <v>1213</v>
      </c>
      <c r="P591" s="76" t="s">
        <v>1667</v>
      </c>
      <c r="Q591" s="83">
        <v>4120000</v>
      </c>
      <c r="R591" s="63">
        <v>1</v>
      </c>
      <c r="S591" s="80">
        <v>24720000</v>
      </c>
      <c r="T591" s="63" t="s">
        <v>888</v>
      </c>
      <c r="U591" s="63" t="s">
        <v>1163</v>
      </c>
      <c r="V591" s="81" t="s">
        <v>64</v>
      </c>
      <c r="W591" s="82">
        <v>6</v>
      </c>
      <c r="X591" s="63" t="s">
        <v>1668</v>
      </c>
      <c r="Y591" s="81">
        <v>43103</v>
      </c>
      <c r="Z591" s="83">
        <v>24720000</v>
      </c>
      <c r="AA591" s="84" t="s">
        <v>1669</v>
      </c>
      <c r="AB591" s="85">
        <v>366</v>
      </c>
      <c r="AC591" s="81">
        <v>43110</v>
      </c>
      <c r="AD591" s="86">
        <v>24720000</v>
      </c>
      <c r="AE591" s="86">
        <f t="shared" si="66"/>
        <v>0</v>
      </c>
      <c r="AF591" s="85">
        <v>286</v>
      </c>
      <c r="AG591" s="81">
        <v>43122</v>
      </c>
      <c r="AH591" s="86">
        <v>24720000</v>
      </c>
      <c r="AI591" s="63" t="s">
        <v>1670</v>
      </c>
      <c r="AJ591" s="63">
        <v>256</v>
      </c>
      <c r="AK591" s="87">
        <f t="shared" si="62"/>
        <v>0</v>
      </c>
      <c r="AL591" s="86">
        <v>24720000</v>
      </c>
      <c r="AM591" s="86">
        <f t="shared" si="63"/>
        <v>0</v>
      </c>
      <c r="AN591" s="63" t="s">
        <v>1155</v>
      </c>
      <c r="AO591" s="86">
        <f t="shared" si="64"/>
        <v>0</v>
      </c>
      <c r="AP591" s="63"/>
      <c r="AQ591" s="63"/>
      <c r="AR591" s="63"/>
      <c r="AS591" s="63"/>
      <c r="AT591" s="63"/>
      <c r="AU591" s="220"/>
      <c r="AV591" s="220"/>
      <c r="AW591" s="220"/>
    </row>
    <row r="592" spans="1:49" s="221" customFormat="1" ht="256.5" x14ac:dyDescent="0.25">
      <c r="A592" s="63">
        <v>178</v>
      </c>
      <c r="B592" s="63" t="str">
        <f t="shared" si="61"/>
        <v>3075-178</v>
      </c>
      <c r="C592" s="76" t="s">
        <v>1141</v>
      </c>
      <c r="D592" s="76" t="s">
        <v>1142</v>
      </c>
      <c r="E592" s="76" t="s">
        <v>1143</v>
      </c>
      <c r="F592" s="76" t="s">
        <v>1158</v>
      </c>
      <c r="G592" s="77" t="s">
        <v>1159</v>
      </c>
      <c r="H592" s="78" t="s">
        <v>1160</v>
      </c>
      <c r="I592" s="76" t="s">
        <v>1147</v>
      </c>
      <c r="J592" s="76" t="s">
        <v>1148</v>
      </c>
      <c r="K592" s="76">
        <v>801116</v>
      </c>
      <c r="L592" s="63" t="s">
        <v>1149</v>
      </c>
      <c r="M592" s="63" t="s">
        <v>58</v>
      </c>
      <c r="N592" s="63" t="s">
        <v>59</v>
      </c>
      <c r="O592" s="76" t="s">
        <v>1213</v>
      </c>
      <c r="P592" s="76" t="s">
        <v>1671</v>
      </c>
      <c r="Q592" s="83">
        <v>7210000</v>
      </c>
      <c r="R592" s="63">
        <v>1</v>
      </c>
      <c r="S592" s="80">
        <v>43260000</v>
      </c>
      <c r="T592" s="63" t="s">
        <v>888</v>
      </c>
      <c r="U592" s="63" t="s">
        <v>1163</v>
      </c>
      <c r="V592" s="81" t="s">
        <v>64</v>
      </c>
      <c r="W592" s="82">
        <v>6</v>
      </c>
      <c r="X592" s="63" t="s">
        <v>1672</v>
      </c>
      <c r="Y592" s="81">
        <v>43195</v>
      </c>
      <c r="Z592" s="83">
        <v>43260000</v>
      </c>
      <c r="AA592" s="84" t="s">
        <v>1236</v>
      </c>
      <c r="AB592" s="85">
        <v>393</v>
      </c>
      <c r="AC592" s="81">
        <v>43110</v>
      </c>
      <c r="AD592" s="86">
        <v>43260000</v>
      </c>
      <c r="AE592" s="87">
        <f t="shared" si="66"/>
        <v>0</v>
      </c>
      <c r="AF592" s="85">
        <v>90</v>
      </c>
      <c r="AG592" s="81">
        <v>43116</v>
      </c>
      <c r="AH592" s="86">
        <v>43260000</v>
      </c>
      <c r="AI592" s="63" t="s">
        <v>1673</v>
      </c>
      <c r="AJ592" s="63">
        <v>78</v>
      </c>
      <c r="AK592" s="87">
        <f t="shared" si="62"/>
        <v>0</v>
      </c>
      <c r="AL592" s="86">
        <v>43260000</v>
      </c>
      <c r="AM592" s="86">
        <f t="shared" si="63"/>
        <v>0</v>
      </c>
      <c r="AN592" s="63" t="s">
        <v>1155</v>
      </c>
      <c r="AO592" s="86">
        <f t="shared" si="64"/>
        <v>0</v>
      </c>
      <c r="AP592" s="63"/>
      <c r="AQ592" s="63"/>
      <c r="AR592" s="63"/>
      <c r="AS592" s="63"/>
      <c r="AT592" s="63"/>
      <c r="AU592" s="220"/>
      <c r="AV592" s="220"/>
      <c r="AW592" s="220"/>
    </row>
    <row r="593" spans="1:49" s="221" customFormat="1" ht="409.5" x14ac:dyDescent="0.25">
      <c r="A593" s="63">
        <v>179</v>
      </c>
      <c r="B593" s="63" t="str">
        <f t="shared" si="61"/>
        <v>3075-179</v>
      </c>
      <c r="C593" s="76" t="s">
        <v>1141</v>
      </c>
      <c r="D593" s="76" t="s">
        <v>1142</v>
      </c>
      <c r="E593" s="76" t="s">
        <v>1424</v>
      </c>
      <c r="F593" s="76" t="s">
        <v>1158</v>
      </c>
      <c r="G593" s="77" t="s">
        <v>1159</v>
      </c>
      <c r="H593" s="101" t="s">
        <v>1160</v>
      </c>
      <c r="I593" s="76" t="s">
        <v>1147</v>
      </c>
      <c r="J593" s="76" t="s">
        <v>1148</v>
      </c>
      <c r="K593" s="76">
        <v>801116</v>
      </c>
      <c r="L593" s="63" t="s">
        <v>1149</v>
      </c>
      <c r="M593" s="63" t="s">
        <v>58</v>
      </c>
      <c r="N593" s="63" t="s">
        <v>59</v>
      </c>
      <c r="O593" s="76" t="s">
        <v>1213</v>
      </c>
      <c r="P593" s="63" t="s">
        <v>1674</v>
      </c>
      <c r="Q593" s="83">
        <v>3399000</v>
      </c>
      <c r="R593" s="63">
        <v>1</v>
      </c>
      <c r="S593" s="80">
        <v>16995000</v>
      </c>
      <c r="T593" s="63" t="s">
        <v>888</v>
      </c>
      <c r="U593" s="63" t="s">
        <v>1163</v>
      </c>
      <c r="V593" s="81" t="s">
        <v>64</v>
      </c>
      <c r="W593" s="82">
        <v>5</v>
      </c>
      <c r="X593" s="63" t="s">
        <v>1675</v>
      </c>
      <c r="Y593" s="81">
        <v>43104</v>
      </c>
      <c r="Z593" s="83">
        <v>16995000</v>
      </c>
      <c r="AA593" s="84" t="s">
        <v>1676</v>
      </c>
      <c r="AB593" s="85">
        <v>369</v>
      </c>
      <c r="AC593" s="81">
        <v>43110</v>
      </c>
      <c r="AD593" s="86">
        <v>16995000</v>
      </c>
      <c r="AE593" s="86">
        <f t="shared" si="66"/>
        <v>0</v>
      </c>
      <c r="AF593" s="85">
        <v>336</v>
      </c>
      <c r="AG593" s="81">
        <v>43123</v>
      </c>
      <c r="AH593" s="86">
        <v>16995000</v>
      </c>
      <c r="AI593" s="63" t="s">
        <v>1677</v>
      </c>
      <c r="AJ593" s="63">
        <v>341</v>
      </c>
      <c r="AK593" s="87">
        <f t="shared" si="62"/>
        <v>0</v>
      </c>
      <c r="AL593" s="86">
        <v>16995000</v>
      </c>
      <c r="AM593" s="86">
        <f t="shared" si="63"/>
        <v>0</v>
      </c>
      <c r="AN593" s="63" t="s">
        <v>1155</v>
      </c>
      <c r="AO593" s="86">
        <f t="shared" si="64"/>
        <v>0</v>
      </c>
      <c r="AP593" s="63"/>
      <c r="AQ593" s="63"/>
      <c r="AR593" s="63"/>
      <c r="AS593" s="63"/>
      <c r="AT593" s="63"/>
      <c r="AU593" s="220"/>
      <c r="AV593" s="220"/>
      <c r="AW593" s="220"/>
    </row>
    <row r="594" spans="1:49" s="221" customFormat="1" ht="409.5" x14ac:dyDescent="0.25">
      <c r="A594" s="63">
        <v>180</v>
      </c>
      <c r="B594" s="63" t="str">
        <f t="shared" si="61"/>
        <v>3075-180</v>
      </c>
      <c r="C594" s="76" t="s">
        <v>1141</v>
      </c>
      <c r="D594" s="76" t="s">
        <v>1142</v>
      </c>
      <c r="E594" s="76" t="s">
        <v>1424</v>
      </c>
      <c r="F594" s="76" t="s">
        <v>1158</v>
      </c>
      <c r="G594" s="77" t="s">
        <v>1159</v>
      </c>
      <c r="H594" s="101" t="s">
        <v>1160</v>
      </c>
      <c r="I594" s="76" t="s">
        <v>1147</v>
      </c>
      <c r="J594" s="76" t="s">
        <v>1148</v>
      </c>
      <c r="K594" s="76">
        <v>801116</v>
      </c>
      <c r="L594" s="63" t="s">
        <v>1149</v>
      </c>
      <c r="M594" s="63" t="s">
        <v>58</v>
      </c>
      <c r="N594" s="63" t="s">
        <v>59</v>
      </c>
      <c r="O594" s="76" t="s">
        <v>1213</v>
      </c>
      <c r="P594" s="63" t="s">
        <v>1678</v>
      </c>
      <c r="Q594" s="83">
        <v>1751000</v>
      </c>
      <c r="R594" s="98">
        <v>1</v>
      </c>
      <c r="S594" s="80">
        <v>10506000</v>
      </c>
      <c r="T594" s="63" t="s">
        <v>928</v>
      </c>
      <c r="U594" s="63" t="s">
        <v>1163</v>
      </c>
      <c r="V594" s="81" t="s">
        <v>64</v>
      </c>
      <c r="W594" s="82">
        <v>6</v>
      </c>
      <c r="X594" s="63" t="s">
        <v>1679</v>
      </c>
      <c r="Y594" s="81">
        <v>43104</v>
      </c>
      <c r="Z594" s="83">
        <v>10506000</v>
      </c>
      <c r="AA594" s="84" t="s">
        <v>1680</v>
      </c>
      <c r="AB594" s="85">
        <v>449</v>
      </c>
      <c r="AC594" s="81">
        <v>43111</v>
      </c>
      <c r="AD594" s="86">
        <v>10506000</v>
      </c>
      <c r="AE594" s="86">
        <f t="shared" si="66"/>
        <v>0</v>
      </c>
      <c r="AF594" s="85">
        <v>503</v>
      </c>
      <c r="AG594" s="81">
        <v>43126</v>
      </c>
      <c r="AH594" s="86">
        <v>10506000</v>
      </c>
      <c r="AI594" s="63" t="s">
        <v>1681</v>
      </c>
      <c r="AJ594" s="63">
        <v>412</v>
      </c>
      <c r="AK594" s="87">
        <f t="shared" si="62"/>
        <v>0</v>
      </c>
      <c r="AL594" s="86">
        <v>10506000</v>
      </c>
      <c r="AM594" s="86">
        <f t="shared" si="63"/>
        <v>0</v>
      </c>
      <c r="AN594" s="63" t="s">
        <v>1155</v>
      </c>
      <c r="AO594" s="86">
        <f t="shared" si="64"/>
        <v>0</v>
      </c>
      <c r="AP594" s="63"/>
      <c r="AQ594" s="63"/>
      <c r="AR594" s="63"/>
      <c r="AS594" s="63"/>
      <c r="AT594" s="63"/>
      <c r="AU594" s="220"/>
      <c r="AV594" s="220"/>
      <c r="AW594" s="220"/>
    </row>
    <row r="595" spans="1:49" s="221" customFormat="1" ht="409.5" x14ac:dyDescent="0.25">
      <c r="A595" s="63">
        <v>181</v>
      </c>
      <c r="B595" s="63" t="str">
        <f t="shared" si="61"/>
        <v>3075-181</v>
      </c>
      <c r="C595" s="76" t="s">
        <v>1141</v>
      </c>
      <c r="D595" s="76" t="s">
        <v>1142</v>
      </c>
      <c r="E595" s="76" t="s">
        <v>1424</v>
      </c>
      <c r="F595" s="76" t="s">
        <v>1158</v>
      </c>
      <c r="G595" s="77" t="s">
        <v>1159</v>
      </c>
      <c r="H595" s="101" t="s">
        <v>1160</v>
      </c>
      <c r="I595" s="76" t="s">
        <v>1147</v>
      </c>
      <c r="J595" s="76" t="s">
        <v>1148</v>
      </c>
      <c r="K595" s="76">
        <v>801116</v>
      </c>
      <c r="L595" s="63" t="s">
        <v>1149</v>
      </c>
      <c r="M595" s="63" t="s">
        <v>58</v>
      </c>
      <c r="N595" s="63" t="s">
        <v>59</v>
      </c>
      <c r="O595" s="76" t="s">
        <v>1213</v>
      </c>
      <c r="P595" s="63" t="s">
        <v>1682</v>
      </c>
      <c r="Q595" s="83">
        <v>1751000</v>
      </c>
      <c r="R595" s="98">
        <v>1</v>
      </c>
      <c r="S595" s="80">
        <v>10506000</v>
      </c>
      <c r="T595" s="63" t="s">
        <v>928</v>
      </c>
      <c r="U595" s="63" t="s">
        <v>1163</v>
      </c>
      <c r="V595" s="81" t="s">
        <v>64</v>
      </c>
      <c r="W595" s="82">
        <v>6</v>
      </c>
      <c r="X595" s="63" t="s">
        <v>1683</v>
      </c>
      <c r="Y595" s="81">
        <v>43104</v>
      </c>
      <c r="Z595" s="83">
        <v>10506000</v>
      </c>
      <c r="AA595" s="84" t="s">
        <v>1680</v>
      </c>
      <c r="AB595" s="85">
        <v>371</v>
      </c>
      <c r="AC595" s="81">
        <v>43110</v>
      </c>
      <c r="AD595" s="86">
        <v>10506000</v>
      </c>
      <c r="AE595" s="86">
        <f t="shared" si="66"/>
        <v>0</v>
      </c>
      <c r="AF595" s="85">
        <v>455</v>
      </c>
      <c r="AG595" s="81">
        <v>43126</v>
      </c>
      <c r="AH595" s="86">
        <v>10506000</v>
      </c>
      <c r="AI595" s="63" t="s">
        <v>1684</v>
      </c>
      <c r="AJ595" s="63">
        <v>353</v>
      </c>
      <c r="AK595" s="87">
        <f t="shared" si="62"/>
        <v>0</v>
      </c>
      <c r="AL595" s="86">
        <v>10506000</v>
      </c>
      <c r="AM595" s="86">
        <f t="shared" si="63"/>
        <v>0</v>
      </c>
      <c r="AN595" s="63" t="s">
        <v>1155</v>
      </c>
      <c r="AO595" s="86">
        <f t="shared" si="64"/>
        <v>0</v>
      </c>
      <c r="AP595" s="63"/>
      <c r="AQ595" s="63"/>
      <c r="AR595" s="63"/>
      <c r="AS595" s="63"/>
      <c r="AT595" s="63"/>
      <c r="AU595" s="220"/>
      <c r="AV595" s="220"/>
      <c r="AW595" s="220"/>
    </row>
    <row r="596" spans="1:49" s="221" customFormat="1" ht="409.5" x14ac:dyDescent="0.25">
      <c r="A596" s="63">
        <v>182</v>
      </c>
      <c r="B596" s="63" t="str">
        <f t="shared" si="61"/>
        <v>3075-182</v>
      </c>
      <c r="C596" s="76" t="s">
        <v>1141</v>
      </c>
      <c r="D596" s="76" t="s">
        <v>1142</v>
      </c>
      <c r="E596" s="76" t="s">
        <v>1424</v>
      </c>
      <c r="F596" s="76" t="s">
        <v>1158</v>
      </c>
      <c r="G596" s="77" t="s">
        <v>1159</v>
      </c>
      <c r="H596" s="101" t="s">
        <v>1160</v>
      </c>
      <c r="I596" s="76" t="s">
        <v>1147</v>
      </c>
      <c r="J596" s="76" t="s">
        <v>1148</v>
      </c>
      <c r="K596" s="76">
        <v>801116</v>
      </c>
      <c r="L596" s="63" t="s">
        <v>1149</v>
      </c>
      <c r="M596" s="63" t="s">
        <v>58</v>
      </c>
      <c r="N596" s="63" t="s">
        <v>59</v>
      </c>
      <c r="O596" s="76" t="s">
        <v>1213</v>
      </c>
      <c r="P596" s="63" t="s">
        <v>1674</v>
      </c>
      <c r="Q596" s="83">
        <v>3399000</v>
      </c>
      <c r="R596" s="63">
        <v>1</v>
      </c>
      <c r="S596" s="80">
        <v>20394000</v>
      </c>
      <c r="T596" s="63" t="s">
        <v>888</v>
      </c>
      <c r="U596" s="63" t="s">
        <v>1163</v>
      </c>
      <c r="V596" s="81" t="s">
        <v>64</v>
      </c>
      <c r="W596" s="82">
        <v>6</v>
      </c>
      <c r="X596" s="63" t="s">
        <v>1685</v>
      </c>
      <c r="Y596" s="81">
        <v>43104</v>
      </c>
      <c r="Z596" s="83">
        <v>20394000</v>
      </c>
      <c r="AA596" s="84" t="s">
        <v>1676</v>
      </c>
      <c r="AB596" s="85">
        <v>372</v>
      </c>
      <c r="AC596" s="81">
        <v>43110</v>
      </c>
      <c r="AD596" s="86">
        <v>20394000</v>
      </c>
      <c r="AE596" s="86">
        <f t="shared" si="66"/>
        <v>0</v>
      </c>
      <c r="AF596" s="85">
        <v>282</v>
      </c>
      <c r="AG596" s="81">
        <v>43122</v>
      </c>
      <c r="AH596" s="86">
        <v>20394000</v>
      </c>
      <c r="AI596" s="63" t="s">
        <v>1686</v>
      </c>
      <c r="AJ596" s="63">
        <v>252</v>
      </c>
      <c r="AK596" s="87">
        <f t="shared" si="62"/>
        <v>0</v>
      </c>
      <c r="AL596" s="86">
        <v>20394000</v>
      </c>
      <c r="AM596" s="86">
        <f t="shared" si="63"/>
        <v>0</v>
      </c>
      <c r="AN596" s="63" t="s">
        <v>1155</v>
      </c>
      <c r="AO596" s="86">
        <f t="shared" si="64"/>
        <v>0</v>
      </c>
      <c r="AP596" s="63"/>
      <c r="AQ596" s="63"/>
      <c r="AR596" s="63"/>
      <c r="AS596" s="63"/>
      <c r="AT596" s="63"/>
      <c r="AU596" s="220"/>
      <c r="AV596" s="220"/>
      <c r="AW596" s="220"/>
    </row>
    <row r="597" spans="1:49" s="221" customFormat="1" ht="409.5" x14ac:dyDescent="0.25">
      <c r="A597" s="63">
        <v>183</v>
      </c>
      <c r="B597" s="63" t="str">
        <f t="shared" si="61"/>
        <v>3075-183</v>
      </c>
      <c r="C597" s="76" t="s">
        <v>1141</v>
      </c>
      <c r="D597" s="76" t="s">
        <v>1142</v>
      </c>
      <c r="E597" s="76" t="s">
        <v>1424</v>
      </c>
      <c r="F597" s="76" t="s">
        <v>1158</v>
      </c>
      <c r="G597" s="77" t="s">
        <v>1159</v>
      </c>
      <c r="H597" s="101" t="s">
        <v>1160</v>
      </c>
      <c r="I597" s="76" t="s">
        <v>1147</v>
      </c>
      <c r="J597" s="76" t="s">
        <v>1148</v>
      </c>
      <c r="K597" s="76">
        <v>801116</v>
      </c>
      <c r="L597" s="63" t="s">
        <v>1149</v>
      </c>
      <c r="M597" s="63" t="s">
        <v>58</v>
      </c>
      <c r="N597" s="63" t="s">
        <v>59</v>
      </c>
      <c r="O597" s="76" t="s">
        <v>1213</v>
      </c>
      <c r="P597" s="63" t="s">
        <v>1687</v>
      </c>
      <c r="Q597" s="83">
        <v>5665000</v>
      </c>
      <c r="R597" s="98">
        <v>1</v>
      </c>
      <c r="S597" s="80">
        <v>33990000</v>
      </c>
      <c r="T597" s="63" t="s">
        <v>888</v>
      </c>
      <c r="U597" s="63" t="s">
        <v>1163</v>
      </c>
      <c r="V597" s="81" t="s">
        <v>64</v>
      </c>
      <c r="W597" s="82">
        <v>6</v>
      </c>
      <c r="X597" s="63" t="s">
        <v>1688</v>
      </c>
      <c r="Y597" s="81">
        <v>43104</v>
      </c>
      <c r="Z597" s="83">
        <v>33990000</v>
      </c>
      <c r="AA597" s="84" t="s">
        <v>1689</v>
      </c>
      <c r="AB597" s="85">
        <v>454</v>
      </c>
      <c r="AC597" s="81">
        <v>43111</v>
      </c>
      <c r="AD597" s="86">
        <v>33990000</v>
      </c>
      <c r="AE597" s="86">
        <f t="shared" si="66"/>
        <v>0</v>
      </c>
      <c r="AF597" s="85">
        <v>321</v>
      </c>
      <c r="AG597" s="81">
        <v>43123</v>
      </c>
      <c r="AH597" s="86">
        <v>33990000</v>
      </c>
      <c r="AI597" s="63" t="s">
        <v>1690</v>
      </c>
      <c r="AJ597" s="63">
        <v>262</v>
      </c>
      <c r="AK597" s="87">
        <f t="shared" si="62"/>
        <v>0</v>
      </c>
      <c r="AL597" s="86">
        <v>33990000</v>
      </c>
      <c r="AM597" s="86">
        <f t="shared" si="63"/>
        <v>0</v>
      </c>
      <c r="AN597" s="63" t="s">
        <v>1155</v>
      </c>
      <c r="AO597" s="86">
        <f t="shared" si="64"/>
        <v>0</v>
      </c>
      <c r="AP597" s="63"/>
      <c r="AQ597" s="63"/>
      <c r="AR597" s="63"/>
      <c r="AS597" s="63"/>
      <c r="AT597" s="63"/>
      <c r="AU597" s="220"/>
      <c r="AV597" s="220"/>
      <c r="AW597" s="220"/>
    </row>
    <row r="598" spans="1:49" s="221" customFormat="1" ht="342" x14ac:dyDescent="0.25">
      <c r="A598" s="63">
        <v>184</v>
      </c>
      <c r="B598" s="63" t="str">
        <f t="shared" si="61"/>
        <v>3075-184</v>
      </c>
      <c r="C598" s="76" t="s">
        <v>1141</v>
      </c>
      <c r="D598" s="76" t="s">
        <v>1142</v>
      </c>
      <c r="E598" s="76" t="s">
        <v>1424</v>
      </c>
      <c r="F598" s="76" t="s">
        <v>1158</v>
      </c>
      <c r="G598" s="77" t="s">
        <v>1159</v>
      </c>
      <c r="H598" s="101" t="s">
        <v>1160</v>
      </c>
      <c r="I598" s="76" t="s">
        <v>1147</v>
      </c>
      <c r="J598" s="76" t="s">
        <v>1148</v>
      </c>
      <c r="K598" s="76">
        <v>80111600</v>
      </c>
      <c r="L598" s="63" t="s">
        <v>1149</v>
      </c>
      <c r="M598" s="63" t="s">
        <v>58</v>
      </c>
      <c r="N598" s="63" t="s">
        <v>59</v>
      </c>
      <c r="O598" s="76" t="s">
        <v>1213</v>
      </c>
      <c r="P598" s="63" t="s">
        <v>1496</v>
      </c>
      <c r="Q598" s="83">
        <v>5665000</v>
      </c>
      <c r="R598" s="98">
        <v>1</v>
      </c>
      <c r="S598" s="80">
        <f>47277000-22660000-1957000</f>
        <v>22660000</v>
      </c>
      <c r="T598" s="63" t="s">
        <v>888</v>
      </c>
      <c r="U598" s="63" t="s">
        <v>1163</v>
      </c>
      <c r="V598" s="81" t="s">
        <v>431</v>
      </c>
      <c r="W598" s="82">
        <v>4</v>
      </c>
      <c r="X598" s="63" t="s">
        <v>1691</v>
      </c>
      <c r="Y598" s="81">
        <v>43321</v>
      </c>
      <c r="Z598" s="83">
        <v>22660000</v>
      </c>
      <c r="AA598" s="84" t="s">
        <v>1692</v>
      </c>
      <c r="AB598" s="85">
        <v>1049</v>
      </c>
      <c r="AC598" s="81">
        <v>43322</v>
      </c>
      <c r="AD598" s="86">
        <v>22660000</v>
      </c>
      <c r="AE598" s="86">
        <f t="shared" si="66"/>
        <v>0</v>
      </c>
      <c r="AF598" s="85">
        <v>2706</v>
      </c>
      <c r="AG598" s="81">
        <v>43334</v>
      </c>
      <c r="AH598" s="86">
        <v>22660000</v>
      </c>
      <c r="AI598" s="63" t="s">
        <v>1690</v>
      </c>
      <c r="AJ598" s="63">
        <v>514</v>
      </c>
      <c r="AK598" s="87">
        <f t="shared" si="62"/>
        <v>0</v>
      </c>
      <c r="AL598" s="86">
        <v>1699500</v>
      </c>
      <c r="AM598" s="86">
        <f t="shared" si="63"/>
        <v>20960500</v>
      </c>
      <c r="AN598" s="63" t="s">
        <v>1155</v>
      </c>
      <c r="AO598" s="86">
        <f t="shared" si="64"/>
        <v>0</v>
      </c>
      <c r="AP598" s="63" t="s">
        <v>1693</v>
      </c>
      <c r="AQ598" s="81">
        <v>43320</v>
      </c>
      <c r="AR598" s="63" t="s">
        <v>1156</v>
      </c>
      <c r="AS598" s="81">
        <v>43321</v>
      </c>
      <c r="AT598" s="63" t="s">
        <v>1453</v>
      </c>
      <c r="AU598" s="220"/>
      <c r="AV598" s="220"/>
      <c r="AW598" s="220"/>
    </row>
    <row r="599" spans="1:49" s="221" customFormat="1" ht="409.5" x14ac:dyDescent="0.25">
      <c r="A599" s="63">
        <v>185</v>
      </c>
      <c r="B599" s="63" t="str">
        <f t="shared" si="61"/>
        <v>3075-185</v>
      </c>
      <c r="C599" s="76" t="s">
        <v>1141</v>
      </c>
      <c r="D599" s="76" t="s">
        <v>1142</v>
      </c>
      <c r="E599" s="76" t="s">
        <v>1424</v>
      </c>
      <c r="F599" s="76" t="s">
        <v>1158</v>
      </c>
      <c r="G599" s="77" t="s">
        <v>1159</v>
      </c>
      <c r="H599" s="101" t="s">
        <v>1160</v>
      </c>
      <c r="I599" s="76" t="s">
        <v>1147</v>
      </c>
      <c r="J599" s="76" t="s">
        <v>1148</v>
      </c>
      <c r="K599" s="76">
        <v>801116</v>
      </c>
      <c r="L599" s="63" t="s">
        <v>1149</v>
      </c>
      <c r="M599" s="63" t="s">
        <v>58</v>
      </c>
      <c r="N599" s="63" t="s">
        <v>59</v>
      </c>
      <c r="O599" s="76" t="s">
        <v>1213</v>
      </c>
      <c r="P599" s="63" t="s">
        <v>1472</v>
      </c>
      <c r="Q599" s="83">
        <v>1545000</v>
      </c>
      <c r="R599" s="98">
        <v>1</v>
      </c>
      <c r="S599" s="80">
        <v>9270000</v>
      </c>
      <c r="T599" s="63" t="s">
        <v>928</v>
      </c>
      <c r="U599" s="63" t="s">
        <v>1163</v>
      </c>
      <c r="V599" s="81" t="s">
        <v>64</v>
      </c>
      <c r="W599" s="82">
        <v>6</v>
      </c>
      <c r="X599" s="63" t="s">
        <v>1694</v>
      </c>
      <c r="Y599" s="81">
        <v>43104</v>
      </c>
      <c r="Z599" s="83">
        <v>9270000</v>
      </c>
      <c r="AA599" s="84" t="s">
        <v>1695</v>
      </c>
      <c r="AB599" s="85">
        <v>435</v>
      </c>
      <c r="AC599" s="81">
        <v>43111</v>
      </c>
      <c r="AD599" s="86">
        <v>9270000</v>
      </c>
      <c r="AE599" s="86">
        <f t="shared" si="66"/>
        <v>0</v>
      </c>
      <c r="AF599" s="85">
        <v>409</v>
      </c>
      <c r="AG599" s="81">
        <v>43124</v>
      </c>
      <c r="AH599" s="86">
        <v>9270000</v>
      </c>
      <c r="AI599" s="63" t="s">
        <v>1696</v>
      </c>
      <c r="AJ599" s="63">
        <v>358</v>
      </c>
      <c r="AK599" s="87">
        <f t="shared" si="62"/>
        <v>0</v>
      </c>
      <c r="AL599" s="86">
        <v>9270000</v>
      </c>
      <c r="AM599" s="86">
        <f t="shared" si="63"/>
        <v>0</v>
      </c>
      <c r="AN599" s="63" t="s">
        <v>1155</v>
      </c>
      <c r="AO599" s="86">
        <f t="shared" si="64"/>
        <v>0</v>
      </c>
      <c r="AP599" s="63"/>
      <c r="AQ599" s="63"/>
      <c r="AR599" s="63"/>
      <c r="AS599" s="63"/>
      <c r="AT599" s="63"/>
      <c r="AU599" s="220"/>
      <c r="AV599" s="220"/>
      <c r="AW599" s="220"/>
    </row>
    <row r="600" spans="1:49" s="221" customFormat="1" ht="409.5" x14ac:dyDescent="0.25">
      <c r="A600" s="63">
        <v>186</v>
      </c>
      <c r="B600" s="63" t="str">
        <f t="shared" si="61"/>
        <v>3075-186</v>
      </c>
      <c r="C600" s="76" t="s">
        <v>1141</v>
      </c>
      <c r="D600" s="76" t="s">
        <v>1142</v>
      </c>
      <c r="E600" s="76" t="s">
        <v>1424</v>
      </c>
      <c r="F600" s="76" t="s">
        <v>1158</v>
      </c>
      <c r="G600" s="77" t="s">
        <v>1159</v>
      </c>
      <c r="H600" s="101" t="s">
        <v>1160</v>
      </c>
      <c r="I600" s="76" t="s">
        <v>1147</v>
      </c>
      <c r="J600" s="76" t="s">
        <v>1148</v>
      </c>
      <c r="K600" s="76">
        <v>801116</v>
      </c>
      <c r="L600" s="63" t="s">
        <v>1149</v>
      </c>
      <c r="M600" s="63" t="s">
        <v>58</v>
      </c>
      <c r="N600" s="63" t="s">
        <v>59</v>
      </c>
      <c r="O600" s="76" t="s">
        <v>1213</v>
      </c>
      <c r="P600" s="63" t="s">
        <v>1491</v>
      </c>
      <c r="Q600" s="83">
        <v>3399000</v>
      </c>
      <c r="R600" s="98">
        <v>1</v>
      </c>
      <c r="S600" s="80">
        <v>20394000</v>
      </c>
      <c r="T600" s="63" t="s">
        <v>888</v>
      </c>
      <c r="U600" s="63" t="s">
        <v>1163</v>
      </c>
      <c r="V600" s="81" t="s">
        <v>64</v>
      </c>
      <c r="W600" s="82">
        <v>6</v>
      </c>
      <c r="X600" s="63" t="s">
        <v>1697</v>
      </c>
      <c r="Y600" s="81">
        <v>43104</v>
      </c>
      <c r="Z600" s="83">
        <v>20394000</v>
      </c>
      <c r="AA600" s="84" t="s">
        <v>1698</v>
      </c>
      <c r="AB600" s="85">
        <v>438</v>
      </c>
      <c r="AC600" s="81">
        <v>43111</v>
      </c>
      <c r="AD600" s="86">
        <v>20394000</v>
      </c>
      <c r="AE600" s="86">
        <f t="shared" si="66"/>
        <v>0</v>
      </c>
      <c r="AF600" s="85">
        <v>322</v>
      </c>
      <c r="AG600" s="81">
        <v>43123</v>
      </c>
      <c r="AH600" s="86">
        <v>20394000</v>
      </c>
      <c r="AI600" s="63" t="s">
        <v>1699</v>
      </c>
      <c r="AJ600" s="63">
        <v>260</v>
      </c>
      <c r="AK600" s="87">
        <f t="shared" si="62"/>
        <v>0</v>
      </c>
      <c r="AL600" s="86">
        <v>20394000</v>
      </c>
      <c r="AM600" s="86">
        <f t="shared" si="63"/>
        <v>0</v>
      </c>
      <c r="AN600" s="63" t="s">
        <v>1155</v>
      </c>
      <c r="AO600" s="86">
        <f t="shared" si="64"/>
        <v>0</v>
      </c>
      <c r="AP600" s="63"/>
      <c r="AQ600" s="63"/>
      <c r="AR600" s="63"/>
      <c r="AS600" s="63"/>
      <c r="AT600" s="63"/>
      <c r="AU600" s="220"/>
      <c r="AV600" s="220"/>
      <c r="AW600" s="220"/>
    </row>
    <row r="601" spans="1:49" s="221" customFormat="1" ht="409.5" x14ac:dyDescent="0.25">
      <c r="A601" s="63">
        <v>187</v>
      </c>
      <c r="B601" s="63" t="str">
        <f t="shared" si="61"/>
        <v>3075-187</v>
      </c>
      <c r="C601" s="76" t="s">
        <v>1141</v>
      </c>
      <c r="D601" s="76" t="s">
        <v>1142</v>
      </c>
      <c r="E601" s="76" t="s">
        <v>1424</v>
      </c>
      <c r="F601" s="76" t="s">
        <v>1158</v>
      </c>
      <c r="G601" s="77" t="s">
        <v>1159</v>
      </c>
      <c r="H601" s="101" t="s">
        <v>1160</v>
      </c>
      <c r="I601" s="76" t="s">
        <v>1147</v>
      </c>
      <c r="J601" s="76" t="s">
        <v>1148</v>
      </c>
      <c r="K601" s="76">
        <v>801116</v>
      </c>
      <c r="L601" s="63" t="s">
        <v>1149</v>
      </c>
      <c r="M601" s="63" t="s">
        <v>58</v>
      </c>
      <c r="N601" s="63" t="s">
        <v>59</v>
      </c>
      <c r="O601" s="76" t="s">
        <v>1213</v>
      </c>
      <c r="P601" s="63" t="s">
        <v>1491</v>
      </c>
      <c r="Q601" s="83">
        <v>3399000</v>
      </c>
      <c r="R601" s="98">
        <v>1</v>
      </c>
      <c r="S601" s="80">
        <v>20394000</v>
      </c>
      <c r="T601" s="63" t="s">
        <v>888</v>
      </c>
      <c r="U601" s="63" t="s">
        <v>1163</v>
      </c>
      <c r="V601" s="81" t="s">
        <v>64</v>
      </c>
      <c r="W601" s="82">
        <v>6</v>
      </c>
      <c r="X601" s="63" t="s">
        <v>1700</v>
      </c>
      <c r="Y601" s="81">
        <v>43104</v>
      </c>
      <c r="Z601" s="83">
        <v>20394000</v>
      </c>
      <c r="AA601" s="84" t="s">
        <v>1698</v>
      </c>
      <c r="AB601" s="85">
        <v>440</v>
      </c>
      <c r="AC601" s="81">
        <v>43111</v>
      </c>
      <c r="AD601" s="86">
        <v>20394000</v>
      </c>
      <c r="AE601" s="86">
        <f t="shared" si="66"/>
        <v>0</v>
      </c>
      <c r="AF601" s="85">
        <v>242</v>
      </c>
      <c r="AG601" s="81">
        <v>43119</v>
      </c>
      <c r="AH601" s="86">
        <v>20394000</v>
      </c>
      <c r="AI601" s="63" t="s">
        <v>1701</v>
      </c>
      <c r="AJ601" s="63">
        <v>219</v>
      </c>
      <c r="AK601" s="87">
        <f t="shared" si="62"/>
        <v>0</v>
      </c>
      <c r="AL601" s="86">
        <v>20394000</v>
      </c>
      <c r="AM601" s="86">
        <f t="shared" si="63"/>
        <v>0</v>
      </c>
      <c r="AN601" s="63" t="s">
        <v>1155</v>
      </c>
      <c r="AO601" s="86">
        <f t="shared" si="64"/>
        <v>0</v>
      </c>
      <c r="AP601" s="63"/>
      <c r="AQ601" s="63"/>
      <c r="AR601" s="63"/>
      <c r="AS601" s="63"/>
      <c r="AT601" s="63"/>
      <c r="AU601" s="220"/>
      <c r="AV601" s="220"/>
      <c r="AW601" s="220"/>
    </row>
    <row r="602" spans="1:49" s="221" customFormat="1" ht="409.5" x14ac:dyDescent="0.25">
      <c r="A602" s="63">
        <v>188</v>
      </c>
      <c r="B602" s="63" t="str">
        <f t="shared" si="61"/>
        <v>3075-188</v>
      </c>
      <c r="C602" s="76" t="s">
        <v>1141</v>
      </c>
      <c r="D602" s="76" t="s">
        <v>1142</v>
      </c>
      <c r="E602" s="76" t="s">
        <v>1424</v>
      </c>
      <c r="F602" s="76" t="s">
        <v>1158</v>
      </c>
      <c r="G602" s="77" t="s">
        <v>1159</v>
      </c>
      <c r="H602" s="101" t="s">
        <v>1160</v>
      </c>
      <c r="I602" s="76" t="s">
        <v>1147</v>
      </c>
      <c r="J602" s="76" t="s">
        <v>1148</v>
      </c>
      <c r="K602" s="76">
        <v>801116</v>
      </c>
      <c r="L602" s="63" t="s">
        <v>1149</v>
      </c>
      <c r="M602" s="63" t="s">
        <v>58</v>
      </c>
      <c r="N602" s="63" t="s">
        <v>59</v>
      </c>
      <c r="O602" s="76" t="s">
        <v>1213</v>
      </c>
      <c r="P602" s="63" t="s">
        <v>1513</v>
      </c>
      <c r="Q602" s="83">
        <v>3553500</v>
      </c>
      <c r="R602" s="98">
        <v>1</v>
      </c>
      <c r="S602" s="80">
        <v>21321000</v>
      </c>
      <c r="T602" s="63" t="s">
        <v>888</v>
      </c>
      <c r="U602" s="63" t="s">
        <v>1163</v>
      </c>
      <c r="V602" s="81" t="s">
        <v>64</v>
      </c>
      <c r="W602" s="82">
        <v>6</v>
      </c>
      <c r="X602" s="63" t="s">
        <v>1702</v>
      </c>
      <c r="Y602" s="81">
        <v>43104</v>
      </c>
      <c r="Z602" s="83">
        <v>21321000</v>
      </c>
      <c r="AA602" s="84" t="s">
        <v>1703</v>
      </c>
      <c r="AB602" s="85">
        <v>461</v>
      </c>
      <c r="AC602" s="81">
        <v>43111</v>
      </c>
      <c r="AD602" s="86">
        <v>21321000</v>
      </c>
      <c r="AE602" s="86">
        <f t="shared" si="66"/>
        <v>0</v>
      </c>
      <c r="AF602" s="85">
        <v>405</v>
      </c>
      <c r="AG602" s="81">
        <v>43124</v>
      </c>
      <c r="AH602" s="86">
        <v>21321000</v>
      </c>
      <c r="AI602" s="63" t="s">
        <v>1704</v>
      </c>
      <c r="AJ602" s="63">
        <v>333</v>
      </c>
      <c r="AK602" s="87">
        <f t="shared" si="62"/>
        <v>0</v>
      </c>
      <c r="AL602" s="86">
        <v>21321000</v>
      </c>
      <c r="AM602" s="86">
        <f t="shared" si="63"/>
        <v>0</v>
      </c>
      <c r="AN602" s="63" t="s">
        <v>1155</v>
      </c>
      <c r="AO602" s="86">
        <f t="shared" si="64"/>
        <v>0</v>
      </c>
      <c r="AP602" s="63"/>
      <c r="AQ602" s="63"/>
      <c r="AR602" s="63"/>
      <c r="AS602" s="63"/>
      <c r="AT602" s="63"/>
      <c r="AU602" s="220"/>
      <c r="AV602" s="220"/>
      <c r="AW602" s="220"/>
    </row>
    <row r="603" spans="1:49" s="221" customFormat="1" ht="409.5" x14ac:dyDescent="0.25">
      <c r="A603" s="63">
        <v>189</v>
      </c>
      <c r="B603" s="63" t="str">
        <f t="shared" si="61"/>
        <v>3075-189</v>
      </c>
      <c r="C603" s="76" t="s">
        <v>1141</v>
      </c>
      <c r="D603" s="76" t="s">
        <v>1142</v>
      </c>
      <c r="E603" s="76" t="s">
        <v>1424</v>
      </c>
      <c r="F603" s="76" t="s">
        <v>1158</v>
      </c>
      <c r="G603" s="77" t="s">
        <v>1159</v>
      </c>
      <c r="H603" s="101" t="s">
        <v>1160</v>
      </c>
      <c r="I603" s="76" t="s">
        <v>1147</v>
      </c>
      <c r="J603" s="76" t="s">
        <v>1148</v>
      </c>
      <c r="K603" s="76">
        <v>801116</v>
      </c>
      <c r="L603" s="63" t="s">
        <v>1149</v>
      </c>
      <c r="M603" s="63" t="s">
        <v>58</v>
      </c>
      <c r="N603" s="63" t="s">
        <v>59</v>
      </c>
      <c r="O603" s="76" t="s">
        <v>1213</v>
      </c>
      <c r="P603" s="63" t="s">
        <v>1705</v>
      </c>
      <c r="Q603" s="83">
        <v>3553500</v>
      </c>
      <c r="R603" s="98">
        <v>1</v>
      </c>
      <c r="S603" s="80">
        <v>21321000</v>
      </c>
      <c r="T603" s="63" t="s">
        <v>888</v>
      </c>
      <c r="U603" s="63" t="s">
        <v>1163</v>
      </c>
      <c r="V603" s="81" t="s">
        <v>64</v>
      </c>
      <c r="W603" s="82">
        <v>6</v>
      </c>
      <c r="X603" s="63" t="s">
        <v>1706</v>
      </c>
      <c r="Y603" s="81">
        <v>43104</v>
      </c>
      <c r="Z603" s="83">
        <v>21321000</v>
      </c>
      <c r="AA603" s="84" t="s">
        <v>1703</v>
      </c>
      <c r="AB603" s="85">
        <v>462</v>
      </c>
      <c r="AC603" s="81">
        <v>43112</v>
      </c>
      <c r="AD603" s="86">
        <v>21321000</v>
      </c>
      <c r="AE603" s="86">
        <f t="shared" si="66"/>
        <v>0</v>
      </c>
      <c r="AF603" s="85">
        <v>505</v>
      </c>
      <c r="AG603" s="81">
        <v>43126</v>
      </c>
      <c r="AH603" s="86">
        <v>21321000</v>
      </c>
      <c r="AI603" s="63" t="s">
        <v>1707</v>
      </c>
      <c r="AJ603" s="63">
        <v>415</v>
      </c>
      <c r="AK603" s="87">
        <f t="shared" si="62"/>
        <v>0</v>
      </c>
      <c r="AL603" s="86">
        <v>21321000</v>
      </c>
      <c r="AM603" s="86">
        <f t="shared" si="63"/>
        <v>0</v>
      </c>
      <c r="AN603" s="63" t="s">
        <v>1155</v>
      </c>
      <c r="AO603" s="86">
        <f t="shared" si="64"/>
        <v>0</v>
      </c>
      <c r="AP603" s="63"/>
      <c r="AQ603" s="63"/>
      <c r="AR603" s="63"/>
      <c r="AS603" s="63"/>
      <c r="AT603" s="63"/>
      <c r="AU603" s="220"/>
      <c r="AV603" s="220"/>
      <c r="AW603" s="220"/>
    </row>
    <row r="604" spans="1:49" s="221" customFormat="1" ht="409.5" x14ac:dyDescent="0.25">
      <c r="A604" s="63">
        <v>190</v>
      </c>
      <c r="B604" s="63" t="str">
        <f t="shared" si="61"/>
        <v>3075-190</v>
      </c>
      <c r="C604" s="76" t="s">
        <v>1141</v>
      </c>
      <c r="D604" s="76" t="s">
        <v>1142</v>
      </c>
      <c r="E604" s="76" t="s">
        <v>1424</v>
      </c>
      <c r="F604" s="76" t="s">
        <v>1158</v>
      </c>
      <c r="G604" s="77" t="s">
        <v>1159</v>
      </c>
      <c r="H604" s="101" t="s">
        <v>1160</v>
      </c>
      <c r="I604" s="76" t="s">
        <v>1147</v>
      </c>
      <c r="J604" s="76" t="s">
        <v>1148</v>
      </c>
      <c r="K604" s="76">
        <v>801116</v>
      </c>
      <c r="L604" s="63" t="s">
        <v>1149</v>
      </c>
      <c r="M604" s="63" t="s">
        <v>58</v>
      </c>
      <c r="N604" s="63" t="s">
        <v>59</v>
      </c>
      <c r="O604" s="76" t="s">
        <v>1213</v>
      </c>
      <c r="P604" s="63" t="s">
        <v>1516</v>
      </c>
      <c r="Q604" s="83">
        <v>5253000</v>
      </c>
      <c r="R604" s="98">
        <v>1</v>
      </c>
      <c r="S604" s="80">
        <v>31518000</v>
      </c>
      <c r="T604" s="63" t="s">
        <v>888</v>
      </c>
      <c r="U604" s="63" t="s">
        <v>1163</v>
      </c>
      <c r="V604" s="81" t="s">
        <v>64</v>
      </c>
      <c r="W604" s="82">
        <v>6</v>
      </c>
      <c r="X604" s="63" t="s">
        <v>1708</v>
      </c>
      <c r="Y604" s="81">
        <v>43104</v>
      </c>
      <c r="Z604" s="83">
        <v>31518000</v>
      </c>
      <c r="AA604" s="84" t="s">
        <v>1692</v>
      </c>
      <c r="AB604" s="85">
        <v>491</v>
      </c>
      <c r="AC604" s="81">
        <v>43116</v>
      </c>
      <c r="AD604" s="86">
        <v>31518000</v>
      </c>
      <c r="AE604" s="86">
        <f t="shared" si="66"/>
        <v>0</v>
      </c>
      <c r="AF604" s="85">
        <v>265</v>
      </c>
      <c r="AG604" s="81">
        <v>43119</v>
      </c>
      <c r="AH604" s="86">
        <v>31518000</v>
      </c>
      <c r="AI604" s="63" t="s">
        <v>1709</v>
      </c>
      <c r="AJ604" s="63">
        <v>235</v>
      </c>
      <c r="AK604" s="87">
        <f t="shared" si="62"/>
        <v>0</v>
      </c>
      <c r="AL604" s="86">
        <v>31518000</v>
      </c>
      <c r="AM604" s="86">
        <f t="shared" si="63"/>
        <v>0</v>
      </c>
      <c r="AN604" s="63" t="s">
        <v>1155</v>
      </c>
      <c r="AO604" s="86">
        <f t="shared" si="64"/>
        <v>0</v>
      </c>
      <c r="AP604" s="63"/>
      <c r="AQ604" s="63"/>
      <c r="AR604" s="63"/>
      <c r="AS604" s="63"/>
      <c r="AT604" s="63"/>
      <c r="AU604" s="220"/>
      <c r="AV604" s="220"/>
      <c r="AW604" s="220"/>
    </row>
    <row r="605" spans="1:49" s="221" customFormat="1" ht="409.5" x14ac:dyDescent="0.25">
      <c r="A605" s="63">
        <v>191</v>
      </c>
      <c r="B605" s="63" t="str">
        <f t="shared" si="61"/>
        <v>3075-191</v>
      </c>
      <c r="C605" s="76" t="s">
        <v>1141</v>
      </c>
      <c r="D605" s="76" t="s">
        <v>1142</v>
      </c>
      <c r="E605" s="76" t="s">
        <v>1424</v>
      </c>
      <c r="F605" s="76" t="s">
        <v>1158</v>
      </c>
      <c r="G605" s="77" t="s">
        <v>1159</v>
      </c>
      <c r="H605" s="101" t="s">
        <v>1160</v>
      </c>
      <c r="I605" s="76" t="s">
        <v>1147</v>
      </c>
      <c r="J605" s="76" t="s">
        <v>1148</v>
      </c>
      <c r="K605" s="76">
        <v>801116</v>
      </c>
      <c r="L605" s="63" t="s">
        <v>1149</v>
      </c>
      <c r="M605" s="63" t="s">
        <v>58</v>
      </c>
      <c r="N605" s="63" t="s">
        <v>59</v>
      </c>
      <c r="O605" s="76" t="s">
        <v>1213</v>
      </c>
      <c r="P605" s="63" t="s">
        <v>1513</v>
      </c>
      <c r="Q605" s="83">
        <v>3553500</v>
      </c>
      <c r="R605" s="98">
        <v>1</v>
      </c>
      <c r="S605" s="80">
        <v>21321000</v>
      </c>
      <c r="T605" s="63" t="s">
        <v>888</v>
      </c>
      <c r="U605" s="63" t="s">
        <v>1163</v>
      </c>
      <c r="V605" s="81" t="s">
        <v>64</v>
      </c>
      <c r="W605" s="82">
        <v>6</v>
      </c>
      <c r="X605" s="63" t="s">
        <v>1710</v>
      </c>
      <c r="Y605" s="81">
        <v>43104</v>
      </c>
      <c r="Z605" s="83">
        <v>21321000</v>
      </c>
      <c r="AA605" s="84" t="s">
        <v>1703</v>
      </c>
      <c r="AB605" s="85">
        <v>414</v>
      </c>
      <c r="AC605" s="81">
        <v>43111</v>
      </c>
      <c r="AD605" s="86">
        <v>21321000</v>
      </c>
      <c r="AE605" s="86">
        <f t="shared" si="66"/>
        <v>0</v>
      </c>
      <c r="AF605" s="85">
        <v>340</v>
      </c>
      <c r="AG605" s="81">
        <v>43123</v>
      </c>
      <c r="AH605" s="86">
        <v>21321000</v>
      </c>
      <c r="AI605" s="63" t="s">
        <v>1711</v>
      </c>
      <c r="AJ605" s="63">
        <v>345</v>
      </c>
      <c r="AK605" s="87">
        <f t="shared" si="62"/>
        <v>0</v>
      </c>
      <c r="AL605" s="86">
        <v>21321000</v>
      </c>
      <c r="AM605" s="86">
        <f t="shared" si="63"/>
        <v>0</v>
      </c>
      <c r="AN605" s="63" t="s">
        <v>1155</v>
      </c>
      <c r="AO605" s="86">
        <f t="shared" si="64"/>
        <v>0</v>
      </c>
      <c r="AP605" s="63"/>
      <c r="AQ605" s="63"/>
      <c r="AR605" s="63"/>
      <c r="AS605" s="63"/>
      <c r="AT605" s="63"/>
      <c r="AU605" s="220"/>
      <c r="AV605" s="220"/>
      <c r="AW605" s="220"/>
    </row>
    <row r="606" spans="1:49" s="221" customFormat="1" ht="409.5" x14ac:dyDescent="0.25">
      <c r="A606" s="63">
        <v>192</v>
      </c>
      <c r="B606" s="63" t="str">
        <f t="shared" si="61"/>
        <v>3075-192</v>
      </c>
      <c r="C606" s="76" t="s">
        <v>1141</v>
      </c>
      <c r="D606" s="76" t="s">
        <v>1142</v>
      </c>
      <c r="E606" s="76" t="s">
        <v>1424</v>
      </c>
      <c r="F606" s="76" t="s">
        <v>1158</v>
      </c>
      <c r="G606" s="77" t="s">
        <v>1159</v>
      </c>
      <c r="H606" s="101" t="s">
        <v>1160</v>
      </c>
      <c r="I606" s="76" t="s">
        <v>1147</v>
      </c>
      <c r="J606" s="76" t="s">
        <v>1148</v>
      </c>
      <c r="K606" s="76">
        <v>801116</v>
      </c>
      <c r="L606" s="63" t="s">
        <v>1149</v>
      </c>
      <c r="M606" s="63" t="s">
        <v>58</v>
      </c>
      <c r="N606" s="63" t="s">
        <v>59</v>
      </c>
      <c r="O606" s="76" t="s">
        <v>1213</v>
      </c>
      <c r="P606" s="63" t="s">
        <v>1674</v>
      </c>
      <c r="Q606" s="83">
        <v>3553500</v>
      </c>
      <c r="R606" s="98">
        <v>1</v>
      </c>
      <c r="S606" s="80">
        <v>21321000</v>
      </c>
      <c r="T606" s="63" t="s">
        <v>888</v>
      </c>
      <c r="U606" s="63" t="s">
        <v>1163</v>
      </c>
      <c r="V606" s="81" t="s">
        <v>64</v>
      </c>
      <c r="W606" s="82">
        <v>6</v>
      </c>
      <c r="X606" s="63" t="s">
        <v>1712</v>
      </c>
      <c r="Y606" s="81">
        <v>43104</v>
      </c>
      <c r="Z606" s="83">
        <v>21321000</v>
      </c>
      <c r="AA606" s="84" t="s">
        <v>1713</v>
      </c>
      <c r="AB606" s="85">
        <v>415</v>
      </c>
      <c r="AC606" s="81">
        <v>43111</v>
      </c>
      <c r="AD606" s="86">
        <v>21321000</v>
      </c>
      <c r="AE606" s="86">
        <f t="shared" si="66"/>
        <v>0</v>
      </c>
      <c r="AF606" s="85">
        <v>337</v>
      </c>
      <c r="AG606" s="81">
        <v>43123</v>
      </c>
      <c r="AH606" s="86">
        <v>21321000</v>
      </c>
      <c r="AI606" s="63" t="s">
        <v>1714</v>
      </c>
      <c r="AJ606" s="63">
        <v>342</v>
      </c>
      <c r="AK606" s="87">
        <f t="shared" si="62"/>
        <v>0</v>
      </c>
      <c r="AL606" s="86">
        <v>21321000</v>
      </c>
      <c r="AM606" s="86">
        <f t="shared" si="63"/>
        <v>0</v>
      </c>
      <c r="AN606" s="63" t="s">
        <v>1155</v>
      </c>
      <c r="AO606" s="86">
        <f t="shared" si="64"/>
        <v>0</v>
      </c>
      <c r="AP606" s="63"/>
      <c r="AQ606" s="63"/>
      <c r="AR606" s="63"/>
      <c r="AS606" s="63"/>
      <c r="AT606" s="63"/>
      <c r="AU606" s="220"/>
      <c r="AV606" s="220"/>
      <c r="AW606" s="220"/>
    </row>
    <row r="607" spans="1:49" s="221" customFormat="1" ht="409.5" x14ac:dyDescent="0.25">
      <c r="A607" s="63">
        <v>193</v>
      </c>
      <c r="B607" s="63" t="str">
        <f t="shared" ref="B607:B670" si="67">CONCATENATE("3075","-",A607)</f>
        <v>3075-193</v>
      </c>
      <c r="C607" s="76" t="s">
        <v>1141</v>
      </c>
      <c r="D607" s="76" t="s">
        <v>1142</v>
      </c>
      <c r="E607" s="76" t="s">
        <v>1424</v>
      </c>
      <c r="F607" s="76" t="s">
        <v>1158</v>
      </c>
      <c r="G607" s="77" t="s">
        <v>1159</v>
      </c>
      <c r="H607" s="101" t="s">
        <v>1160</v>
      </c>
      <c r="I607" s="76" t="s">
        <v>1147</v>
      </c>
      <c r="J607" s="76" t="s">
        <v>1148</v>
      </c>
      <c r="K607" s="76">
        <v>801116</v>
      </c>
      <c r="L607" s="63" t="s">
        <v>1149</v>
      </c>
      <c r="M607" s="63" t="s">
        <v>58</v>
      </c>
      <c r="N607" s="63" t="s">
        <v>59</v>
      </c>
      <c r="O607" s="76" t="s">
        <v>1213</v>
      </c>
      <c r="P607" s="63" t="s">
        <v>1443</v>
      </c>
      <c r="Q607" s="83">
        <v>5253000</v>
      </c>
      <c r="R607" s="98">
        <v>1</v>
      </c>
      <c r="S607" s="80">
        <v>31518000</v>
      </c>
      <c r="T607" s="63" t="s">
        <v>888</v>
      </c>
      <c r="U607" s="63" t="s">
        <v>1163</v>
      </c>
      <c r="V607" s="81" t="s">
        <v>64</v>
      </c>
      <c r="W607" s="82">
        <v>6</v>
      </c>
      <c r="X607" s="63" t="s">
        <v>1715</v>
      </c>
      <c r="Y607" s="81">
        <v>43104</v>
      </c>
      <c r="Z607" s="83">
        <v>31518000</v>
      </c>
      <c r="AA607" s="84" t="s">
        <v>1716</v>
      </c>
      <c r="AB607" s="85">
        <v>416</v>
      </c>
      <c r="AC607" s="81">
        <v>43111</v>
      </c>
      <c r="AD607" s="86">
        <v>31518000</v>
      </c>
      <c r="AE607" s="86">
        <f t="shared" si="66"/>
        <v>0</v>
      </c>
      <c r="AF607" s="85">
        <v>408</v>
      </c>
      <c r="AG607" s="81">
        <v>43124</v>
      </c>
      <c r="AH607" s="86">
        <v>31518000</v>
      </c>
      <c r="AI607" s="63" t="s">
        <v>1717</v>
      </c>
      <c r="AJ607" s="63">
        <v>357</v>
      </c>
      <c r="AK607" s="87">
        <f t="shared" ref="AK607:AK670" si="68">AD607-AH607</f>
        <v>0</v>
      </c>
      <c r="AL607" s="86">
        <v>31518000</v>
      </c>
      <c r="AM607" s="86">
        <f t="shared" ref="AM607:AM670" si="69">AH607-AL607</f>
        <v>0</v>
      </c>
      <c r="AN607" s="63" t="s">
        <v>1155</v>
      </c>
      <c r="AO607" s="86">
        <f t="shared" ref="AO607:AO670" si="70">S607-AH607</f>
        <v>0</v>
      </c>
      <c r="AP607" s="63"/>
      <c r="AQ607" s="63"/>
      <c r="AR607" s="63"/>
      <c r="AS607" s="63"/>
      <c r="AT607" s="63"/>
      <c r="AU607" s="220"/>
      <c r="AV607" s="220"/>
      <c r="AW607" s="220"/>
    </row>
    <row r="608" spans="1:49" s="221" customFormat="1" ht="409.5" x14ac:dyDescent="0.25">
      <c r="A608" s="63">
        <v>194</v>
      </c>
      <c r="B608" s="63" t="str">
        <f t="shared" si="67"/>
        <v>3075-194</v>
      </c>
      <c r="C608" s="76" t="s">
        <v>1141</v>
      </c>
      <c r="D608" s="76" t="s">
        <v>1142</v>
      </c>
      <c r="E608" s="76" t="s">
        <v>1424</v>
      </c>
      <c r="F608" s="76" t="s">
        <v>1158</v>
      </c>
      <c r="G608" s="77" t="s">
        <v>1159</v>
      </c>
      <c r="H608" s="101" t="s">
        <v>1160</v>
      </c>
      <c r="I608" s="76" t="s">
        <v>1147</v>
      </c>
      <c r="J608" s="76" t="s">
        <v>1148</v>
      </c>
      <c r="K608" s="76">
        <v>801116</v>
      </c>
      <c r="L608" s="63" t="s">
        <v>1149</v>
      </c>
      <c r="M608" s="63" t="s">
        <v>58</v>
      </c>
      <c r="N608" s="63" t="s">
        <v>59</v>
      </c>
      <c r="O608" s="76" t="s">
        <v>1213</v>
      </c>
      <c r="P608" s="63" t="s">
        <v>1516</v>
      </c>
      <c r="Q608" s="83">
        <v>5253000</v>
      </c>
      <c r="R608" s="98">
        <v>1</v>
      </c>
      <c r="S608" s="80">
        <v>31518000</v>
      </c>
      <c r="T608" s="63" t="s">
        <v>888</v>
      </c>
      <c r="U608" s="63" t="s">
        <v>1163</v>
      </c>
      <c r="V608" s="81" t="s">
        <v>64</v>
      </c>
      <c r="W608" s="82">
        <v>6.444444444444442</v>
      </c>
      <c r="X608" s="63" t="s">
        <v>1718</v>
      </c>
      <c r="Y608" s="81">
        <v>43104</v>
      </c>
      <c r="Z608" s="83">
        <v>31518000</v>
      </c>
      <c r="AA608" s="84" t="s">
        <v>1692</v>
      </c>
      <c r="AB608" s="85">
        <v>418</v>
      </c>
      <c r="AC608" s="81">
        <v>43111</v>
      </c>
      <c r="AD608" s="86">
        <v>31518000</v>
      </c>
      <c r="AE608" s="86">
        <f t="shared" si="66"/>
        <v>0</v>
      </c>
      <c r="AF608" s="85">
        <v>501</v>
      </c>
      <c r="AG608" s="81">
        <v>43126</v>
      </c>
      <c r="AH608" s="86">
        <v>31518000</v>
      </c>
      <c r="AI608" s="63" t="s">
        <v>1719</v>
      </c>
      <c r="AJ608" s="63">
        <v>411</v>
      </c>
      <c r="AK608" s="87">
        <f t="shared" si="68"/>
        <v>0</v>
      </c>
      <c r="AL608" s="86">
        <v>26615200</v>
      </c>
      <c r="AM608" s="86">
        <f t="shared" si="69"/>
        <v>4902800</v>
      </c>
      <c r="AN608" s="63" t="s">
        <v>1155</v>
      </c>
      <c r="AO608" s="86">
        <f t="shared" si="70"/>
        <v>0</v>
      </c>
      <c r="AP608" s="63"/>
      <c r="AQ608" s="63"/>
      <c r="AR608" s="63"/>
      <c r="AS608" s="63"/>
      <c r="AT608" s="63"/>
      <c r="AU608" s="220"/>
      <c r="AV608" s="220"/>
      <c r="AW608" s="220"/>
    </row>
    <row r="609" spans="1:49" s="221" customFormat="1" ht="409.5" x14ac:dyDescent="0.25">
      <c r="A609" s="63">
        <v>195</v>
      </c>
      <c r="B609" s="63" t="str">
        <f t="shared" si="67"/>
        <v>3075-195</v>
      </c>
      <c r="C609" s="76" t="s">
        <v>1141</v>
      </c>
      <c r="D609" s="76" t="s">
        <v>1142</v>
      </c>
      <c r="E609" s="76" t="s">
        <v>1424</v>
      </c>
      <c r="F609" s="76" t="s">
        <v>1158</v>
      </c>
      <c r="G609" s="77" t="s">
        <v>1159</v>
      </c>
      <c r="H609" s="101" t="s">
        <v>1160</v>
      </c>
      <c r="I609" s="76" t="s">
        <v>1147</v>
      </c>
      <c r="J609" s="76" t="s">
        <v>1148</v>
      </c>
      <c r="K609" s="76">
        <v>801116</v>
      </c>
      <c r="L609" s="63" t="s">
        <v>1149</v>
      </c>
      <c r="M609" s="63" t="s">
        <v>58</v>
      </c>
      <c r="N609" s="63" t="s">
        <v>59</v>
      </c>
      <c r="O609" s="76" t="s">
        <v>1213</v>
      </c>
      <c r="P609" s="63" t="s">
        <v>1472</v>
      </c>
      <c r="Q609" s="83">
        <v>1751000</v>
      </c>
      <c r="R609" s="98">
        <v>1</v>
      </c>
      <c r="S609" s="80">
        <v>10506000</v>
      </c>
      <c r="T609" s="63" t="s">
        <v>928</v>
      </c>
      <c r="U609" s="63" t="s">
        <v>1163</v>
      </c>
      <c r="V609" s="81" t="s">
        <v>64</v>
      </c>
      <c r="W609" s="82">
        <v>6</v>
      </c>
      <c r="X609" s="63" t="s">
        <v>1720</v>
      </c>
      <c r="Y609" s="81">
        <v>43104</v>
      </c>
      <c r="Z609" s="83">
        <v>10506000</v>
      </c>
      <c r="AA609" s="84" t="s">
        <v>1680</v>
      </c>
      <c r="AB609" s="85">
        <v>419</v>
      </c>
      <c r="AC609" s="81">
        <v>43111</v>
      </c>
      <c r="AD609" s="86">
        <v>10506000</v>
      </c>
      <c r="AE609" s="86">
        <f t="shared" si="66"/>
        <v>0</v>
      </c>
      <c r="AF609" s="85">
        <v>407</v>
      </c>
      <c r="AG609" s="81">
        <v>43124</v>
      </c>
      <c r="AH609" s="86">
        <v>10506000</v>
      </c>
      <c r="AI609" s="63" t="s">
        <v>1721</v>
      </c>
      <c r="AJ609" s="63">
        <v>356</v>
      </c>
      <c r="AK609" s="87">
        <f t="shared" si="68"/>
        <v>0</v>
      </c>
      <c r="AL609" s="86">
        <v>10506000</v>
      </c>
      <c r="AM609" s="86">
        <f t="shared" si="69"/>
        <v>0</v>
      </c>
      <c r="AN609" s="63" t="s">
        <v>1155</v>
      </c>
      <c r="AO609" s="86">
        <f t="shared" si="70"/>
        <v>0</v>
      </c>
      <c r="AP609" s="63"/>
      <c r="AQ609" s="63"/>
      <c r="AR609" s="63"/>
      <c r="AS609" s="63"/>
      <c r="AT609" s="63"/>
      <c r="AU609" s="220"/>
      <c r="AV609" s="220"/>
      <c r="AW609" s="220"/>
    </row>
    <row r="610" spans="1:49" s="221" customFormat="1" ht="409.5" x14ac:dyDescent="0.25">
      <c r="A610" s="63">
        <v>196</v>
      </c>
      <c r="B610" s="63" t="str">
        <f t="shared" si="67"/>
        <v>3075-196</v>
      </c>
      <c r="C610" s="76" t="s">
        <v>1141</v>
      </c>
      <c r="D610" s="76" t="s">
        <v>1142</v>
      </c>
      <c r="E610" s="76" t="s">
        <v>1424</v>
      </c>
      <c r="F610" s="76" t="s">
        <v>1158</v>
      </c>
      <c r="G610" s="77" t="s">
        <v>1159</v>
      </c>
      <c r="H610" s="101" t="s">
        <v>1160</v>
      </c>
      <c r="I610" s="76" t="s">
        <v>1147</v>
      </c>
      <c r="J610" s="76" t="s">
        <v>1148</v>
      </c>
      <c r="K610" s="76">
        <v>801116</v>
      </c>
      <c r="L610" s="63" t="s">
        <v>1149</v>
      </c>
      <c r="M610" s="63" t="s">
        <v>58</v>
      </c>
      <c r="N610" s="63" t="s">
        <v>59</v>
      </c>
      <c r="O610" s="76" t="s">
        <v>1213</v>
      </c>
      <c r="P610" s="63" t="s">
        <v>1516</v>
      </c>
      <c r="Q610" s="83">
        <v>4120000</v>
      </c>
      <c r="R610" s="98">
        <v>1</v>
      </c>
      <c r="S610" s="80">
        <v>24720000</v>
      </c>
      <c r="T610" s="63" t="s">
        <v>888</v>
      </c>
      <c r="U610" s="63" t="s">
        <v>1163</v>
      </c>
      <c r="V610" s="81" t="s">
        <v>64</v>
      </c>
      <c r="W610" s="82">
        <v>6</v>
      </c>
      <c r="X610" s="63" t="s">
        <v>1722</v>
      </c>
      <c r="Y610" s="81">
        <v>43104</v>
      </c>
      <c r="Z610" s="83">
        <v>24720000</v>
      </c>
      <c r="AA610" s="84" t="s">
        <v>1723</v>
      </c>
      <c r="AB610" s="85">
        <v>420</v>
      </c>
      <c r="AC610" s="81">
        <v>43111</v>
      </c>
      <c r="AD610" s="86">
        <v>24720000</v>
      </c>
      <c r="AE610" s="86">
        <f t="shared" si="66"/>
        <v>0</v>
      </c>
      <c r="AF610" s="85">
        <v>320</v>
      </c>
      <c r="AG610" s="81">
        <v>43123</v>
      </c>
      <c r="AH610" s="86">
        <v>24720000</v>
      </c>
      <c r="AI610" s="63" t="s">
        <v>1724</v>
      </c>
      <c r="AJ610" s="63">
        <v>272</v>
      </c>
      <c r="AK610" s="87">
        <f t="shared" si="68"/>
        <v>0</v>
      </c>
      <c r="AL610" s="86">
        <v>24720000</v>
      </c>
      <c r="AM610" s="86">
        <f t="shared" si="69"/>
        <v>0</v>
      </c>
      <c r="AN610" s="63" t="s">
        <v>1155</v>
      </c>
      <c r="AO610" s="86">
        <f t="shared" si="70"/>
        <v>0</v>
      </c>
      <c r="AP610" s="63"/>
      <c r="AQ610" s="63"/>
      <c r="AR610" s="63"/>
      <c r="AS610" s="63"/>
      <c r="AT610" s="63"/>
      <c r="AU610" s="220"/>
      <c r="AV610" s="220"/>
      <c r="AW610" s="220"/>
    </row>
    <row r="611" spans="1:49" s="221" customFormat="1" ht="409.5" x14ac:dyDescent="0.25">
      <c r="A611" s="63">
        <v>197</v>
      </c>
      <c r="B611" s="63" t="str">
        <f t="shared" si="67"/>
        <v>3075-197</v>
      </c>
      <c r="C611" s="76" t="s">
        <v>1141</v>
      </c>
      <c r="D611" s="76" t="s">
        <v>1142</v>
      </c>
      <c r="E611" s="76" t="s">
        <v>1424</v>
      </c>
      <c r="F611" s="76" t="s">
        <v>1158</v>
      </c>
      <c r="G611" s="77" t="s">
        <v>1159</v>
      </c>
      <c r="H611" s="101" t="s">
        <v>1160</v>
      </c>
      <c r="I611" s="76" t="s">
        <v>1147</v>
      </c>
      <c r="J611" s="76" t="s">
        <v>1148</v>
      </c>
      <c r="K611" s="76">
        <v>801116</v>
      </c>
      <c r="L611" s="63" t="s">
        <v>1149</v>
      </c>
      <c r="M611" s="63" t="s">
        <v>58</v>
      </c>
      <c r="N611" s="63" t="s">
        <v>59</v>
      </c>
      <c r="O611" s="76" t="s">
        <v>1213</v>
      </c>
      <c r="P611" s="63" t="s">
        <v>1513</v>
      </c>
      <c r="Q611" s="83">
        <v>5036700</v>
      </c>
      <c r="R611" s="98">
        <v>1</v>
      </c>
      <c r="S611" s="80">
        <v>30220200</v>
      </c>
      <c r="T611" s="63" t="s">
        <v>888</v>
      </c>
      <c r="U611" s="63" t="s">
        <v>1163</v>
      </c>
      <c r="V611" s="81" t="s">
        <v>64</v>
      </c>
      <c r="W611" s="82">
        <v>6</v>
      </c>
      <c r="X611" s="63" t="s">
        <v>1725</v>
      </c>
      <c r="Y611" s="81">
        <v>43104</v>
      </c>
      <c r="Z611" s="83">
        <v>30220200</v>
      </c>
      <c r="AA611" s="84" t="s">
        <v>1726</v>
      </c>
      <c r="AB611" s="85">
        <v>421</v>
      </c>
      <c r="AC611" s="81">
        <v>43111</v>
      </c>
      <c r="AD611" s="86">
        <v>30220200</v>
      </c>
      <c r="AE611" s="86">
        <f t="shared" si="66"/>
        <v>0</v>
      </c>
      <c r="AF611" s="85">
        <v>269</v>
      </c>
      <c r="AG611" s="81">
        <v>43119</v>
      </c>
      <c r="AH611" s="86">
        <v>30220200</v>
      </c>
      <c r="AI611" s="63" t="s">
        <v>1490</v>
      </c>
      <c r="AJ611" s="63">
        <v>239</v>
      </c>
      <c r="AK611" s="87">
        <f t="shared" si="68"/>
        <v>0</v>
      </c>
      <c r="AL611" s="86">
        <v>30220200</v>
      </c>
      <c r="AM611" s="86">
        <f t="shared" si="69"/>
        <v>0</v>
      </c>
      <c r="AN611" s="63" t="s">
        <v>1155</v>
      </c>
      <c r="AO611" s="86">
        <f t="shared" si="70"/>
        <v>0</v>
      </c>
      <c r="AP611" s="63"/>
      <c r="AQ611" s="63"/>
      <c r="AR611" s="63"/>
      <c r="AS611" s="63"/>
      <c r="AT611" s="63"/>
      <c r="AU611" s="220"/>
      <c r="AV611" s="220"/>
      <c r="AW611" s="220"/>
    </row>
    <row r="612" spans="1:49" s="221" customFormat="1" ht="409.5" x14ac:dyDescent="0.25">
      <c r="A612" s="63">
        <v>198</v>
      </c>
      <c r="B612" s="63" t="str">
        <f t="shared" si="67"/>
        <v>3075-198</v>
      </c>
      <c r="C612" s="76" t="s">
        <v>1141</v>
      </c>
      <c r="D612" s="76" t="s">
        <v>1142</v>
      </c>
      <c r="E612" s="76" t="s">
        <v>1424</v>
      </c>
      <c r="F612" s="76" t="s">
        <v>1158</v>
      </c>
      <c r="G612" s="77" t="s">
        <v>1159</v>
      </c>
      <c r="H612" s="101" t="s">
        <v>1160</v>
      </c>
      <c r="I612" s="76" t="s">
        <v>1147</v>
      </c>
      <c r="J612" s="76" t="s">
        <v>1148</v>
      </c>
      <c r="K612" s="76">
        <v>801116</v>
      </c>
      <c r="L612" s="63" t="s">
        <v>1149</v>
      </c>
      <c r="M612" s="63" t="s">
        <v>58</v>
      </c>
      <c r="N612" s="63" t="s">
        <v>59</v>
      </c>
      <c r="O612" s="76" t="s">
        <v>1213</v>
      </c>
      <c r="P612" s="63" t="s">
        <v>1513</v>
      </c>
      <c r="Q612" s="83">
        <v>4120000</v>
      </c>
      <c r="R612" s="98">
        <v>1</v>
      </c>
      <c r="S612" s="80">
        <v>24720000</v>
      </c>
      <c r="T612" s="63" t="s">
        <v>888</v>
      </c>
      <c r="U612" s="63" t="s">
        <v>1163</v>
      </c>
      <c r="V612" s="81" t="s">
        <v>64</v>
      </c>
      <c r="W612" s="82">
        <v>6</v>
      </c>
      <c r="X612" s="63" t="s">
        <v>1727</v>
      </c>
      <c r="Y612" s="81">
        <v>43104</v>
      </c>
      <c r="Z612" s="83">
        <v>24720000</v>
      </c>
      <c r="AA612" s="84" t="s">
        <v>1669</v>
      </c>
      <c r="AB612" s="85">
        <v>422</v>
      </c>
      <c r="AC612" s="81">
        <v>43111</v>
      </c>
      <c r="AD612" s="86">
        <v>24720000</v>
      </c>
      <c r="AE612" s="86">
        <f t="shared" si="66"/>
        <v>0</v>
      </c>
      <c r="AF612" s="85">
        <v>381</v>
      </c>
      <c r="AG612" s="81">
        <v>43124</v>
      </c>
      <c r="AH612" s="86">
        <v>24720000</v>
      </c>
      <c r="AI612" s="63" t="s">
        <v>1728</v>
      </c>
      <c r="AJ612" s="63">
        <v>359</v>
      </c>
      <c r="AK612" s="87">
        <f t="shared" si="68"/>
        <v>0</v>
      </c>
      <c r="AL612" s="86">
        <v>24720000</v>
      </c>
      <c r="AM612" s="86">
        <f t="shared" si="69"/>
        <v>0</v>
      </c>
      <c r="AN612" s="63" t="s">
        <v>1155</v>
      </c>
      <c r="AO612" s="86">
        <f t="shared" si="70"/>
        <v>0</v>
      </c>
      <c r="AP612" s="63"/>
      <c r="AQ612" s="63"/>
      <c r="AR612" s="63"/>
      <c r="AS612" s="63"/>
      <c r="AT612" s="63"/>
      <c r="AU612" s="220"/>
      <c r="AV612" s="220"/>
      <c r="AW612" s="220"/>
    </row>
    <row r="613" spans="1:49" s="221" customFormat="1" ht="409.5" x14ac:dyDescent="0.25">
      <c r="A613" s="63">
        <v>199</v>
      </c>
      <c r="B613" s="63" t="str">
        <f t="shared" si="67"/>
        <v>3075-199</v>
      </c>
      <c r="C613" s="76" t="s">
        <v>1141</v>
      </c>
      <c r="D613" s="76" t="s">
        <v>1142</v>
      </c>
      <c r="E613" s="76" t="s">
        <v>1424</v>
      </c>
      <c r="F613" s="76" t="s">
        <v>1158</v>
      </c>
      <c r="G613" s="77" t="s">
        <v>1159</v>
      </c>
      <c r="H613" s="101" t="s">
        <v>1160</v>
      </c>
      <c r="I613" s="76" t="s">
        <v>1147</v>
      </c>
      <c r="J613" s="76" t="s">
        <v>1148</v>
      </c>
      <c r="K613" s="76">
        <v>801116</v>
      </c>
      <c r="L613" s="63" t="s">
        <v>1149</v>
      </c>
      <c r="M613" s="63" t="s">
        <v>58</v>
      </c>
      <c r="N613" s="63" t="s">
        <v>59</v>
      </c>
      <c r="O613" s="76" t="s">
        <v>1213</v>
      </c>
      <c r="P613" s="63" t="s">
        <v>1458</v>
      </c>
      <c r="Q613" s="83">
        <v>5665000</v>
      </c>
      <c r="R613" s="98">
        <v>1</v>
      </c>
      <c r="S613" s="80">
        <v>33990000</v>
      </c>
      <c r="T613" s="63" t="s">
        <v>888</v>
      </c>
      <c r="U613" s="63" t="s">
        <v>1163</v>
      </c>
      <c r="V613" s="81" t="s">
        <v>64</v>
      </c>
      <c r="W613" s="82">
        <v>6</v>
      </c>
      <c r="X613" s="63" t="s">
        <v>1729</v>
      </c>
      <c r="Y613" s="81">
        <v>43104</v>
      </c>
      <c r="Z613" s="83">
        <v>33990000</v>
      </c>
      <c r="AA613" s="84" t="s">
        <v>1689</v>
      </c>
      <c r="AB613" s="85">
        <v>423</v>
      </c>
      <c r="AC613" s="81">
        <v>43111</v>
      </c>
      <c r="AD613" s="86">
        <v>33990000</v>
      </c>
      <c r="AE613" s="86">
        <f t="shared" si="66"/>
        <v>0</v>
      </c>
      <c r="AF613" s="85">
        <v>428</v>
      </c>
      <c r="AG613" s="81">
        <v>43124</v>
      </c>
      <c r="AH613" s="86">
        <v>33990000</v>
      </c>
      <c r="AI613" s="63" t="s">
        <v>1730</v>
      </c>
      <c r="AJ613" s="63">
        <v>363</v>
      </c>
      <c r="AK613" s="87">
        <f t="shared" si="68"/>
        <v>0</v>
      </c>
      <c r="AL613" s="86">
        <v>33990000</v>
      </c>
      <c r="AM613" s="86">
        <f t="shared" si="69"/>
        <v>0</v>
      </c>
      <c r="AN613" s="63" t="s">
        <v>1155</v>
      </c>
      <c r="AO613" s="86">
        <f t="shared" si="70"/>
        <v>0</v>
      </c>
      <c r="AP613" s="63"/>
      <c r="AQ613" s="63"/>
      <c r="AR613" s="63"/>
      <c r="AS613" s="63"/>
      <c r="AT613" s="63"/>
      <c r="AU613" s="220"/>
      <c r="AV613" s="220"/>
      <c r="AW613" s="220"/>
    </row>
    <row r="614" spans="1:49" s="221" customFormat="1" ht="409.5" x14ac:dyDescent="0.25">
      <c r="A614" s="63">
        <v>200</v>
      </c>
      <c r="B614" s="63" t="str">
        <f t="shared" si="67"/>
        <v>3075-200</v>
      </c>
      <c r="C614" s="76" t="s">
        <v>1141</v>
      </c>
      <c r="D614" s="76" t="s">
        <v>1142</v>
      </c>
      <c r="E614" s="76" t="s">
        <v>1424</v>
      </c>
      <c r="F614" s="76" t="s">
        <v>1158</v>
      </c>
      <c r="G614" s="77" t="s">
        <v>1159</v>
      </c>
      <c r="H614" s="101" t="s">
        <v>1160</v>
      </c>
      <c r="I614" s="76" t="s">
        <v>1147</v>
      </c>
      <c r="J614" s="76" t="s">
        <v>1148</v>
      </c>
      <c r="K614" s="76">
        <v>801116</v>
      </c>
      <c r="L614" s="63" t="s">
        <v>1149</v>
      </c>
      <c r="M614" s="63" t="s">
        <v>58</v>
      </c>
      <c r="N614" s="63" t="s">
        <v>59</v>
      </c>
      <c r="O614" s="76" t="s">
        <v>1213</v>
      </c>
      <c r="P614" s="63" t="s">
        <v>1458</v>
      </c>
      <c r="Q614" s="83">
        <v>7210000</v>
      </c>
      <c r="R614" s="98">
        <v>1</v>
      </c>
      <c r="S614" s="80">
        <v>43260000</v>
      </c>
      <c r="T614" s="63" t="s">
        <v>888</v>
      </c>
      <c r="U614" s="63" t="s">
        <v>1163</v>
      </c>
      <c r="V614" s="81" t="s">
        <v>64</v>
      </c>
      <c r="W614" s="82">
        <v>6</v>
      </c>
      <c r="X614" s="63" t="s">
        <v>1731</v>
      </c>
      <c r="Y614" s="81">
        <v>43104</v>
      </c>
      <c r="Z614" s="83">
        <v>43260000</v>
      </c>
      <c r="AA614" s="84" t="s">
        <v>1732</v>
      </c>
      <c r="AB614" s="85">
        <v>424</v>
      </c>
      <c r="AC614" s="81">
        <v>43111</v>
      </c>
      <c r="AD614" s="86">
        <v>43260000</v>
      </c>
      <c r="AE614" s="86">
        <f t="shared" si="66"/>
        <v>0</v>
      </c>
      <c r="AF614" s="85">
        <v>371</v>
      </c>
      <c r="AG614" s="81">
        <v>43124</v>
      </c>
      <c r="AH614" s="86">
        <v>43260000</v>
      </c>
      <c r="AI614" s="63" t="s">
        <v>1733</v>
      </c>
      <c r="AJ614" s="63">
        <v>325</v>
      </c>
      <c r="AK614" s="87">
        <f t="shared" si="68"/>
        <v>0</v>
      </c>
      <c r="AL614" s="86">
        <v>43260000</v>
      </c>
      <c r="AM614" s="86">
        <f t="shared" si="69"/>
        <v>0</v>
      </c>
      <c r="AN614" s="63" t="s">
        <v>1155</v>
      </c>
      <c r="AO614" s="86">
        <f t="shared" si="70"/>
        <v>0</v>
      </c>
      <c r="AP614" s="63"/>
      <c r="AQ614" s="63"/>
      <c r="AR614" s="63"/>
      <c r="AS614" s="63"/>
      <c r="AT614" s="63"/>
      <c r="AU614" s="220"/>
      <c r="AV614" s="220"/>
      <c r="AW614" s="220"/>
    </row>
    <row r="615" spans="1:49" s="221" customFormat="1" ht="409.5" x14ac:dyDescent="0.25">
      <c r="A615" s="63">
        <v>201</v>
      </c>
      <c r="B615" s="63" t="str">
        <f t="shared" si="67"/>
        <v>3075-201</v>
      </c>
      <c r="C615" s="76" t="s">
        <v>1141</v>
      </c>
      <c r="D615" s="76" t="s">
        <v>1142</v>
      </c>
      <c r="E615" s="76" t="s">
        <v>1424</v>
      </c>
      <c r="F615" s="76" t="s">
        <v>1158</v>
      </c>
      <c r="G615" s="77" t="s">
        <v>1159</v>
      </c>
      <c r="H615" s="101" t="s">
        <v>1160</v>
      </c>
      <c r="I615" s="76" t="s">
        <v>1147</v>
      </c>
      <c r="J615" s="76" t="s">
        <v>1148</v>
      </c>
      <c r="K615" s="76">
        <v>801116</v>
      </c>
      <c r="L615" s="63" t="s">
        <v>1149</v>
      </c>
      <c r="M615" s="63" t="s">
        <v>58</v>
      </c>
      <c r="N615" s="63" t="s">
        <v>59</v>
      </c>
      <c r="O615" s="76" t="s">
        <v>1213</v>
      </c>
      <c r="P615" s="63" t="s">
        <v>1458</v>
      </c>
      <c r="Q615" s="83">
        <v>7210000</v>
      </c>
      <c r="R615" s="98">
        <v>1</v>
      </c>
      <c r="S615" s="80">
        <v>43260000</v>
      </c>
      <c r="T615" s="63" t="s">
        <v>888</v>
      </c>
      <c r="U615" s="63" t="s">
        <v>1163</v>
      </c>
      <c r="V615" s="81" t="s">
        <v>64</v>
      </c>
      <c r="W615" s="82">
        <v>6</v>
      </c>
      <c r="X615" s="63" t="s">
        <v>1734</v>
      </c>
      <c r="Y615" s="81">
        <v>43104</v>
      </c>
      <c r="Z615" s="83">
        <v>43260000</v>
      </c>
      <c r="AA615" s="84" t="s">
        <v>1732</v>
      </c>
      <c r="AB615" s="85">
        <v>465</v>
      </c>
      <c r="AC615" s="81">
        <v>43112</v>
      </c>
      <c r="AD615" s="86">
        <v>43260000</v>
      </c>
      <c r="AE615" s="86">
        <f t="shared" si="66"/>
        <v>0</v>
      </c>
      <c r="AF615" s="85">
        <v>423</v>
      </c>
      <c r="AG615" s="81">
        <v>43124</v>
      </c>
      <c r="AH615" s="86">
        <v>43260000</v>
      </c>
      <c r="AI615" s="63" t="s">
        <v>1735</v>
      </c>
      <c r="AJ615" s="63">
        <v>366</v>
      </c>
      <c r="AK615" s="87">
        <f t="shared" si="68"/>
        <v>0</v>
      </c>
      <c r="AL615" s="86">
        <v>43260000</v>
      </c>
      <c r="AM615" s="86">
        <f t="shared" si="69"/>
        <v>0</v>
      </c>
      <c r="AN615" s="63" t="s">
        <v>1155</v>
      </c>
      <c r="AO615" s="86">
        <f t="shared" si="70"/>
        <v>0</v>
      </c>
      <c r="AP615" s="63"/>
      <c r="AQ615" s="63"/>
      <c r="AR615" s="63"/>
      <c r="AS615" s="63"/>
      <c r="AT615" s="63"/>
      <c r="AU615" s="220"/>
      <c r="AV615" s="220"/>
      <c r="AW615" s="220"/>
    </row>
    <row r="616" spans="1:49" s="221" customFormat="1" ht="409.5" x14ac:dyDescent="0.25">
      <c r="A616" s="63">
        <v>202</v>
      </c>
      <c r="B616" s="63" t="str">
        <f t="shared" si="67"/>
        <v>3075-202</v>
      </c>
      <c r="C616" s="76" t="s">
        <v>1141</v>
      </c>
      <c r="D616" s="76" t="s">
        <v>1142</v>
      </c>
      <c r="E616" s="76" t="s">
        <v>1424</v>
      </c>
      <c r="F616" s="76" t="s">
        <v>1158</v>
      </c>
      <c r="G616" s="77" t="s">
        <v>1159</v>
      </c>
      <c r="H616" s="101" t="s">
        <v>1160</v>
      </c>
      <c r="I616" s="76" t="s">
        <v>1147</v>
      </c>
      <c r="J616" s="76" t="s">
        <v>1148</v>
      </c>
      <c r="K616" s="76">
        <v>801116</v>
      </c>
      <c r="L616" s="63" t="s">
        <v>1149</v>
      </c>
      <c r="M616" s="63" t="s">
        <v>58</v>
      </c>
      <c r="N616" s="63" t="s">
        <v>59</v>
      </c>
      <c r="O616" s="76" t="s">
        <v>1213</v>
      </c>
      <c r="P616" s="63" t="s">
        <v>1458</v>
      </c>
      <c r="Q616" s="83">
        <v>7210000</v>
      </c>
      <c r="R616" s="98">
        <v>1</v>
      </c>
      <c r="S616" s="80">
        <f>43260000-743160-6466840</f>
        <v>36050000</v>
      </c>
      <c r="T616" s="63" t="s">
        <v>888</v>
      </c>
      <c r="U616" s="63" t="s">
        <v>1163</v>
      </c>
      <c r="V616" s="81" t="s">
        <v>64</v>
      </c>
      <c r="W616" s="82">
        <v>5</v>
      </c>
      <c r="X616" s="63" t="s">
        <v>1736</v>
      </c>
      <c r="Y616" s="81">
        <v>43104</v>
      </c>
      <c r="Z616" s="83">
        <v>36050000</v>
      </c>
      <c r="AA616" s="84" t="s">
        <v>1732</v>
      </c>
      <c r="AB616" s="85">
        <v>466</v>
      </c>
      <c r="AC616" s="81">
        <v>43112</v>
      </c>
      <c r="AD616" s="86">
        <v>36050000</v>
      </c>
      <c r="AE616" s="86">
        <f t="shared" si="66"/>
        <v>0</v>
      </c>
      <c r="AF616" s="85">
        <v>334</v>
      </c>
      <c r="AG616" s="81">
        <v>43123</v>
      </c>
      <c r="AH616" s="86">
        <v>36050000</v>
      </c>
      <c r="AI616" s="63" t="s">
        <v>1737</v>
      </c>
      <c r="AJ616" s="63">
        <v>339</v>
      </c>
      <c r="AK616" s="87">
        <f t="shared" si="68"/>
        <v>0</v>
      </c>
      <c r="AL616" s="86">
        <v>36050000</v>
      </c>
      <c r="AM616" s="86">
        <f t="shared" si="69"/>
        <v>0</v>
      </c>
      <c r="AN616" s="63" t="s">
        <v>1155</v>
      </c>
      <c r="AO616" s="86">
        <f t="shared" si="70"/>
        <v>0</v>
      </c>
      <c r="AP616" s="63"/>
      <c r="AQ616" s="63"/>
      <c r="AR616" s="63"/>
      <c r="AS616" s="63"/>
      <c r="AT616" s="63"/>
      <c r="AU616" s="220"/>
      <c r="AV616" s="220"/>
      <c r="AW616" s="220"/>
    </row>
    <row r="617" spans="1:49" s="221" customFormat="1" ht="409.5" x14ac:dyDescent="0.25">
      <c r="A617" s="63">
        <v>203</v>
      </c>
      <c r="B617" s="63" t="str">
        <f t="shared" si="67"/>
        <v>3075-203</v>
      </c>
      <c r="C617" s="76" t="s">
        <v>1141</v>
      </c>
      <c r="D617" s="76" t="s">
        <v>1142</v>
      </c>
      <c r="E617" s="76" t="s">
        <v>1424</v>
      </c>
      <c r="F617" s="76" t="s">
        <v>1158</v>
      </c>
      <c r="G617" s="77" t="s">
        <v>1159</v>
      </c>
      <c r="H617" s="101" t="s">
        <v>1160</v>
      </c>
      <c r="I617" s="76" t="s">
        <v>1147</v>
      </c>
      <c r="J617" s="76" t="s">
        <v>1148</v>
      </c>
      <c r="K617" s="76">
        <v>801116</v>
      </c>
      <c r="L617" s="63" t="s">
        <v>1149</v>
      </c>
      <c r="M617" s="63" t="s">
        <v>58</v>
      </c>
      <c r="N617" s="63" t="s">
        <v>59</v>
      </c>
      <c r="O617" s="76" t="s">
        <v>1213</v>
      </c>
      <c r="P617" s="63" t="s">
        <v>1458</v>
      </c>
      <c r="Q617" s="83">
        <v>6180000</v>
      </c>
      <c r="R617" s="98">
        <v>1</v>
      </c>
      <c r="S617" s="80">
        <v>37080000</v>
      </c>
      <c r="T617" s="63" t="s">
        <v>888</v>
      </c>
      <c r="U617" s="63" t="s">
        <v>1163</v>
      </c>
      <c r="V617" s="81" t="s">
        <v>64</v>
      </c>
      <c r="W617" s="82">
        <v>6</v>
      </c>
      <c r="X617" s="63" t="s">
        <v>1738</v>
      </c>
      <c r="Y617" s="81">
        <v>43104</v>
      </c>
      <c r="Z617" s="83">
        <v>37080000</v>
      </c>
      <c r="AA617" s="84" t="s">
        <v>1739</v>
      </c>
      <c r="AB617" s="85">
        <v>455</v>
      </c>
      <c r="AC617" s="81">
        <v>43111</v>
      </c>
      <c r="AD617" s="86">
        <v>37080000</v>
      </c>
      <c r="AE617" s="86">
        <f t="shared" si="66"/>
        <v>0</v>
      </c>
      <c r="AF617" s="85">
        <v>268</v>
      </c>
      <c r="AG617" s="81">
        <v>43119</v>
      </c>
      <c r="AH617" s="86">
        <v>37080000</v>
      </c>
      <c r="AI617" s="63" t="s">
        <v>1478</v>
      </c>
      <c r="AJ617" s="63">
        <v>238</v>
      </c>
      <c r="AK617" s="87">
        <f t="shared" si="68"/>
        <v>0</v>
      </c>
      <c r="AL617" s="86">
        <v>37080000</v>
      </c>
      <c r="AM617" s="86">
        <f t="shared" si="69"/>
        <v>0</v>
      </c>
      <c r="AN617" s="63" t="s">
        <v>1155</v>
      </c>
      <c r="AO617" s="86">
        <f t="shared" si="70"/>
        <v>0</v>
      </c>
      <c r="AP617" s="63"/>
      <c r="AQ617" s="63"/>
      <c r="AR617" s="63"/>
      <c r="AS617" s="63"/>
      <c r="AT617" s="63"/>
      <c r="AU617" s="220"/>
      <c r="AV617" s="220"/>
      <c r="AW617" s="220"/>
    </row>
    <row r="618" spans="1:49" s="221" customFormat="1" ht="342" x14ac:dyDescent="0.25">
      <c r="A618" s="63">
        <v>204</v>
      </c>
      <c r="B618" s="63" t="str">
        <f t="shared" si="67"/>
        <v>3075-204</v>
      </c>
      <c r="C618" s="76" t="s">
        <v>1141</v>
      </c>
      <c r="D618" s="76" t="s">
        <v>1142</v>
      </c>
      <c r="E618" s="76" t="s">
        <v>1424</v>
      </c>
      <c r="F618" s="76" t="s">
        <v>1175</v>
      </c>
      <c r="G618" s="77" t="s">
        <v>1176</v>
      </c>
      <c r="H618" s="78" t="s">
        <v>1425</v>
      </c>
      <c r="I618" s="76" t="s">
        <v>1147</v>
      </c>
      <c r="J618" s="76" t="s">
        <v>1148</v>
      </c>
      <c r="K618" s="76" t="s">
        <v>439</v>
      </c>
      <c r="L618" s="63" t="s">
        <v>1149</v>
      </c>
      <c r="M618" s="63" t="s">
        <v>58</v>
      </c>
      <c r="N618" s="63" t="s">
        <v>59</v>
      </c>
      <c r="O618" s="76" t="s">
        <v>1213</v>
      </c>
      <c r="P618" s="63" t="s">
        <v>1740</v>
      </c>
      <c r="Q618" s="83">
        <v>54686940</v>
      </c>
      <c r="R618" s="98">
        <v>1</v>
      </c>
      <c r="S618" s="80">
        <v>54686940</v>
      </c>
      <c r="T618" s="63" t="s">
        <v>1171</v>
      </c>
      <c r="U618" s="63" t="s">
        <v>1171</v>
      </c>
      <c r="V618" s="81" t="s">
        <v>64</v>
      </c>
      <c r="W618" s="82" t="s">
        <v>439</v>
      </c>
      <c r="X618" s="99" t="s">
        <v>1741</v>
      </c>
      <c r="Y618" s="81">
        <v>43109</v>
      </c>
      <c r="Z618" s="83">
        <v>54686940</v>
      </c>
      <c r="AA618" s="84" t="s">
        <v>1742</v>
      </c>
      <c r="AB618" s="85">
        <v>370</v>
      </c>
      <c r="AC618" s="81">
        <v>43110</v>
      </c>
      <c r="AD618" s="86">
        <v>54686940</v>
      </c>
      <c r="AE618" s="87">
        <f t="shared" si="66"/>
        <v>0</v>
      </c>
      <c r="AF618" s="85">
        <v>511</v>
      </c>
      <c r="AG618" s="81">
        <v>43129</v>
      </c>
      <c r="AH618" s="86">
        <v>54686940</v>
      </c>
      <c r="AI618" s="63" t="s">
        <v>1743</v>
      </c>
      <c r="AJ618" s="63">
        <v>201</v>
      </c>
      <c r="AK618" s="87">
        <f t="shared" si="68"/>
        <v>0</v>
      </c>
      <c r="AL618" s="86">
        <v>54686940</v>
      </c>
      <c r="AM618" s="86">
        <f t="shared" si="69"/>
        <v>0</v>
      </c>
      <c r="AN618" s="63" t="s">
        <v>1155</v>
      </c>
      <c r="AO618" s="86">
        <f t="shared" si="70"/>
        <v>0</v>
      </c>
      <c r="AP618" s="63"/>
      <c r="AQ618" s="63"/>
      <c r="AR618" s="63"/>
      <c r="AS618" s="63"/>
      <c r="AT618" s="63"/>
      <c r="AU618" s="220"/>
      <c r="AV618" s="220"/>
      <c r="AW618" s="220"/>
    </row>
    <row r="619" spans="1:49" s="221" customFormat="1" ht="342" x14ac:dyDescent="0.25">
      <c r="A619" s="63">
        <v>205</v>
      </c>
      <c r="B619" s="63" t="str">
        <f t="shared" si="67"/>
        <v>3075-205</v>
      </c>
      <c r="C619" s="76" t="s">
        <v>1141</v>
      </c>
      <c r="D619" s="76" t="s">
        <v>1142</v>
      </c>
      <c r="E619" s="76" t="s">
        <v>1424</v>
      </c>
      <c r="F619" s="76" t="s">
        <v>1175</v>
      </c>
      <c r="G619" s="77" t="s">
        <v>1176</v>
      </c>
      <c r="H619" s="78" t="s">
        <v>1425</v>
      </c>
      <c r="I619" s="76" t="s">
        <v>1147</v>
      </c>
      <c r="J619" s="76" t="s">
        <v>1148</v>
      </c>
      <c r="K619" s="76" t="s">
        <v>439</v>
      </c>
      <c r="L619" s="63" t="s">
        <v>1149</v>
      </c>
      <c r="M619" s="63" t="s">
        <v>58</v>
      </c>
      <c r="N619" s="63" t="s">
        <v>59</v>
      </c>
      <c r="O619" s="76" t="s">
        <v>1213</v>
      </c>
      <c r="P619" s="63" t="s">
        <v>1744</v>
      </c>
      <c r="Q619" s="83">
        <v>54686940</v>
      </c>
      <c r="R619" s="98">
        <v>1</v>
      </c>
      <c r="S619" s="80">
        <v>54686940</v>
      </c>
      <c r="T619" s="63" t="s">
        <v>1171</v>
      </c>
      <c r="U619" s="63" t="s">
        <v>1171</v>
      </c>
      <c r="V619" s="81" t="s">
        <v>64</v>
      </c>
      <c r="W619" s="82" t="s">
        <v>439</v>
      </c>
      <c r="X619" s="99" t="s">
        <v>1745</v>
      </c>
      <c r="Y619" s="81">
        <v>43109</v>
      </c>
      <c r="Z619" s="83">
        <v>54686940</v>
      </c>
      <c r="AA619" s="84" t="s">
        <v>1742</v>
      </c>
      <c r="AB619" s="85">
        <v>400</v>
      </c>
      <c r="AC619" s="81">
        <v>43110</v>
      </c>
      <c r="AD619" s="86">
        <v>54686940</v>
      </c>
      <c r="AE619" s="87">
        <f t="shared" si="66"/>
        <v>0</v>
      </c>
      <c r="AF619" s="85">
        <v>311</v>
      </c>
      <c r="AG619" s="81">
        <v>43122</v>
      </c>
      <c r="AH619" s="86">
        <v>54686940</v>
      </c>
      <c r="AI619" s="63" t="s">
        <v>1746</v>
      </c>
      <c r="AJ619" s="63">
        <v>34</v>
      </c>
      <c r="AK619" s="87">
        <f t="shared" si="68"/>
        <v>0</v>
      </c>
      <c r="AL619" s="86">
        <v>54686940</v>
      </c>
      <c r="AM619" s="86">
        <f t="shared" si="69"/>
        <v>0</v>
      </c>
      <c r="AN619" s="63" t="s">
        <v>1155</v>
      </c>
      <c r="AO619" s="86">
        <f t="shared" si="70"/>
        <v>0</v>
      </c>
      <c r="AP619" s="63"/>
      <c r="AQ619" s="63"/>
      <c r="AR619" s="63"/>
      <c r="AS619" s="63"/>
      <c r="AT619" s="63"/>
      <c r="AU619" s="220"/>
      <c r="AV619" s="220"/>
      <c r="AW619" s="220"/>
    </row>
    <row r="620" spans="1:49" s="221" customFormat="1" ht="342" x14ac:dyDescent="0.25">
      <c r="A620" s="63">
        <v>206</v>
      </c>
      <c r="B620" s="63" t="str">
        <f t="shared" si="67"/>
        <v>3075-206</v>
      </c>
      <c r="C620" s="76" t="s">
        <v>1141</v>
      </c>
      <c r="D620" s="76" t="s">
        <v>1142</v>
      </c>
      <c r="E620" s="76" t="s">
        <v>1424</v>
      </c>
      <c r="F620" s="76" t="s">
        <v>1175</v>
      </c>
      <c r="G620" s="77" t="s">
        <v>1176</v>
      </c>
      <c r="H620" s="78" t="s">
        <v>1425</v>
      </c>
      <c r="I620" s="76" t="s">
        <v>1147</v>
      </c>
      <c r="J620" s="76" t="s">
        <v>1148</v>
      </c>
      <c r="K620" s="76" t="s">
        <v>439</v>
      </c>
      <c r="L620" s="63" t="s">
        <v>1149</v>
      </c>
      <c r="M620" s="63" t="s">
        <v>58</v>
      </c>
      <c r="N620" s="63" t="s">
        <v>59</v>
      </c>
      <c r="O620" s="76" t="s">
        <v>1213</v>
      </c>
      <c r="P620" s="63" t="s">
        <v>1747</v>
      </c>
      <c r="Q620" s="83">
        <v>54686940</v>
      </c>
      <c r="R620" s="98">
        <v>1</v>
      </c>
      <c r="S620" s="80">
        <v>54686940</v>
      </c>
      <c r="T620" s="63" t="s">
        <v>1171</v>
      </c>
      <c r="U620" s="63" t="s">
        <v>1171</v>
      </c>
      <c r="V620" s="81" t="s">
        <v>64</v>
      </c>
      <c r="W620" s="82" t="s">
        <v>439</v>
      </c>
      <c r="X620" s="99" t="s">
        <v>1748</v>
      </c>
      <c r="Y620" s="81">
        <v>43109</v>
      </c>
      <c r="Z620" s="83">
        <v>54686940</v>
      </c>
      <c r="AA620" s="84" t="s">
        <v>1742</v>
      </c>
      <c r="AB620" s="85">
        <v>377</v>
      </c>
      <c r="AC620" s="81">
        <v>43110</v>
      </c>
      <c r="AD620" s="86">
        <v>54686940</v>
      </c>
      <c r="AE620" s="87">
        <f t="shared" si="66"/>
        <v>0</v>
      </c>
      <c r="AF620" s="85">
        <v>327</v>
      </c>
      <c r="AG620" s="81">
        <v>43123</v>
      </c>
      <c r="AH620" s="86">
        <v>54686940</v>
      </c>
      <c r="AI620" s="63" t="s">
        <v>1749</v>
      </c>
      <c r="AJ620" s="63">
        <v>35</v>
      </c>
      <c r="AK620" s="87">
        <f t="shared" si="68"/>
        <v>0</v>
      </c>
      <c r="AL620" s="86">
        <v>54686940</v>
      </c>
      <c r="AM620" s="86">
        <f t="shared" si="69"/>
        <v>0</v>
      </c>
      <c r="AN620" s="63" t="s">
        <v>1155</v>
      </c>
      <c r="AO620" s="86">
        <f t="shared" si="70"/>
        <v>0</v>
      </c>
      <c r="AP620" s="63"/>
      <c r="AQ620" s="63"/>
      <c r="AR620" s="63"/>
      <c r="AS620" s="63"/>
      <c r="AT620" s="63"/>
      <c r="AU620" s="220"/>
      <c r="AV620" s="220"/>
      <c r="AW620" s="220"/>
    </row>
    <row r="621" spans="1:49" s="221" customFormat="1" ht="342" x14ac:dyDescent="0.25">
      <c r="A621" s="63">
        <v>207</v>
      </c>
      <c r="B621" s="63" t="str">
        <f t="shared" si="67"/>
        <v>3075-207</v>
      </c>
      <c r="C621" s="76" t="s">
        <v>1141</v>
      </c>
      <c r="D621" s="76" t="s">
        <v>1142</v>
      </c>
      <c r="E621" s="76" t="s">
        <v>1424</v>
      </c>
      <c r="F621" s="76" t="s">
        <v>1175</v>
      </c>
      <c r="G621" s="77" t="s">
        <v>1176</v>
      </c>
      <c r="H621" s="78" t="s">
        <v>1425</v>
      </c>
      <c r="I621" s="76" t="s">
        <v>1147</v>
      </c>
      <c r="J621" s="76" t="s">
        <v>1148</v>
      </c>
      <c r="K621" s="76" t="s">
        <v>439</v>
      </c>
      <c r="L621" s="63" t="s">
        <v>1149</v>
      </c>
      <c r="M621" s="63" t="s">
        <v>58</v>
      </c>
      <c r="N621" s="63" t="s">
        <v>59</v>
      </c>
      <c r="O621" s="76" t="s">
        <v>1213</v>
      </c>
      <c r="P621" s="63" t="s">
        <v>1750</v>
      </c>
      <c r="Q621" s="83">
        <v>54686940</v>
      </c>
      <c r="R621" s="98">
        <v>1</v>
      </c>
      <c r="S621" s="80">
        <v>54686940</v>
      </c>
      <c r="T621" s="63" t="s">
        <v>1171</v>
      </c>
      <c r="U621" s="63" t="s">
        <v>1171</v>
      </c>
      <c r="V621" s="81" t="s">
        <v>493</v>
      </c>
      <c r="W621" s="82" t="s">
        <v>439</v>
      </c>
      <c r="X621" s="99" t="s">
        <v>1751</v>
      </c>
      <c r="Y621" s="81">
        <v>43109</v>
      </c>
      <c r="Z621" s="83">
        <v>54686940</v>
      </c>
      <c r="AA621" s="84" t="s">
        <v>1742</v>
      </c>
      <c r="AB621" s="85">
        <v>397</v>
      </c>
      <c r="AC621" s="81">
        <v>43110</v>
      </c>
      <c r="AD621" s="86">
        <v>54686940</v>
      </c>
      <c r="AE621" s="87">
        <f t="shared" si="66"/>
        <v>0</v>
      </c>
      <c r="AF621" s="85">
        <v>1332</v>
      </c>
      <c r="AG621" s="81">
        <v>43144</v>
      </c>
      <c r="AH621" s="86">
        <v>54686940</v>
      </c>
      <c r="AI621" s="63" t="s">
        <v>1752</v>
      </c>
      <c r="AJ621" s="63">
        <v>1102</v>
      </c>
      <c r="AK621" s="87">
        <f t="shared" si="68"/>
        <v>0</v>
      </c>
      <c r="AL621" s="86">
        <v>54686940</v>
      </c>
      <c r="AM621" s="86">
        <f t="shared" si="69"/>
        <v>0</v>
      </c>
      <c r="AN621" s="63" t="s">
        <v>1155</v>
      </c>
      <c r="AO621" s="86">
        <f t="shared" si="70"/>
        <v>0</v>
      </c>
      <c r="AP621" s="63"/>
      <c r="AQ621" s="63"/>
      <c r="AR621" s="63"/>
      <c r="AS621" s="63"/>
      <c r="AT621" s="63"/>
      <c r="AU621" s="220"/>
      <c r="AV621" s="220"/>
      <c r="AW621" s="220"/>
    </row>
    <row r="622" spans="1:49" s="221" customFormat="1" ht="342" x14ac:dyDescent="0.25">
      <c r="A622" s="63">
        <v>208</v>
      </c>
      <c r="B622" s="63" t="str">
        <f t="shared" si="67"/>
        <v>3075-208</v>
      </c>
      <c r="C622" s="76" t="s">
        <v>1141</v>
      </c>
      <c r="D622" s="76" t="s">
        <v>1142</v>
      </c>
      <c r="E622" s="76" t="s">
        <v>1424</v>
      </c>
      <c r="F622" s="76" t="s">
        <v>1175</v>
      </c>
      <c r="G622" s="77" t="s">
        <v>1176</v>
      </c>
      <c r="H622" s="78" t="s">
        <v>1425</v>
      </c>
      <c r="I622" s="76" t="s">
        <v>1147</v>
      </c>
      <c r="J622" s="76" t="s">
        <v>1148</v>
      </c>
      <c r="K622" s="76" t="s">
        <v>439</v>
      </c>
      <c r="L622" s="63" t="s">
        <v>1149</v>
      </c>
      <c r="M622" s="63" t="s">
        <v>58</v>
      </c>
      <c r="N622" s="63" t="s">
        <v>59</v>
      </c>
      <c r="O622" s="76" t="s">
        <v>1213</v>
      </c>
      <c r="P622" s="63" t="s">
        <v>1753</v>
      </c>
      <c r="Q622" s="83">
        <v>54686940</v>
      </c>
      <c r="R622" s="98">
        <v>1</v>
      </c>
      <c r="S622" s="80">
        <v>54686940</v>
      </c>
      <c r="T622" s="63" t="s">
        <v>1171</v>
      </c>
      <c r="U622" s="63" t="s">
        <v>1171</v>
      </c>
      <c r="V622" s="81" t="s">
        <v>64</v>
      </c>
      <c r="W622" s="82" t="s">
        <v>439</v>
      </c>
      <c r="X622" s="99" t="s">
        <v>1754</v>
      </c>
      <c r="Y622" s="81">
        <v>43109</v>
      </c>
      <c r="Z622" s="83">
        <v>54686940</v>
      </c>
      <c r="AA622" s="84" t="s">
        <v>1742</v>
      </c>
      <c r="AB622" s="85">
        <v>426</v>
      </c>
      <c r="AC622" s="81">
        <v>43111</v>
      </c>
      <c r="AD622" s="86">
        <v>54686940</v>
      </c>
      <c r="AE622" s="87">
        <f t="shared" si="66"/>
        <v>0</v>
      </c>
      <c r="AF622" s="85">
        <v>509</v>
      </c>
      <c r="AG622" s="81">
        <v>43129</v>
      </c>
      <c r="AH622" s="86">
        <v>54686940</v>
      </c>
      <c r="AI622" s="63" t="s">
        <v>1755</v>
      </c>
      <c r="AJ622" s="63">
        <v>202</v>
      </c>
      <c r="AK622" s="87">
        <f t="shared" si="68"/>
        <v>0</v>
      </c>
      <c r="AL622" s="86">
        <v>54686940</v>
      </c>
      <c r="AM622" s="86">
        <f t="shared" si="69"/>
        <v>0</v>
      </c>
      <c r="AN622" s="63" t="s">
        <v>1155</v>
      </c>
      <c r="AO622" s="86">
        <f t="shared" si="70"/>
        <v>0</v>
      </c>
      <c r="AP622" s="63"/>
      <c r="AQ622" s="63"/>
      <c r="AR622" s="63"/>
      <c r="AS622" s="63"/>
      <c r="AT622" s="63"/>
      <c r="AU622" s="220"/>
      <c r="AV622" s="220"/>
      <c r="AW622" s="220"/>
    </row>
    <row r="623" spans="1:49" s="221" customFormat="1" ht="342" x14ac:dyDescent="0.25">
      <c r="A623" s="63">
        <v>209</v>
      </c>
      <c r="B623" s="63" t="str">
        <f t="shared" si="67"/>
        <v>3075-209</v>
      </c>
      <c r="C623" s="76" t="s">
        <v>1141</v>
      </c>
      <c r="D623" s="76" t="s">
        <v>1142</v>
      </c>
      <c r="E623" s="76" t="s">
        <v>1424</v>
      </c>
      <c r="F623" s="76" t="s">
        <v>1175</v>
      </c>
      <c r="G623" s="77" t="s">
        <v>1176</v>
      </c>
      <c r="H623" s="78" t="s">
        <v>1425</v>
      </c>
      <c r="I623" s="76" t="s">
        <v>1147</v>
      </c>
      <c r="J623" s="76" t="s">
        <v>1148</v>
      </c>
      <c r="K623" s="76" t="s">
        <v>439</v>
      </c>
      <c r="L623" s="63" t="s">
        <v>1149</v>
      </c>
      <c r="M623" s="63" t="s">
        <v>58</v>
      </c>
      <c r="N623" s="63" t="s">
        <v>59</v>
      </c>
      <c r="O623" s="76" t="s">
        <v>1213</v>
      </c>
      <c r="P623" s="63" t="s">
        <v>1756</v>
      </c>
      <c r="Q623" s="83">
        <v>54686940</v>
      </c>
      <c r="R623" s="98">
        <v>1</v>
      </c>
      <c r="S623" s="80">
        <v>54686940</v>
      </c>
      <c r="T623" s="63" t="s">
        <v>1171</v>
      </c>
      <c r="U623" s="63" t="s">
        <v>1171</v>
      </c>
      <c r="V623" s="81" t="s">
        <v>64</v>
      </c>
      <c r="W623" s="82" t="s">
        <v>439</v>
      </c>
      <c r="X623" s="99" t="s">
        <v>1757</v>
      </c>
      <c r="Y623" s="81">
        <v>43109</v>
      </c>
      <c r="Z623" s="83">
        <v>54686940</v>
      </c>
      <c r="AA623" s="84" t="s">
        <v>1742</v>
      </c>
      <c r="AB623" s="85">
        <v>428</v>
      </c>
      <c r="AC623" s="81">
        <v>43111</v>
      </c>
      <c r="AD623" s="86">
        <v>54686940</v>
      </c>
      <c r="AE623" s="87">
        <f t="shared" si="66"/>
        <v>0</v>
      </c>
      <c r="AF623" s="85">
        <v>328</v>
      </c>
      <c r="AG623" s="81">
        <v>43123</v>
      </c>
      <c r="AH623" s="86">
        <v>54686940</v>
      </c>
      <c r="AI623" s="63" t="s">
        <v>1758</v>
      </c>
      <c r="AJ623" s="63">
        <v>33</v>
      </c>
      <c r="AK623" s="87">
        <f t="shared" si="68"/>
        <v>0</v>
      </c>
      <c r="AL623" s="86">
        <v>54686940</v>
      </c>
      <c r="AM623" s="86">
        <f t="shared" si="69"/>
        <v>0</v>
      </c>
      <c r="AN623" s="63" t="s">
        <v>1155</v>
      </c>
      <c r="AO623" s="86">
        <f t="shared" si="70"/>
        <v>0</v>
      </c>
      <c r="AP623" s="63"/>
      <c r="AQ623" s="63"/>
      <c r="AR623" s="63"/>
      <c r="AS623" s="63"/>
      <c r="AT623" s="63"/>
      <c r="AU623" s="220"/>
      <c r="AV623" s="220"/>
      <c r="AW623" s="220"/>
    </row>
    <row r="624" spans="1:49" s="221" customFormat="1" ht="342" x14ac:dyDescent="0.25">
      <c r="A624" s="63">
        <v>210</v>
      </c>
      <c r="B624" s="63" t="str">
        <f t="shared" si="67"/>
        <v>3075-210</v>
      </c>
      <c r="C624" s="76" t="s">
        <v>1141</v>
      </c>
      <c r="D624" s="76" t="s">
        <v>1142</v>
      </c>
      <c r="E624" s="76" t="s">
        <v>1424</v>
      </c>
      <c r="F624" s="76" t="s">
        <v>1175</v>
      </c>
      <c r="G624" s="77" t="s">
        <v>1176</v>
      </c>
      <c r="H624" s="78" t="s">
        <v>1425</v>
      </c>
      <c r="I624" s="76" t="s">
        <v>1147</v>
      </c>
      <c r="J624" s="76" t="s">
        <v>1148</v>
      </c>
      <c r="K624" s="76" t="s">
        <v>439</v>
      </c>
      <c r="L624" s="63" t="s">
        <v>1149</v>
      </c>
      <c r="M624" s="63" t="s">
        <v>58</v>
      </c>
      <c r="N624" s="63" t="s">
        <v>59</v>
      </c>
      <c r="O624" s="76" t="s">
        <v>1213</v>
      </c>
      <c r="P624" s="63" t="s">
        <v>1759</v>
      </c>
      <c r="Q624" s="83">
        <v>54686940</v>
      </c>
      <c r="R624" s="98">
        <v>1</v>
      </c>
      <c r="S624" s="80">
        <v>54686940</v>
      </c>
      <c r="T624" s="63" t="s">
        <v>1171</v>
      </c>
      <c r="U624" s="63" t="s">
        <v>1171</v>
      </c>
      <c r="V624" s="81" t="s">
        <v>64</v>
      </c>
      <c r="W624" s="82" t="s">
        <v>439</v>
      </c>
      <c r="X624" s="99" t="s">
        <v>1760</v>
      </c>
      <c r="Y624" s="81">
        <v>43109</v>
      </c>
      <c r="Z624" s="83">
        <v>54686940</v>
      </c>
      <c r="AA624" s="84" t="s">
        <v>1742</v>
      </c>
      <c r="AB624" s="85">
        <v>427</v>
      </c>
      <c r="AC624" s="81">
        <v>43111</v>
      </c>
      <c r="AD624" s="86">
        <v>54686940</v>
      </c>
      <c r="AE624" s="87">
        <f t="shared" si="66"/>
        <v>0</v>
      </c>
      <c r="AF624" s="85">
        <v>305</v>
      </c>
      <c r="AG624" s="81">
        <v>43122</v>
      </c>
      <c r="AH624" s="86">
        <v>54686940</v>
      </c>
      <c r="AI624" s="63" t="s">
        <v>1761</v>
      </c>
      <c r="AJ624" s="63">
        <v>36</v>
      </c>
      <c r="AK624" s="87">
        <f t="shared" si="68"/>
        <v>0</v>
      </c>
      <c r="AL624" s="86">
        <v>54686940</v>
      </c>
      <c r="AM624" s="86">
        <f t="shared" si="69"/>
        <v>0</v>
      </c>
      <c r="AN624" s="63" t="s">
        <v>1155</v>
      </c>
      <c r="AO624" s="86">
        <f t="shared" si="70"/>
        <v>0</v>
      </c>
      <c r="AP624" s="63"/>
      <c r="AQ624" s="63"/>
      <c r="AR624" s="63"/>
      <c r="AS624" s="63"/>
      <c r="AT624" s="63"/>
      <c r="AU624" s="220"/>
      <c r="AV624" s="220"/>
      <c r="AW624" s="220"/>
    </row>
    <row r="625" spans="1:49" s="221" customFormat="1" ht="342" x14ac:dyDescent="0.25">
      <c r="A625" s="63">
        <v>211</v>
      </c>
      <c r="B625" s="63" t="str">
        <f t="shared" si="67"/>
        <v>3075-211</v>
      </c>
      <c r="C625" s="76" t="s">
        <v>1141</v>
      </c>
      <c r="D625" s="76" t="s">
        <v>1142</v>
      </c>
      <c r="E625" s="76" t="s">
        <v>1424</v>
      </c>
      <c r="F625" s="76" t="s">
        <v>1175</v>
      </c>
      <c r="G625" s="77" t="s">
        <v>1176</v>
      </c>
      <c r="H625" s="78" t="s">
        <v>1425</v>
      </c>
      <c r="I625" s="76" t="s">
        <v>1147</v>
      </c>
      <c r="J625" s="76" t="s">
        <v>1148</v>
      </c>
      <c r="K625" s="76" t="s">
        <v>439</v>
      </c>
      <c r="L625" s="63" t="s">
        <v>1149</v>
      </c>
      <c r="M625" s="63" t="s">
        <v>58</v>
      </c>
      <c r="N625" s="63" t="s">
        <v>59</v>
      </c>
      <c r="O625" s="76" t="s">
        <v>1213</v>
      </c>
      <c r="P625" s="63" t="s">
        <v>1762</v>
      </c>
      <c r="Q625" s="83">
        <v>54686940</v>
      </c>
      <c r="R625" s="98">
        <v>1</v>
      </c>
      <c r="S625" s="80">
        <v>54686940</v>
      </c>
      <c r="T625" s="63" t="s">
        <v>1171</v>
      </c>
      <c r="U625" s="63" t="s">
        <v>1171</v>
      </c>
      <c r="V625" s="81" t="s">
        <v>64</v>
      </c>
      <c r="W625" s="82" t="s">
        <v>439</v>
      </c>
      <c r="X625" s="99" t="s">
        <v>1763</v>
      </c>
      <c r="Y625" s="81">
        <v>43109</v>
      </c>
      <c r="Z625" s="83">
        <v>54686940</v>
      </c>
      <c r="AA625" s="84" t="s">
        <v>1742</v>
      </c>
      <c r="AB625" s="85">
        <v>373</v>
      </c>
      <c r="AC625" s="81">
        <v>43110</v>
      </c>
      <c r="AD625" s="86">
        <v>54686940</v>
      </c>
      <c r="AE625" s="87">
        <f t="shared" si="66"/>
        <v>0</v>
      </c>
      <c r="AF625" s="85">
        <v>422</v>
      </c>
      <c r="AG625" s="81">
        <v>43124</v>
      </c>
      <c r="AH625" s="86">
        <v>54686940</v>
      </c>
      <c r="AI625" s="63" t="s">
        <v>1764</v>
      </c>
      <c r="AJ625" s="63">
        <v>100</v>
      </c>
      <c r="AK625" s="87">
        <f t="shared" si="68"/>
        <v>0</v>
      </c>
      <c r="AL625" s="86">
        <v>54686940</v>
      </c>
      <c r="AM625" s="86">
        <f t="shared" si="69"/>
        <v>0</v>
      </c>
      <c r="AN625" s="63" t="s">
        <v>1155</v>
      </c>
      <c r="AO625" s="86">
        <f t="shared" si="70"/>
        <v>0</v>
      </c>
      <c r="AP625" s="63"/>
      <c r="AQ625" s="63"/>
      <c r="AR625" s="63"/>
      <c r="AS625" s="63"/>
      <c r="AT625" s="63"/>
      <c r="AU625" s="220"/>
      <c r="AV625" s="220"/>
      <c r="AW625" s="220"/>
    </row>
    <row r="626" spans="1:49" s="221" customFormat="1" ht="342" x14ac:dyDescent="0.25">
      <c r="A626" s="63">
        <v>212</v>
      </c>
      <c r="B626" s="63" t="str">
        <f t="shared" si="67"/>
        <v>3075-212</v>
      </c>
      <c r="C626" s="76" t="s">
        <v>1141</v>
      </c>
      <c r="D626" s="76" t="s">
        <v>1142</v>
      </c>
      <c r="E626" s="76" t="s">
        <v>1424</v>
      </c>
      <c r="F626" s="76" t="s">
        <v>1175</v>
      </c>
      <c r="G626" s="77" t="s">
        <v>1176</v>
      </c>
      <c r="H626" s="78" t="s">
        <v>1425</v>
      </c>
      <c r="I626" s="76" t="s">
        <v>1147</v>
      </c>
      <c r="J626" s="76" t="s">
        <v>1148</v>
      </c>
      <c r="K626" s="76" t="s">
        <v>439</v>
      </c>
      <c r="L626" s="63" t="s">
        <v>1149</v>
      </c>
      <c r="M626" s="63" t="s">
        <v>58</v>
      </c>
      <c r="N626" s="63" t="s">
        <v>59</v>
      </c>
      <c r="O626" s="76" t="s">
        <v>1213</v>
      </c>
      <c r="P626" s="63" t="s">
        <v>1765</v>
      </c>
      <c r="Q626" s="83">
        <v>54686940</v>
      </c>
      <c r="R626" s="98">
        <v>1</v>
      </c>
      <c r="S626" s="80">
        <v>54686940</v>
      </c>
      <c r="T626" s="63" t="s">
        <v>1171</v>
      </c>
      <c r="U626" s="63" t="s">
        <v>1171</v>
      </c>
      <c r="V626" s="81" t="s">
        <v>64</v>
      </c>
      <c r="W626" s="82" t="s">
        <v>439</v>
      </c>
      <c r="X626" s="99" t="s">
        <v>1766</v>
      </c>
      <c r="Y626" s="81">
        <v>43109</v>
      </c>
      <c r="Z626" s="83">
        <v>54686940</v>
      </c>
      <c r="AA626" s="84" t="s">
        <v>1742</v>
      </c>
      <c r="AB626" s="85">
        <v>378</v>
      </c>
      <c r="AC626" s="81">
        <v>43110</v>
      </c>
      <c r="AD626" s="86">
        <v>54686940</v>
      </c>
      <c r="AE626" s="87">
        <f t="shared" si="66"/>
        <v>0</v>
      </c>
      <c r="AF626" s="85">
        <v>424</v>
      </c>
      <c r="AG626" s="81">
        <v>43124</v>
      </c>
      <c r="AH626" s="86">
        <v>54686940</v>
      </c>
      <c r="AI626" s="63" t="s">
        <v>1767</v>
      </c>
      <c r="AJ626" s="63">
        <v>101</v>
      </c>
      <c r="AK626" s="87">
        <f t="shared" si="68"/>
        <v>0</v>
      </c>
      <c r="AL626" s="86">
        <v>54686940</v>
      </c>
      <c r="AM626" s="86">
        <f t="shared" si="69"/>
        <v>0</v>
      </c>
      <c r="AN626" s="63" t="s">
        <v>1155</v>
      </c>
      <c r="AO626" s="86">
        <f t="shared" si="70"/>
        <v>0</v>
      </c>
      <c r="AP626" s="63"/>
      <c r="AQ626" s="63"/>
      <c r="AR626" s="63"/>
      <c r="AS626" s="63"/>
      <c r="AT626" s="63"/>
      <c r="AU626" s="220"/>
      <c r="AV626" s="220"/>
      <c r="AW626" s="220"/>
    </row>
    <row r="627" spans="1:49" s="221" customFormat="1" ht="342" x14ac:dyDescent="0.25">
      <c r="A627" s="63">
        <v>213</v>
      </c>
      <c r="B627" s="63" t="str">
        <f t="shared" si="67"/>
        <v>3075-213</v>
      </c>
      <c r="C627" s="76" t="s">
        <v>1141</v>
      </c>
      <c r="D627" s="76" t="s">
        <v>1142</v>
      </c>
      <c r="E627" s="76" t="s">
        <v>1424</v>
      </c>
      <c r="F627" s="76" t="s">
        <v>1175</v>
      </c>
      <c r="G627" s="77" t="s">
        <v>1176</v>
      </c>
      <c r="H627" s="78" t="s">
        <v>1425</v>
      </c>
      <c r="I627" s="76" t="s">
        <v>1147</v>
      </c>
      <c r="J627" s="76" t="s">
        <v>1148</v>
      </c>
      <c r="K627" s="76" t="s">
        <v>439</v>
      </c>
      <c r="L627" s="63" t="s">
        <v>1149</v>
      </c>
      <c r="M627" s="63" t="s">
        <v>58</v>
      </c>
      <c r="N627" s="63" t="s">
        <v>59</v>
      </c>
      <c r="O627" s="76" t="s">
        <v>1213</v>
      </c>
      <c r="P627" s="63" t="s">
        <v>1768</v>
      </c>
      <c r="Q627" s="83">
        <v>54686940</v>
      </c>
      <c r="R627" s="98">
        <v>1</v>
      </c>
      <c r="S627" s="80">
        <v>54686940</v>
      </c>
      <c r="T627" s="63" t="s">
        <v>1171</v>
      </c>
      <c r="U627" s="63" t="s">
        <v>1171</v>
      </c>
      <c r="V627" s="81" t="s">
        <v>64</v>
      </c>
      <c r="W627" s="82" t="s">
        <v>439</v>
      </c>
      <c r="X627" s="99" t="s">
        <v>1769</v>
      </c>
      <c r="Y627" s="81">
        <v>43111</v>
      </c>
      <c r="Z627" s="83">
        <v>54686940</v>
      </c>
      <c r="AA627" s="84" t="s">
        <v>1742</v>
      </c>
      <c r="AB627" s="85">
        <v>474</v>
      </c>
      <c r="AC627" s="81">
        <v>43112</v>
      </c>
      <c r="AD627" s="86">
        <v>54686940</v>
      </c>
      <c r="AE627" s="87">
        <f t="shared" si="66"/>
        <v>0</v>
      </c>
      <c r="AF627" s="85">
        <v>510</v>
      </c>
      <c r="AG627" s="81">
        <v>43129</v>
      </c>
      <c r="AH627" s="86">
        <v>54686940</v>
      </c>
      <c r="AI627" s="63" t="s">
        <v>1770</v>
      </c>
      <c r="AJ627" s="63">
        <v>203</v>
      </c>
      <c r="AK627" s="87">
        <f t="shared" si="68"/>
        <v>0</v>
      </c>
      <c r="AL627" s="86">
        <v>54686940</v>
      </c>
      <c r="AM627" s="86">
        <f t="shared" si="69"/>
        <v>0</v>
      </c>
      <c r="AN627" s="63" t="s">
        <v>1155</v>
      </c>
      <c r="AO627" s="86">
        <f t="shared" si="70"/>
        <v>0</v>
      </c>
      <c r="AP627" s="63"/>
      <c r="AQ627" s="63"/>
      <c r="AR627" s="63"/>
      <c r="AS627" s="63"/>
      <c r="AT627" s="63"/>
      <c r="AU627" s="220"/>
      <c r="AV627" s="220"/>
      <c r="AW627" s="220"/>
    </row>
    <row r="628" spans="1:49" s="221" customFormat="1" ht="342" x14ac:dyDescent="0.25">
      <c r="A628" s="63">
        <v>214</v>
      </c>
      <c r="B628" s="63" t="str">
        <f t="shared" si="67"/>
        <v>3075-214</v>
      </c>
      <c r="C628" s="76" t="s">
        <v>1141</v>
      </c>
      <c r="D628" s="76" t="s">
        <v>1142</v>
      </c>
      <c r="E628" s="76" t="s">
        <v>1424</v>
      </c>
      <c r="F628" s="76" t="s">
        <v>1175</v>
      </c>
      <c r="G628" s="77" t="s">
        <v>1176</v>
      </c>
      <c r="H628" s="78" t="s">
        <v>1425</v>
      </c>
      <c r="I628" s="76" t="s">
        <v>1147</v>
      </c>
      <c r="J628" s="76" t="s">
        <v>1148</v>
      </c>
      <c r="K628" s="76" t="s">
        <v>439</v>
      </c>
      <c r="L628" s="63" t="s">
        <v>1149</v>
      </c>
      <c r="M628" s="63" t="s">
        <v>58</v>
      </c>
      <c r="N628" s="63" t="s">
        <v>59</v>
      </c>
      <c r="O628" s="76" t="s">
        <v>1213</v>
      </c>
      <c r="P628" s="63" t="s">
        <v>1771</v>
      </c>
      <c r="Q628" s="83">
        <v>54686940</v>
      </c>
      <c r="R628" s="98">
        <v>1</v>
      </c>
      <c r="S628" s="80">
        <v>54686940</v>
      </c>
      <c r="T628" s="63" t="s">
        <v>1171</v>
      </c>
      <c r="U628" s="63" t="s">
        <v>1171</v>
      </c>
      <c r="V628" s="81" t="s">
        <v>493</v>
      </c>
      <c r="W628" s="82" t="s">
        <v>439</v>
      </c>
      <c r="X628" s="99" t="s">
        <v>1772</v>
      </c>
      <c r="Y628" s="81">
        <v>43111</v>
      </c>
      <c r="Z628" s="83">
        <v>54686940</v>
      </c>
      <c r="AA628" s="84" t="s">
        <v>1742</v>
      </c>
      <c r="AB628" s="85">
        <v>475</v>
      </c>
      <c r="AC628" s="81">
        <v>43112</v>
      </c>
      <c r="AD628" s="86">
        <v>54686940</v>
      </c>
      <c r="AE628" s="87">
        <f t="shared" si="66"/>
        <v>0</v>
      </c>
      <c r="AF628" s="85">
        <v>522</v>
      </c>
      <c r="AG628" s="81">
        <v>43132</v>
      </c>
      <c r="AH628" s="86">
        <v>54686940</v>
      </c>
      <c r="AI628" s="63" t="s">
        <v>1773</v>
      </c>
      <c r="AJ628" s="63">
        <v>339</v>
      </c>
      <c r="AK628" s="87">
        <f t="shared" si="68"/>
        <v>0</v>
      </c>
      <c r="AL628" s="86">
        <v>54686940</v>
      </c>
      <c r="AM628" s="86">
        <f t="shared" si="69"/>
        <v>0</v>
      </c>
      <c r="AN628" s="63" t="s">
        <v>1155</v>
      </c>
      <c r="AO628" s="86">
        <f t="shared" si="70"/>
        <v>0</v>
      </c>
      <c r="AP628" s="63"/>
      <c r="AQ628" s="63"/>
      <c r="AR628" s="63"/>
      <c r="AS628" s="63"/>
      <c r="AT628" s="63"/>
      <c r="AU628" s="220"/>
      <c r="AV628" s="220"/>
      <c r="AW628" s="220"/>
    </row>
    <row r="629" spans="1:49" s="221" customFormat="1" ht="342" x14ac:dyDescent="0.25">
      <c r="A629" s="63">
        <v>215</v>
      </c>
      <c r="B629" s="63" t="str">
        <f t="shared" si="67"/>
        <v>3075-215</v>
      </c>
      <c r="C629" s="76" t="s">
        <v>1141</v>
      </c>
      <c r="D629" s="76" t="s">
        <v>1142</v>
      </c>
      <c r="E629" s="76" t="s">
        <v>1424</v>
      </c>
      <c r="F629" s="76" t="s">
        <v>1175</v>
      </c>
      <c r="G629" s="77" t="s">
        <v>1176</v>
      </c>
      <c r="H629" s="78" t="s">
        <v>1425</v>
      </c>
      <c r="I629" s="76" t="s">
        <v>1147</v>
      </c>
      <c r="J629" s="76" t="s">
        <v>1148</v>
      </c>
      <c r="K629" s="76" t="s">
        <v>439</v>
      </c>
      <c r="L629" s="63" t="s">
        <v>1149</v>
      </c>
      <c r="M629" s="63" t="s">
        <v>58</v>
      </c>
      <c r="N629" s="63" t="s">
        <v>59</v>
      </c>
      <c r="O629" s="76" t="s">
        <v>1213</v>
      </c>
      <c r="P629" s="63" t="s">
        <v>1774</v>
      </c>
      <c r="Q629" s="83">
        <v>54686940</v>
      </c>
      <c r="R629" s="98">
        <v>1</v>
      </c>
      <c r="S629" s="80">
        <v>54686940</v>
      </c>
      <c r="T629" s="63" t="s">
        <v>1171</v>
      </c>
      <c r="U629" s="63" t="s">
        <v>1171</v>
      </c>
      <c r="V629" s="81" t="s">
        <v>493</v>
      </c>
      <c r="W629" s="82" t="s">
        <v>439</v>
      </c>
      <c r="X629" s="99" t="s">
        <v>1775</v>
      </c>
      <c r="Y629" s="81">
        <v>43111</v>
      </c>
      <c r="Z629" s="83">
        <v>54686940</v>
      </c>
      <c r="AA629" s="84" t="s">
        <v>1742</v>
      </c>
      <c r="AB629" s="85">
        <v>478</v>
      </c>
      <c r="AC629" s="81">
        <v>43112</v>
      </c>
      <c r="AD629" s="86">
        <v>54686940</v>
      </c>
      <c r="AE629" s="87">
        <f t="shared" si="66"/>
        <v>0</v>
      </c>
      <c r="AF629" s="85">
        <v>520</v>
      </c>
      <c r="AG629" s="81">
        <v>43132</v>
      </c>
      <c r="AH629" s="86">
        <v>54686940</v>
      </c>
      <c r="AI629" s="63" t="s">
        <v>1776</v>
      </c>
      <c r="AJ629" s="63">
        <v>335</v>
      </c>
      <c r="AK629" s="87">
        <f t="shared" si="68"/>
        <v>0</v>
      </c>
      <c r="AL629" s="86">
        <v>54686940</v>
      </c>
      <c r="AM629" s="86">
        <f t="shared" si="69"/>
        <v>0</v>
      </c>
      <c r="AN629" s="63" t="s">
        <v>1155</v>
      </c>
      <c r="AO629" s="86">
        <f t="shared" si="70"/>
        <v>0</v>
      </c>
      <c r="AP629" s="63"/>
      <c r="AQ629" s="63"/>
      <c r="AR629" s="63"/>
      <c r="AS629" s="63"/>
      <c r="AT629" s="63"/>
      <c r="AU629" s="220"/>
      <c r="AV629" s="220"/>
      <c r="AW629" s="220"/>
    </row>
    <row r="630" spans="1:49" s="221" customFormat="1" ht="342" x14ac:dyDescent="0.25">
      <c r="A630" s="63">
        <v>216</v>
      </c>
      <c r="B630" s="63" t="str">
        <f t="shared" si="67"/>
        <v>3075-216</v>
      </c>
      <c r="C630" s="76" t="s">
        <v>1141</v>
      </c>
      <c r="D630" s="76" t="s">
        <v>1142</v>
      </c>
      <c r="E630" s="76" t="s">
        <v>1424</v>
      </c>
      <c r="F630" s="76" t="s">
        <v>1175</v>
      </c>
      <c r="G630" s="77" t="s">
        <v>1176</v>
      </c>
      <c r="H630" s="78" t="s">
        <v>1425</v>
      </c>
      <c r="I630" s="76" t="s">
        <v>1147</v>
      </c>
      <c r="J630" s="76" t="s">
        <v>1148</v>
      </c>
      <c r="K630" s="76" t="s">
        <v>439</v>
      </c>
      <c r="L630" s="63" t="s">
        <v>1149</v>
      </c>
      <c r="M630" s="63" t="s">
        <v>58</v>
      </c>
      <c r="N630" s="63" t="s">
        <v>59</v>
      </c>
      <c r="O630" s="76" t="s">
        <v>1213</v>
      </c>
      <c r="P630" s="63" t="s">
        <v>1777</v>
      </c>
      <c r="Q630" s="83">
        <v>54686940</v>
      </c>
      <c r="R630" s="98">
        <v>1</v>
      </c>
      <c r="S630" s="80">
        <v>54686940</v>
      </c>
      <c r="T630" s="63" t="s">
        <v>1171</v>
      </c>
      <c r="U630" s="63" t="s">
        <v>1171</v>
      </c>
      <c r="V630" s="81" t="s">
        <v>64</v>
      </c>
      <c r="W630" s="82" t="s">
        <v>439</v>
      </c>
      <c r="X630" s="99" t="s">
        <v>1778</v>
      </c>
      <c r="Y630" s="81">
        <v>43111</v>
      </c>
      <c r="Z630" s="83">
        <v>54686940</v>
      </c>
      <c r="AA630" s="84" t="s">
        <v>1742</v>
      </c>
      <c r="AB630" s="85">
        <v>477</v>
      </c>
      <c r="AC630" s="81">
        <v>43112</v>
      </c>
      <c r="AD630" s="86">
        <v>54686940</v>
      </c>
      <c r="AE630" s="87">
        <f t="shared" si="66"/>
        <v>0</v>
      </c>
      <c r="AF630" s="85">
        <v>513</v>
      </c>
      <c r="AG630" s="81">
        <v>43129</v>
      </c>
      <c r="AH630" s="86">
        <v>54686940</v>
      </c>
      <c r="AI630" s="63" t="s">
        <v>1779</v>
      </c>
      <c r="AJ630" s="63">
        <v>204</v>
      </c>
      <c r="AK630" s="87">
        <f t="shared" si="68"/>
        <v>0</v>
      </c>
      <c r="AL630" s="86">
        <v>54686940</v>
      </c>
      <c r="AM630" s="86">
        <f t="shared" si="69"/>
        <v>0</v>
      </c>
      <c r="AN630" s="63" t="s">
        <v>1155</v>
      </c>
      <c r="AO630" s="86">
        <f t="shared" si="70"/>
        <v>0</v>
      </c>
      <c r="AP630" s="63"/>
      <c r="AQ630" s="63"/>
      <c r="AR630" s="63"/>
      <c r="AS630" s="63"/>
      <c r="AT630" s="63"/>
      <c r="AU630" s="220"/>
      <c r="AV630" s="220"/>
      <c r="AW630" s="220"/>
    </row>
    <row r="631" spans="1:49" s="221" customFormat="1" ht="185.25" x14ac:dyDescent="0.25">
      <c r="A631" s="63">
        <v>217</v>
      </c>
      <c r="B631" s="63" t="str">
        <f t="shared" si="67"/>
        <v>3075-217</v>
      </c>
      <c r="C631" s="76" t="s">
        <v>1141</v>
      </c>
      <c r="D631" s="76" t="s">
        <v>1142</v>
      </c>
      <c r="E631" s="76" t="s">
        <v>1165</v>
      </c>
      <c r="F631" s="76" t="s">
        <v>1166</v>
      </c>
      <c r="G631" s="77" t="s">
        <v>1167</v>
      </c>
      <c r="H631" s="78" t="s">
        <v>1168</v>
      </c>
      <c r="I631" s="76" t="s">
        <v>1147</v>
      </c>
      <c r="J631" s="76" t="s">
        <v>1148</v>
      </c>
      <c r="K631" s="76" t="s">
        <v>439</v>
      </c>
      <c r="L631" s="63" t="s">
        <v>1149</v>
      </c>
      <c r="M631" s="63" t="s">
        <v>58</v>
      </c>
      <c r="N631" s="63" t="s">
        <v>59</v>
      </c>
      <c r="O631" s="76" t="s">
        <v>1169</v>
      </c>
      <c r="P631" s="63" t="s">
        <v>1780</v>
      </c>
      <c r="Q631" s="79">
        <v>24984000</v>
      </c>
      <c r="R631" s="63">
        <v>1</v>
      </c>
      <c r="S631" s="80">
        <v>24984000</v>
      </c>
      <c r="T631" s="63" t="s">
        <v>1171</v>
      </c>
      <c r="U631" s="63" t="s">
        <v>1171</v>
      </c>
      <c r="V631" s="81" t="s">
        <v>411</v>
      </c>
      <c r="W631" s="82" t="s">
        <v>439</v>
      </c>
      <c r="X631" s="99" t="s">
        <v>1781</v>
      </c>
      <c r="Y631" s="81">
        <v>43111</v>
      </c>
      <c r="Z631" s="83">
        <v>24984000</v>
      </c>
      <c r="AA631" s="84" t="s">
        <v>1782</v>
      </c>
      <c r="AB631" s="85">
        <v>476</v>
      </c>
      <c r="AC631" s="81">
        <v>43112</v>
      </c>
      <c r="AD631" s="86">
        <v>24984000</v>
      </c>
      <c r="AE631" s="87">
        <f t="shared" si="66"/>
        <v>0</v>
      </c>
      <c r="AF631" s="85">
        <v>1664</v>
      </c>
      <c r="AG631" s="81">
        <v>43192</v>
      </c>
      <c r="AH631" s="86">
        <v>24984000</v>
      </c>
      <c r="AI631" s="63" t="s">
        <v>1783</v>
      </c>
      <c r="AJ631" s="63">
        <v>1689</v>
      </c>
      <c r="AK631" s="87">
        <f t="shared" si="68"/>
        <v>0</v>
      </c>
      <c r="AL631" s="86">
        <v>0</v>
      </c>
      <c r="AM631" s="86">
        <f t="shared" si="69"/>
        <v>24984000</v>
      </c>
      <c r="AN631" s="63" t="s">
        <v>1155</v>
      </c>
      <c r="AO631" s="86">
        <f t="shared" si="70"/>
        <v>0</v>
      </c>
      <c r="AP631" s="63"/>
      <c r="AQ631" s="63"/>
      <c r="AR631" s="63"/>
      <c r="AS631" s="63"/>
      <c r="AT631" s="63"/>
      <c r="AU631" s="220"/>
      <c r="AV631" s="220"/>
      <c r="AW631" s="220"/>
    </row>
    <row r="632" spans="1:49" s="221" customFormat="1" ht="171" x14ac:dyDescent="0.25">
      <c r="A632" s="63">
        <v>218</v>
      </c>
      <c r="B632" s="63" t="str">
        <f t="shared" si="67"/>
        <v>3075-218</v>
      </c>
      <c r="C632" s="76" t="s">
        <v>1141</v>
      </c>
      <c r="D632" s="76" t="s">
        <v>1142</v>
      </c>
      <c r="E632" s="76" t="s">
        <v>1174</v>
      </c>
      <c r="F632" s="76" t="s">
        <v>1175</v>
      </c>
      <c r="G632" s="77" t="s">
        <v>1176</v>
      </c>
      <c r="H632" s="78" t="s">
        <v>1177</v>
      </c>
      <c r="I632" s="76" t="s">
        <v>1147</v>
      </c>
      <c r="J632" s="76" t="s">
        <v>1148</v>
      </c>
      <c r="K632" s="76" t="s">
        <v>439</v>
      </c>
      <c r="L632" s="63" t="s">
        <v>1149</v>
      </c>
      <c r="M632" s="63" t="s">
        <v>58</v>
      </c>
      <c r="N632" s="63" t="s">
        <v>59</v>
      </c>
      <c r="O632" s="76" t="s">
        <v>1169</v>
      </c>
      <c r="P632" s="76" t="s">
        <v>1784</v>
      </c>
      <c r="Q632" s="79">
        <v>39062100</v>
      </c>
      <c r="R632" s="63">
        <v>1</v>
      </c>
      <c r="S632" s="80">
        <v>39062100</v>
      </c>
      <c r="T632" s="63" t="s">
        <v>1171</v>
      </c>
      <c r="U632" s="63" t="s">
        <v>1171</v>
      </c>
      <c r="V632" s="81" t="s">
        <v>493</v>
      </c>
      <c r="W632" s="82" t="s">
        <v>439</v>
      </c>
      <c r="X632" s="99" t="s">
        <v>1785</v>
      </c>
      <c r="Y632" s="81">
        <v>43111</v>
      </c>
      <c r="Z632" s="83">
        <v>39062100</v>
      </c>
      <c r="AA632" s="84" t="s">
        <v>1786</v>
      </c>
      <c r="AB632" s="85">
        <v>481</v>
      </c>
      <c r="AC632" s="81">
        <v>43112</v>
      </c>
      <c r="AD632" s="86">
        <v>39062100</v>
      </c>
      <c r="AE632" s="87">
        <f t="shared" si="66"/>
        <v>0</v>
      </c>
      <c r="AF632" s="85">
        <v>1013</v>
      </c>
      <c r="AG632" s="81">
        <v>43140</v>
      </c>
      <c r="AH632" s="86">
        <v>39062100</v>
      </c>
      <c r="AI632" s="63" t="s">
        <v>1787</v>
      </c>
      <c r="AJ632" s="63">
        <v>883</v>
      </c>
      <c r="AK632" s="87">
        <f t="shared" si="68"/>
        <v>0</v>
      </c>
      <c r="AL632" s="86">
        <v>39062100</v>
      </c>
      <c r="AM632" s="86">
        <f t="shared" si="69"/>
        <v>0</v>
      </c>
      <c r="AN632" s="63" t="s">
        <v>1155</v>
      </c>
      <c r="AO632" s="86">
        <f t="shared" si="70"/>
        <v>0</v>
      </c>
      <c r="AP632" s="63"/>
      <c r="AQ632" s="63"/>
      <c r="AR632" s="63"/>
      <c r="AS632" s="63"/>
      <c r="AT632" s="63"/>
      <c r="AU632" s="220"/>
      <c r="AV632" s="220"/>
      <c r="AW632" s="220"/>
    </row>
    <row r="633" spans="1:49" s="221" customFormat="1" ht="156.75" x14ac:dyDescent="0.25">
      <c r="A633" s="63">
        <v>219</v>
      </c>
      <c r="B633" s="63" t="str">
        <f t="shared" si="67"/>
        <v>3075-219</v>
      </c>
      <c r="C633" s="76" t="s">
        <v>1141</v>
      </c>
      <c r="D633" s="76" t="s">
        <v>1142</v>
      </c>
      <c r="E633" s="76" t="s">
        <v>1174</v>
      </c>
      <c r="F633" s="76" t="s">
        <v>1175</v>
      </c>
      <c r="G633" s="77" t="s">
        <v>1176</v>
      </c>
      <c r="H633" s="78" t="s">
        <v>1177</v>
      </c>
      <c r="I633" s="76" t="s">
        <v>1147</v>
      </c>
      <c r="J633" s="76" t="s">
        <v>1148</v>
      </c>
      <c r="K633" s="76" t="s">
        <v>439</v>
      </c>
      <c r="L633" s="63" t="s">
        <v>1149</v>
      </c>
      <c r="M633" s="63" t="s">
        <v>58</v>
      </c>
      <c r="N633" s="63" t="s">
        <v>59</v>
      </c>
      <c r="O633" s="76" t="s">
        <v>1169</v>
      </c>
      <c r="P633" s="76" t="s">
        <v>1788</v>
      </c>
      <c r="Q633" s="79">
        <v>39062100</v>
      </c>
      <c r="R633" s="63">
        <v>1</v>
      </c>
      <c r="S633" s="80">
        <v>39062100</v>
      </c>
      <c r="T633" s="63" t="s">
        <v>1171</v>
      </c>
      <c r="U633" s="63" t="s">
        <v>1171</v>
      </c>
      <c r="V633" s="81" t="s">
        <v>493</v>
      </c>
      <c r="W633" s="82" t="s">
        <v>439</v>
      </c>
      <c r="X633" s="99" t="s">
        <v>1789</v>
      </c>
      <c r="Y633" s="81">
        <v>43111</v>
      </c>
      <c r="Z633" s="83">
        <v>39062100</v>
      </c>
      <c r="AA633" s="84" t="s">
        <v>1786</v>
      </c>
      <c r="AB633" s="85">
        <v>482</v>
      </c>
      <c r="AC633" s="81">
        <v>43112</v>
      </c>
      <c r="AD633" s="86">
        <v>39062100</v>
      </c>
      <c r="AE633" s="87">
        <f t="shared" si="66"/>
        <v>0</v>
      </c>
      <c r="AF633" s="85">
        <v>1027</v>
      </c>
      <c r="AG633" s="81">
        <v>43140</v>
      </c>
      <c r="AH633" s="86">
        <v>39062100</v>
      </c>
      <c r="AI633" s="63" t="s">
        <v>1790</v>
      </c>
      <c r="AJ633" s="63">
        <v>757</v>
      </c>
      <c r="AK633" s="87">
        <f t="shared" si="68"/>
        <v>0</v>
      </c>
      <c r="AL633" s="86">
        <v>39062100</v>
      </c>
      <c r="AM633" s="86">
        <f t="shared" si="69"/>
        <v>0</v>
      </c>
      <c r="AN633" s="63" t="s">
        <v>1155</v>
      </c>
      <c r="AO633" s="86">
        <f t="shared" si="70"/>
        <v>0</v>
      </c>
      <c r="AP633" s="63"/>
      <c r="AQ633" s="63"/>
      <c r="AR633" s="63"/>
      <c r="AS633" s="63"/>
      <c r="AT633" s="63"/>
      <c r="AU633" s="220"/>
      <c r="AV633" s="220"/>
      <c r="AW633" s="220"/>
    </row>
    <row r="634" spans="1:49" s="221" customFormat="1" ht="185.25" x14ac:dyDescent="0.25">
      <c r="A634" s="63">
        <v>220</v>
      </c>
      <c r="B634" s="63" t="str">
        <f t="shared" si="67"/>
        <v>3075-220</v>
      </c>
      <c r="C634" s="76" t="s">
        <v>1141</v>
      </c>
      <c r="D634" s="76" t="s">
        <v>1142</v>
      </c>
      <c r="E634" s="76" t="s">
        <v>1174</v>
      </c>
      <c r="F634" s="76" t="s">
        <v>1175</v>
      </c>
      <c r="G634" s="77" t="s">
        <v>1176</v>
      </c>
      <c r="H634" s="78" t="s">
        <v>1177</v>
      </c>
      <c r="I634" s="76" t="s">
        <v>1147</v>
      </c>
      <c r="J634" s="76" t="s">
        <v>1148</v>
      </c>
      <c r="K634" s="76" t="s">
        <v>439</v>
      </c>
      <c r="L634" s="63" t="s">
        <v>1149</v>
      </c>
      <c r="M634" s="63" t="s">
        <v>58</v>
      </c>
      <c r="N634" s="63" t="s">
        <v>59</v>
      </c>
      <c r="O634" s="76" t="s">
        <v>1169</v>
      </c>
      <c r="P634" s="76" t="s">
        <v>1791</v>
      </c>
      <c r="Q634" s="79">
        <v>420100300</v>
      </c>
      <c r="R634" s="63">
        <v>1</v>
      </c>
      <c r="S634" s="80">
        <v>420100300</v>
      </c>
      <c r="T634" s="63" t="s">
        <v>1171</v>
      </c>
      <c r="U634" s="63" t="s">
        <v>1171</v>
      </c>
      <c r="V634" s="81" t="s">
        <v>724</v>
      </c>
      <c r="W634" s="82" t="s">
        <v>439</v>
      </c>
      <c r="X634" s="63" t="s">
        <v>1792</v>
      </c>
      <c r="Y634" s="81">
        <v>43115</v>
      </c>
      <c r="Z634" s="83">
        <v>420100300</v>
      </c>
      <c r="AA634" s="84" t="s">
        <v>1786</v>
      </c>
      <c r="AB634" s="85">
        <v>492</v>
      </c>
      <c r="AC634" s="81">
        <v>43116</v>
      </c>
      <c r="AD634" s="86">
        <v>420100300</v>
      </c>
      <c r="AE634" s="87">
        <f t="shared" si="66"/>
        <v>0</v>
      </c>
      <c r="AF634" s="85">
        <v>1496</v>
      </c>
      <c r="AG634" s="81">
        <v>43161</v>
      </c>
      <c r="AH634" s="86">
        <v>420100300</v>
      </c>
      <c r="AI634" s="63" t="s">
        <v>1793</v>
      </c>
      <c r="AJ634" s="63">
        <v>1463</v>
      </c>
      <c r="AK634" s="87">
        <f t="shared" si="68"/>
        <v>0</v>
      </c>
      <c r="AL634" s="86">
        <v>420100300</v>
      </c>
      <c r="AM634" s="86">
        <f t="shared" si="69"/>
        <v>0</v>
      </c>
      <c r="AN634" s="63" t="s">
        <v>1155</v>
      </c>
      <c r="AO634" s="86">
        <f t="shared" si="70"/>
        <v>0</v>
      </c>
      <c r="AP634" s="63"/>
      <c r="AQ634" s="63"/>
      <c r="AR634" s="63"/>
      <c r="AS634" s="63"/>
      <c r="AT634" s="63"/>
      <c r="AU634" s="220"/>
      <c r="AV634" s="220"/>
      <c r="AW634" s="220"/>
    </row>
    <row r="635" spans="1:49" s="221" customFormat="1" ht="171" x14ac:dyDescent="0.25">
      <c r="A635" s="63">
        <v>221</v>
      </c>
      <c r="B635" s="63" t="str">
        <f t="shared" si="67"/>
        <v>3075-221</v>
      </c>
      <c r="C635" s="76" t="s">
        <v>1141</v>
      </c>
      <c r="D635" s="76" t="s">
        <v>1142</v>
      </c>
      <c r="E635" s="76" t="s">
        <v>1174</v>
      </c>
      <c r="F635" s="76" t="s">
        <v>1175</v>
      </c>
      <c r="G635" s="77" t="s">
        <v>1176</v>
      </c>
      <c r="H635" s="78" t="s">
        <v>1177</v>
      </c>
      <c r="I635" s="76" t="s">
        <v>1147</v>
      </c>
      <c r="J635" s="76" t="s">
        <v>1148</v>
      </c>
      <c r="K635" s="76" t="s">
        <v>439</v>
      </c>
      <c r="L635" s="63" t="s">
        <v>1149</v>
      </c>
      <c r="M635" s="63" t="s">
        <v>58</v>
      </c>
      <c r="N635" s="63" t="s">
        <v>59</v>
      </c>
      <c r="O635" s="76" t="s">
        <v>1169</v>
      </c>
      <c r="P635" s="76" t="s">
        <v>1794</v>
      </c>
      <c r="Q635" s="79">
        <v>25211940</v>
      </c>
      <c r="R635" s="63">
        <v>1</v>
      </c>
      <c r="S635" s="80">
        <f>25211940-25211940</f>
        <v>0</v>
      </c>
      <c r="T635" s="63"/>
      <c r="U635" s="63"/>
      <c r="V635" s="81"/>
      <c r="W635" s="82"/>
      <c r="X635" s="63" t="s">
        <v>1795</v>
      </c>
      <c r="Y635" s="81">
        <v>43115</v>
      </c>
      <c r="Z635" s="83">
        <f>25211940-25211940</f>
        <v>0</v>
      </c>
      <c r="AA635" s="84" t="s">
        <v>1786</v>
      </c>
      <c r="AB635" s="85"/>
      <c r="AC635" s="81">
        <v>43116</v>
      </c>
      <c r="AD635" s="86">
        <v>0</v>
      </c>
      <c r="AE635" s="87">
        <f t="shared" si="66"/>
        <v>0</v>
      </c>
      <c r="AF635" s="85"/>
      <c r="AG635" s="81"/>
      <c r="AH635" s="86"/>
      <c r="AI635" s="63"/>
      <c r="AJ635" s="63"/>
      <c r="AK635" s="87">
        <f t="shared" si="68"/>
        <v>0</v>
      </c>
      <c r="AL635" s="86"/>
      <c r="AM635" s="86">
        <f t="shared" si="69"/>
        <v>0</v>
      </c>
      <c r="AN635" s="63" t="s">
        <v>1155</v>
      </c>
      <c r="AO635" s="86">
        <f t="shared" si="70"/>
        <v>0</v>
      </c>
      <c r="AP635" s="63"/>
      <c r="AQ635" s="63"/>
      <c r="AR635" s="63" t="s">
        <v>1157</v>
      </c>
      <c r="AS635" s="63"/>
      <c r="AT635" s="63"/>
      <c r="AU635" s="220"/>
      <c r="AV635" s="220"/>
      <c r="AW635" s="220"/>
    </row>
    <row r="636" spans="1:49" s="221" customFormat="1" ht="171" x14ac:dyDescent="0.25">
      <c r="A636" s="63">
        <v>222</v>
      </c>
      <c r="B636" s="63" t="str">
        <f t="shared" si="67"/>
        <v>3075-222</v>
      </c>
      <c r="C636" s="76" t="s">
        <v>1141</v>
      </c>
      <c r="D636" s="76" t="s">
        <v>1142</v>
      </c>
      <c r="E636" s="76" t="s">
        <v>1174</v>
      </c>
      <c r="F636" s="76" t="s">
        <v>1175</v>
      </c>
      <c r="G636" s="77" t="s">
        <v>1176</v>
      </c>
      <c r="H636" s="78" t="s">
        <v>1177</v>
      </c>
      <c r="I636" s="76" t="s">
        <v>1147</v>
      </c>
      <c r="J636" s="76" t="s">
        <v>1148</v>
      </c>
      <c r="K636" s="76" t="s">
        <v>439</v>
      </c>
      <c r="L636" s="63" t="s">
        <v>1149</v>
      </c>
      <c r="M636" s="63" t="s">
        <v>58</v>
      </c>
      <c r="N636" s="63" t="s">
        <v>59</v>
      </c>
      <c r="O636" s="76" t="s">
        <v>1169</v>
      </c>
      <c r="P636" s="76" t="s">
        <v>1796</v>
      </c>
      <c r="Q636" s="79">
        <v>30003100</v>
      </c>
      <c r="R636" s="63">
        <v>1</v>
      </c>
      <c r="S636" s="80">
        <v>30003100</v>
      </c>
      <c r="T636" s="63" t="s">
        <v>1171</v>
      </c>
      <c r="U636" s="63" t="s">
        <v>1171</v>
      </c>
      <c r="V636" s="81" t="s">
        <v>64</v>
      </c>
      <c r="W636" s="82" t="s">
        <v>439</v>
      </c>
      <c r="X636" s="63" t="s">
        <v>1797</v>
      </c>
      <c r="Y636" s="81">
        <v>43115</v>
      </c>
      <c r="Z636" s="83">
        <v>30003100</v>
      </c>
      <c r="AA636" s="84" t="s">
        <v>1786</v>
      </c>
      <c r="AB636" s="85">
        <v>494</v>
      </c>
      <c r="AC636" s="81">
        <v>43116</v>
      </c>
      <c r="AD636" s="86">
        <v>30003100</v>
      </c>
      <c r="AE636" s="87">
        <f t="shared" si="66"/>
        <v>0</v>
      </c>
      <c r="AF636" s="85">
        <v>515</v>
      </c>
      <c r="AG636" s="81">
        <v>43131</v>
      </c>
      <c r="AH636" s="86">
        <v>30003100</v>
      </c>
      <c r="AI636" s="63" t="s">
        <v>1798</v>
      </c>
      <c r="AJ636" s="63">
        <v>220</v>
      </c>
      <c r="AK636" s="87">
        <f t="shared" si="68"/>
        <v>0</v>
      </c>
      <c r="AL636" s="86">
        <v>30003100</v>
      </c>
      <c r="AM636" s="86">
        <f t="shared" si="69"/>
        <v>0</v>
      </c>
      <c r="AN636" s="63" t="s">
        <v>1155</v>
      </c>
      <c r="AO636" s="86">
        <f t="shared" si="70"/>
        <v>0</v>
      </c>
      <c r="AP636" s="63"/>
      <c r="AQ636" s="63"/>
      <c r="AR636" s="63"/>
      <c r="AS636" s="63"/>
      <c r="AT636" s="63"/>
      <c r="AU636" s="220"/>
      <c r="AV636" s="220"/>
      <c r="AW636" s="220"/>
    </row>
    <row r="637" spans="1:49" s="221" customFormat="1" ht="171" x14ac:dyDescent="0.25">
      <c r="A637" s="63">
        <v>223</v>
      </c>
      <c r="B637" s="63" t="str">
        <f t="shared" si="67"/>
        <v>3075-223</v>
      </c>
      <c r="C637" s="76" t="s">
        <v>1141</v>
      </c>
      <c r="D637" s="76" t="s">
        <v>1142</v>
      </c>
      <c r="E637" s="76" t="s">
        <v>1174</v>
      </c>
      <c r="F637" s="76" t="s">
        <v>1175</v>
      </c>
      <c r="G637" s="77" t="s">
        <v>1176</v>
      </c>
      <c r="H637" s="78" t="s">
        <v>1177</v>
      </c>
      <c r="I637" s="76" t="s">
        <v>1147</v>
      </c>
      <c r="J637" s="76" t="s">
        <v>1148</v>
      </c>
      <c r="K637" s="76" t="s">
        <v>439</v>
      </c>
      <c r="L637" s="63" t="s">
        <v>1149</v>
      </c>
      <c r="M637" s="63" t="s">
        <v>58</v>
      </c>
      <c r="N637" s="63" t="s">
        <v>59</v>
      </c>
      <c r="O637" s="76" t="s">
        <v>1169</v>
      </c>
      <c r="P637" s="76" t="s">
        <v>1799</v>
      </c>
      <c r="Q637" s="79">
        <v>39062100</v>
      </c>
      <c r="R637" s="63">
        <v>1</v>
      </c>
      <c r="S637" s="80">
        <v>39062100</v>
      </c>
      <c r="T637" s="63" t="s">
        <v>1171</v>
      </c>
      <c r="U637" s="63" t="s">
        <v>1171</v>
      </c>
      <c r="V637" s="81" t="s">
        <v>493</v>
      </c>
      <c r="W637" s="82" t="s">
        <v>439</v>
      </c>
      <c r="X637" s="63" t="s">
        <v>1800</v>
      </c>
      <c r="Y637" s="81">
        <v>43115</v>
      </c>
      <c r="Z637" s="83">
        <v>39062100</v>
      </c>
      <c r="AA637" s="84" t="s">
        <v>1786</v>
      </c>
      <c r="AB637" s="85">
        <v>496</v>
      </c>
      <c r="AC637" s="81">
        <v>43116</v>
      </c>
      <c r="AD637" s="86">
        <v>39062100</v>
      </c>
      <c r="AE637" s="87">
        <f t="shared" si="66"/>
        <v>0</v>
      </c>
      <c r="AF637" s="85">
        <v>1361</v>
      </c>
      <c r="AG637" s="81">
        <v>43146</v>
      </c>
      <c r="AH637" s="86">
        <v>39062100</v>
      </c>
      <c r="AI637" s="63" t="s">
        <v>1801</v>
      </c>
      <c r="AJ637" s="63">
        <v>1266</v>
      </c>
      <c r="AK637" s="87">
        <f t="shared" si="68"/>
        <v>0</v>
      </c>
      <c r="AL637" s="86">
        <v>39062100</v>
      </c>
      <c r="AM637" s="86">
        <f t="shared" si="69"/>
        <v>0</v>
      </c>
      <c r="AN637" s="63" t="s">
        <v>1155</v>
      </c>
      <c r="AO637" s="86">
        <f t="shared" si="70"/>
        <v>0</v>
      </c>
      <c r="AP637" s="63"/>
      <c r="AQ637" s="63"/>
      <c r="AR637" s="63"/>
      <c r="AS637" s="63"/>
      <c r="AT637" s="63"/>
      <c r="AU637" s="220"/>
      <c r="AV637" s="220"/>
      <c r="AW637" s="220"/>
    </row>
    <row r="638" spans="1:49" s="221" customFormat="1" ht="199.5" x14ac:dyDescent="0.25">
      <c r="A638" s="63">
        <v>224</v>
      </c>
      <c r="B638" s="63" t="str">
        <f t="shared" si="67"/>
        <v>3075-224</v>
      </c>
      <c r="C638" s="76" t="s">
        <v>1141</v>
      </c>
      <c r="D638" s="76" t="s">
        <v>1142</v>
      </c>
      <c r="E638" s="76" t="s">
        <v>1174</v>
      </c>
      <c r="F638" s="76" t="s">
        <v>1175</v>
      </c>
      <c r="G638" s="77" t="s">
        <v>1176</v>
      </c>
      <c r="H638" s="78" t="s">
        <v>1177</v>
      </c>
      <c r="I638" s="76" t="s">
        <v>1147</v>
      </c>
      <c r="J638" s="76" t="s">
        <v>1148</v>
      </c>
      <c r="K638" s="76" t="s">
        <v>439</v>
      </c>
      <c r="L638" s="63" t="s">
        <v>1149</v>
      </c>
      <c r="M638" s="63" t="s">
        <v>58</v>
      </c>
      <c r="N638" s="63" t="s">
        <v>59</v>
      </c>
      <c r="O638" s="76" t="s">
        <v>1169</v>
      </c>
      <c r="P638" s="76" t="s">
        <v>1802</v>
      </c>
      <c r="Q638" s="79">
        <v>16367330</v>
      </c>
      <c r="R638" s="63">
        <v>1</v>
      </c>
      <c r="S638" s="80">
        <v>16367330</v>
      </c>
      <c r="T638" s="63" t="s">
        <v>1171</v>
      </c>
      <c r="U638" s="63" t="s">
        <v>1171</v>
      </c>
      <c r="V638" s="81" t="s">
        <v>64</v>
      </c>
      <c r="W638" s="82" t="s">
        <v>439</v>
      </c>
      <c r="X638" s="63" t="s">
        <v>1803</v>
      </c>
      <c r="Y638" s="81">
        <v>43115</v>
      </c>
      <c r="Z638" s="83">
        <v>16367330</v>
      </c>
      <c r="AA638" s="84" t="s">
        <v>1786</v>
      </c>
      <c r="AB638" s="85">
        <v>497</v>
      </c>
      <c r="AC638" s="81">
        <v>43116</v>
      </c>
      <c r="AD638" s="86">
        <v>16367330</v>
      </c>
      <c r="AE638" s="87">
        <f t="shared" si="66"/>
        <v>0</v>
      </c>
      <c r="AF638" s="85">
        <v>516</v>
      </c>
      <c r="AG638" s="81">
        <v>43131</v>
      </c>
      <c r="AH638" s="86">
        <v>16367330</v>
      </c>
      <c r="AI638" s="63" t="s">
        <v>1804</v>
      </c>
      <c r="AJ638" s="63">
        <v>221</v>
      </c>
      <c r="AK638" s="87">
        <f t="shared" si="68"/>
        <v>0</v>
      </c>
      <c r="AL638" s="86">
        <v>16367330</v>
      </c>
      <c r="AM638" s="86">
        <f t="shared" si="69"/>
        <v>0</v>
      </c>
      <c r="AN638" s="63" t="s">
        <v>1155</v>
      </c>
      <c r="AO638" s="86">
        <f t="shared" si="70"/>
        <v>0</v>
      </c>
      <c r="AP638" s="63"/>
      <c r="AQ638" s="63"/>
      <c r="AR638" s="63"/>
      <c r="AS638" s="63"/>
      <c r="AT638" s="63"/>
      <c r="AU638" s="220"/>
      <c r="AV638" s="220"/>
      <c r="AW638" s="220"/>
    </row>
    <row r="639" spans="1:49" s="221" customFormat="1" ht="156.75" x14ac:dyDescent="0.25">
      <c r="A639" s="63">
        <v>225</v>
      </c>
      <c r="B639" s="63" t="str">
        <f t="shared" si="67"/>
        <v>3075-225</v>
      </c>
      <c r="C639" s="76" t="s">
        <v>1141</v>
      </c>
      <c r="D639" s="76" t="s">
        <v>1142</v>
      </c>
      <c r="E639" s="76" t="s">
        <v>1174</v>
      </c>
      <c r="F639" s="76" t="s">
        <v>1175</v>
      </c>
      <c r="G639" s="77" t="s">
        <v>1176</v>
      </c>
      <c r="H639" s="78" t="s">
        <v>1177</v>
      </c>
      <c r="I639" s="76" t="s">
        <v>1147</v>
      </c>
      <c r="J639" s="76" t="s">
        <v>1148</v>
      </c>
      <c r="K639" s="76" t="s">
        <v>439</v>
      </c>
      <c r="L639" s="63" t="s">
        <v>1149</v>
      </c>
      <c r="M639" s="63" t="s">
        <v>58</v>
      </c>
      <c r="N639" s="63" t="s">
        <v>59</v>
      </c>
      <c r="O639" s="76" t="s">
        <v>1169</v>
      </c>
      <c r="P639" s="76" t="s">
        <v>1805</v>
      </c>
      <c r="Q639" s="79">
        <v>39062100</v>
      </c>
      <c r="R639" s="63">
        <v>1</v>
      </c>
      <c r="S639" s="80">
        <v>39062100</v>
      </c>
      <c r="T639" s="63" t="s">
        <v>1171</v>
      </c>
      <c r="U639" s="63" t="s">
        <v>1171</v>
      </c>
      <c r="V639" s="81" t="s">
        <v>493</v>
      </c>
      <c r="W639" s="82" t="s">
        <v>439</v>
      </c>
      <c r="X639" s="63" t="s">
        <v>1806</v>
      </c>
      <c r="Y639" s="81">
        <v>43115</v>
      </c>
      <c r="Z639" s="83">
        <v>39062100</v>
      </c>
      <c r="AA639" s="84" t="s">
        <v>1786</v>
      </c>
      <c r="AB639" s="85">
        <v>498</v>
      </c>
      <c r="AC639" s="81">
        <v>43116</v>
      </c>
      <c r="AD639" s="86">
        <v>39062100</v>
      </c>
      <c r="AE639" s="87">
        <f t="shared" si="66"/>
        <v>0</v>
      </c>
      <c r="AF639" s="85">
        <v>998</v>
      </c>
      <c r="AG639" s="81">
        <v>43140</v>
      </c>
      <c r="AH639" s="86">
        <v>39062100</v>
      </c>
      <c r="AI639" s="63" t="s">
        <v>1807</v>
      </c>
      <c r="AJ639" s="63">
        <v>606</v>
      </c>
      <c r="AK639" s="87">
        <f t="shared" si="68"/>
        <v>0</v>
      </c>
      <c r="AL639" s="86">
        <v>39062100</v>
      </c>
      <c r="AM639" s="86">
        <f t="shared" si="69"/>
        <v>0</v>
      </c>
      <c r="AN639" s="63" t="s">
        <v>1155</v>
      </c>
      <c r="AO639" s="86">
        <f t="shared" si="70"/>
        <v>0</v>
      </c>
      <c r="AP639" s="63"/>
      <c r="AQ639" s="63"/>
      <c r="AR639" s="63"/>
      <c r="AS639" s="63"/>
      <c r="AT639" s="63"/>
      <c r="AU639" s="220"/>
      <c r="AV639" s="220"/>
      <c r="AW639" s="220"/>
    </row>
    <row r="640" spans="1:49" s="221" customFormat="1" ht="156.75" x14ac:dyDescent="0.25">
      <c r="A640" s="63">
        <v>226</v>
      </c>
      <c r="B640" s="63" t="str">
        <f t="shared" si="67"/>
        <v>3075-226</v>
      </c>
      <c r="C640" s="76" t="s">
        <v>1141</v>
      </c>
      <c r="D640" s="76" t="s">
        <v>1142</v>
      </c>
      <c r="E640" s="76" t="s">
        <v>1174</v>
      </c>
      <c r="F640" s="76" t="s">
        <v>1175</v>
      </c>
      <c r="G640" s="77" t="s">
        <v>1176</v>
      </c>
      <c r="H640" s="78" t="s">
        <v>1177</v>
      </c>
      <c r="I640" s="76" t="s">
        <v>1147</v>
      </c>
      <c r="J640" s="76" t="s">
        <v>1148</v>
      </c>
      <c r="K640" s="76" t="s">
        <v>439</v>
      </c>
      <c r="L640" s="63" t="s">
        <v>1149</v>
      </c>
      <c r="M640" s="63" t="s">
        <v>58</v>
      </c>
      <c r="N640" s="63" t="s">
        <v>59</v>
      </c>
      <c r="O640" s="76" t="s">
        <v>1169</v>
      </c>
      <c r="P640" s="76" t="s">
        <v>1808</v>
      </c>
      <c r="Q640" s="79">
        <v>39062100</v>
      </c>
      <c r="R640" s="63">
        <v>1</v>
      </c>
      <c r="S640" s="80">
        <v>39062100</v>
      </c>
      <c r="T640" s="63" t="s">
        <v>1171</v>
      </c>
      <c r="U640" s="63" t="s">
        <v>1171</v>
      </c>
      <c r="V640" s="81" t="s">
        <v>493</v>
      </c>
      <c r="W640" s="82" t="s">
        <v>439</v>
      </c>
      <c r="X640" s="63" t="s">
        <v>1809</v>
      </c>
      <c r="Y640" s="81">
        <v>43115</v>
      </c>
      <c r="Z640" s="83">
        <v>39062100</v>
      </c>
      <c r="AA640" s="84" t="s">
        <v>1786</v>
      </c>
      <c r="AB640" s="85">
        <v>503</v>
      </c>
      <c r="AC640" s="81">
        <v>43116</v>
      </c>
      <c r="AD640" s="86">
        <v>39062100</v>
      </c>
      <c r="AE640" s="87">
        <f t="shared" si="66"/>
        <v>0</v>
      </c>
      <c r="AF640" s="85">
        <v>752</v>
      </c>
      <c r="AG640" s="81">
        <v>43137</v>
      </c>
      <c r="AH640" s="86">
        <v>39062100</v>
      </c>
      <c r="AI640" s="63" t="s">
        <v>1810</v>
      </c>
      <c r="AJ640" s="63">
        <v>520</v>
      </c>
      <c r="AK640" s="87">
        <f t="shared" si="68"/>
        <v>0</v>
      </c>
      <c r="AL640" s="86">
        <v>39062100</v>
      </c>
      <c r="AM640" s="86">
        <f t="shared" si="69"/>
        <v>0</v>
      </c>
      <c r="AN640" s="63" t="s">
        <v>1155</v>
      </c>
      <c r="AO640" s="86">
        <f t="shared" si="70"/>
        <v>0</v>
      </c>
      <c r="AP640" s="63"/>
      <c r="AQ640" s="63"/>
      <c r="AR640" s="63"/>
      <c r="AS640" s="63"/>
      <c r="AT640" s="63"/>
      <c r="AU640" s="220"/>
      <c r="AV640" s="220"/>
      <c r="AW640" s="220"/>
    </row>
    <row r="641" spans="1:49" s="221" customFormat="1" ht="156.75" x14ac:dyDescent="0.25">
      <c r="A641" s="63">
        <v>227</v>
      </c>
      <c r="B641" s="63" t="str">
        <f t="shared" si="67"/>
        <v>3075-227</v>
      </c>
      <c r="C641" s="76" t="s">
        <v>1141</v>
      </c>
      <c r="D641" s="76" t="s">
        <v>1142</v>
      </c>
      <c r="E641" s="76" t="s">
        <v>1174</v>
      </c>
      <c r="F641" s="76" t="s">
        <v>1175</v>
      </c>
      <c r="G641" s="77" t="s">
        <v>1176</v>
      </c>
      <c r="H641" s="78" t="s">
        <v>1177</v>
      </c>
      <c r="I641" s="76" t="s">
        <v>1147</v>
      </c>
      <c r="J641" s="76" t="s">
        <v>1148</v>
      </c>
      <c r="K641" s="76" t="s">
        <v>439</v>
      </c>
      <c r="L641" s="63" t="s">
        <v>1149</v>
      </c>
      <c r="M641" s="63" t="s">
        <v>58</v>
      </c>
      <c r="N641" s="63" t="s">
        <v>59</v>
      </c>
      <c r="O641" s="76" t="s">
        <v>1169</v>
      </c>
      <c r="P641" s="76" t="s">
        <v>1811</v>
      </c>
      <c r="Q641" s="79">
        <v>39062100</v>
      </c>
      <c r="R641" s="63">
        <v>1</v>
      </c>
      <c r="S641" s="80">
        <v>39062100</v>
      </c>
      <c r="T641" s="63" t="s">
        <v>1171</v>
      </c>
      <c r="U641" s="63" t="s">
        <v>1171</v>
      </c>
      <c r="V641" s="81" t="s">
        <v>493</v>
      </c>
      <c r="W641" s="82" t="s">
        <v>439</v>
      </c>
      <c r="X641" s="63" t="s">
        <v>1812</v>
      </c>
      <c r="Y641" s="81">
        <v>43115</v>
      </c>
      <c r="Z641" s="83">
        <v>39062100</v>
      </c>
      <c r="AA641" s="84" t="s">
        <v>1786</v>
      </c>
      <c r="AB641" s="85">
        <v>504</v>
      </c>
      <c r="AC641" s="81">
        <v>43116</v>
      </c>
      <c r="AD641" s="86">
        <v>39062100</v>
      </c>
      <c r="AE641" s="87">
        <f t="shared" si="66"/>
        <v>0</v>
      </c>
      <c r="AF641" s="85">
        <v>517</v>
      </c>
      <c r="AG641" s="81">
        <v>43132</v>
      </c>
      <c r="AH641" s="86">
        <v>39062100</v>
      </c>
      <c r="AI641" s="63" t="s">
        <v>1813</v>
      </c>
      <c r="AJ641" s="63">
        <v>342</v>
      </c>
      <c r="AK641" s="87">
        <f t="shared" si="68"/>
        <v>0</v>
      </c>
      <c r="AL641" s="86">
        <v>39062100</v>
      </c>
      <c r="AM641" s="86">
        <f t="shared" si="69"/>
        <v>0</v>
      </c>
      <c r="AN641" s="63" t="s">
        <v>1155</v>
      </c>
      <c r="AO641" s="86">
        <f t="shared" si="70"/>
        <v>0</v>
      </c>
      <c r="AP641" s="63"/>
      <c r="AQ641" s="63"/>
      <c r="AR641" s="63"/>
      <c r="AS641" s="63"/>
      <c r="AT641" s="63"/>
      <c r="AU641" s="220"/>
      <c r="AV641" s="220"/>
      <c r="AW641" s="220"/>
    </row>
    <row r="642" spans="1:49" s="221" customFormat="1" ht="128.25" x14ac:dyDescent="0.25">
      <c r="A642" s="63">
        <v>228</v>
      </c>
      <c r="B642" s="63" t="str">
        <f t="shared" si="67"/>
        <v>3075-228</v>
      </c>
      <c r="C642" s="76" t="s">
        <v>1141</v>
      </c>
      <c r="D642" s="76" t="s">
        <v>1142</v>
      </c>
      <c r="E642" s="76" t="s">
        <v>1165</v>
      </c>
      <c r="F642" s="76" t="s">
        <v>1166</v>
      </c>
      <c r="G642" s="77" t="s">
        <v>1167</v>
      </c>
      <c r="H642" s="78" t="s">
        <v>1168</v>
      </c>
      <c r="I642" s="76" t="s">
        <v>1147</v>
      </c>
      <c r="J642" s="76" t="s">
        <v>1148</v>
      </c>
      <c r="K642" s="76" t="s">
        <v>439</v>
      </c>
      <c r="L642" s="63" t="s">
        <v>1149</v>
      </c>
      <c r="M642" s="63" t="s">
        <v>58</v>
      </c>
      <c r="N642" s="63" t="s">
        <v>59</v>
      </c>
      <c r="O642" s="76" t="s">
        <v>1169</v>
      </c>
      <c r="P642" s="63" t="s">
        <v>1814</v>
      </c>
      <c r="Q642" s="79">
        <v>113366000</v>
      </c>
      <c r="R642" s="63">
        <v>1</v>
      </c>
      <c r="S642" s="80">
        <v>113366000</v>
      </c>
      <c r="T642" s="63" t="s">
        <v>1171</v>
      </c>
      <c r="U642" s="63" t="s">
        <v>1171</v>
      </c>
      <c r="V642" s="81" t="s">
        <v>493</v>
      </c>
      <c r="W642" s="82" t="s">
        <v>439</v>
      </c>
      <c r="X642" s="63" t="s">
        <v>1815</v>
      </c>
      <c r="Y642" s="81">
        <v>43115</v>
      </c>
      <c r="Z642" s="83">
        <v>113366000</v>
      </c>
      <c r="AA642" s="84" t="s">
        <v>1782</v>
      </c>
      <c r="AB642" s="85">
        <v>505</v>
      </c>
      <c r="AC642" s="81">
        <v>43116</v>
      </c>
      <c r="AD642" s="86">
        <v>113366000</v>
      </c>
      <c r="AE642" s="87">
        <f t="shared" si="66"/>
        <v>0</v>
      </c>
      <c r="AF642" s="85">
        <v>999</v>
      </c>
      <c r="AG642" s="81">
        <v>43140</v>
      </c>
      <c r="AH642" s="86">
        <v>113366000</v>
      </c>
      <c r="AI642" s="63" t="s">
        <v>1816</v>
      </c>
      <c r="AJ642" s="63">
        <v>605</v>
      </c>
      <c r="AK642" s="87">
        <f t="shared" si="68"/>
        <v>0</v>
      </c>
      <c r="AL642" s="86">
        <v>113366000</v>
      </c>
      <c r="AM642" s="86">
        <f t="shared" si="69"/>
        <v>0</v>
      </c>
      <c r="AN642" s="63" t="s">
        <v>1155</v>
      </c>
      <c r="AO642" s="86">
        <f t="shared" si="70"/>
        <v>0</v>
      </c>
      <c r="AP642" s="63"/>
      <c r="AQ642" s="63"/>
      <c r="AR642" s="63"/>
      <c r="AS642" s="63"/>
      <c r="AT642" s="63"/>
      <c r="AU642" s="220"/>
      <c r="AV642" s="220"/>
      <c r="AW642" s="220"/>
    </row>
    <row r="643" spans="1:49" s="221" customFormat="1" ht="342" x14ac:dyDescent="0.25">
      <c r="A643" s="63">
        <v>229</v>
      </c>
      <c r="B643" s="63" t="str">
        <f t="shared" si="67"/>
        <v>3075-229</v>
      </c>
      <c r="C643" s="76" t="s">
        <v>1141</v>
      </c>
      <c r="D643" s="76" t="s">
        <v>1142</v>
      </c>
      <c r="E643" s="76" t="s">
        <v>1424</v>
      </c>
      <c r="F643" s="76" t="s">
        <v>1175</v>
      </c>
      <c r="G643" s="77" t="s">
        <v>1176</v>
      </c>
      <c r="H643" s="78" t="s">
        <v>1425</v>
      </c>
      <c r="I643" s="76" t="s">
        <v>1147</v>
      </c>
      <c r="J643" s="76" t="s">
        <v>1148</v>
      </c>
      <c r="K643" s="76" t="s">
        <v>439</v>
      </c>
      <c r="L643" s="63" t="s">
        <v>1149</v>
      </c>
      <c r="M643" s="63" t="s">
        <v>58</v>
      </c>
      <c r="N643" s="63" t="s">
        <v>59</v>
      </c>
      <c r="O643" s="76" t="s">
        <v>1213</v>
      </c>
      <c r="P643" s="63" t="s">
        <v>1817</v>
      </c>
      <c r="Q643" s="83">
        <v>54686940</v>
      </c>
      <c r="R643" s="98">
        <v>1</v>
      </c>
      <c r="S643" s="80">
        <v>54686940</v>
      </c>
      <c r="T643" s="63" t="s">
        <v>1171</v>
      </c>
      <c r="U643" s="63" t="s">
        <v>1171</v>
      </c>
      <c r="V643" s="81" t="s">
        <v>493</v>
      </c>
      <c r="W643" s="82" t="s">
        <v>439</v>
      </c>
      <c r="X643" s="63" t="s">
        <v>1818</v>
      </c>
      <c r="Y643" s="81">
        <v>43115</v>
      </c>
      <c r="Z643" s="86">
        <v>54686940</v>
      </c>
      <c r="AA643" s="84" t="s">
        <v>1742</v>
      </c>
      <c r="AB643" s="85">
        <v>510</v>
      </c>
      <c r="AC643" s="81">
        <v>43116</v>
      </c>
      <c r="AD643" s="86">
        <v>54686940</v>
      </c>
      <c r="AE643" s="87">
        <f t="shared" si="66"/>
        <v>0</v>
      </c>
      <c r="AF643" s="85">
        <v>518</v>
      </c>
      <c r="AG643" s="81">
        <v>43132</v>
      </c>
      <c r="AH643" s="86">
        <v>54686940</v>
      </c>
      <c r="AI643" s="63" t="s">
        <v>1819</v>
      </c>
      <c r="AJ643" s="63">
        <v>341</v>
      </c>
      <c r="AK643" s="87">
        <f t="shared" si="68"/>
        <v>0</v>
      </c>
      <c r="AL643" s="86">
        <v>54686940</v>
      </c>
      <c r="AM643" s="86">
        <f t="shared" si="69"/>
        <v>0</v>
      </c>
      <c r="AN643" s="63" t="s">
        <v>1155</v>
      </c>
      <c r="AO643" s="86">
        <f t="shared" si="70"/>
        <v>0</v>
      </c>
      <c r="AP643" s="63"/>
      <c r="AQ643" s="63"/>
      <c r="AR643" s="63"/>
      <c r="AS643" s="63"/>
      <c r="AT643" s="63"/>
      <c r="AU643" s="220"/>
      <c r="AV643" s="220"/>
      <c r="AW643" s="220"/>
    </row>
    <row r="644" spans="1:49" s="221" customFormat="1" ht="342" x14ac:dyDescent="0.25">
      <c r="A644" s="63">
        <v>230</v>
      </c>
      <c r="B644" s="63" t="str">
        <f t="shared" si="67"/>
        <v>3075-230</v>
      </c>
      <c r="C644" s="76" t="s">
        <v>1141</v>
      </c>
      <c r="D644" s="76" t="s">
        <v>1142</v>
      </c>
      <c r="E644" s="76" t="s">
        <v>1424</v>
      </c>
      <c r="F644" s="76" t="s">
        <v>1175</v>
      </c>
      <c r="G644" s="77" t="s">
        <v>1176</v>
      </c>
      <c r="H644" s="78" t="s">
        <v>1425</v>
      </c>
      <c r="I644" s="76" t="s">
        <v>1147</v>
      </c>
      <c r="J644" s="76" t="s">
        <v>1148</v>
      </c>
      <c r="K644" s="76" t="s">
        <v>439</v>
      </c>
      <c r="L644" s="63" t="s">
        <v>1149</v>
      </c>
      <c r="M644" s="63" t="s">
        <v>58</v>
      </c>
      <c r="N644" s="63" t="s">
        <v>59</v>
      </c>
      <c r="O644" s="76" t="s">
        <v>1213</v>
      </c>
      <c r="P644" s="63" t="s">
        <v>1820</v>
      </c>
      <c r="Q644" s="83">
        <v>54686940</v>
      </c>
      <c r="R644" s="98">
        <v>1</v>
      </c>
      <c r="S644" s="80">
        <v>54686940</v>
      </c>
      <c r="T644" s="63" t="s">
        <v>1171</v>
      </c>
      <c r="U644" s="63" t="s">
        <v>1171</v>
      </c>
      <c r="V644" s="81" t="s">
        <v>1023</v>
      </c>
      <c r="W644" s="82" t="s">
        <v>439</v>
      </c>
      <c r="X644" s="63" t="s">
        <v>1821</v>
      </c>
      <c r="Y644" s="81">
        <v>43115</v>
      </c>
      <c r="Z644" s="86">
        <v>54686940</v>
      </c>
      <c r="AA644" s="84" t="s">
        <v>1742</v>
      </c>
      <c r="AB644" s="85">
        <v>511</v>
      </c>
      <c r="AC644" s="81">
        <v>43116</v>
      </c>
      <c r="AD644" s="86">
        <v>54686940</v>
      </c>
      <c r="AE644" s="87">
        <f t="shared" si="66"/>
        <v>0</v>
      </c>
      <c r="AF644" s="85">
        <v>1916</v>
      </c>
      <c r="AG644" s="81">
        <v>43237</v>
      </c>
      <c r="AH644" s="86">
        <v>54686940</v>
      </c>
      <c r="AI644" s="63" t="s">
        <v>1822</v>
      </c>
      <c r="AJ644" s="63">
        <v>2065</v>
      </c>
      <c r="AK644" s="87">
        <f t="shared" si="68"/>
        <v>0</v>
      </c>
      <c r="AL644" s="86">
        <v>54686940</v>
      </c>
      <c r="AM644" s="86">
        <f t="shared" si="69"/>
        <v>0</v>
      </c>
      <c r="AN644" s="63" t="s">
        <v>1155</v>
      </c>
      <c r="AO644" s="86">
        <f t="shared" si="70"/>
        <v>0</v>
      </c>
      <c r="AP644" s="63"/>
      <c r="AQ644" s="63"/>
      <c r="AR644" s="63"/>
      <c r="AS644" s="63"/>
      <c r="AT644" s="63"/>
      <c r="AU644" s="220"/>
      <c r="AV644" s="220"/>
      <c r="AW644" s="220"/>
    </row>
    <row r="645" spans="1:49" s="221" customFormat="1" ht="342" x14ac:dyDescent="0.25">
      <c r="A645" s="63">
        <v>231</v>
      </c>
      <c r="B645" s="63" t="str">
        <f t="shared" si="67"/>
        <v>3075-231</v>
      </c>
      <c r="C645" s="76" t="s">
        <v>1141</v>
      </c>
      <c r="D645" s="76" t="s">
        <v>1142</v>
      </c>
      <c r="E645" s="76" t="s">
        <v>1424</v>
      </c>
      <c r="F645" s="76" t="s">
        <v>1175</v>
      </c>
      <c r="G645" s="77" t="s">
        <v>1176</v>
      </c>
      <c r="H645" s="78" t="s">
        <v>1425</v>
      </c>
      <c r="I645" s="76" t="s">
        <v>1147</v>
      </c>
      <c r="J645" s="76" t="s">
        <v>1148</v>
      </c>
      <c r="K645" s="76" t="s">
        <v>439</v>
      </c>
      <c r="L645" s="63" t="s">
        <v>1149</v>
      </c>
      <c r="M645" s="63" t="s">
        <v>58</v>
      </c>
      <c r="N645" s="63" t="s">
        <v>59</v>
      </c>
      <c r="O645" s="76" t="s">
        <v>1213</v>
      </c>
      <c r="P645" s="63" t="s">
        <v>1823</v>
      </c>
      <c r="Q645" s="83">
        <v>54686940</v>
      </c>
      <c r="R645" s="98">
        <v>1</v>
      </c>
      <c r="S645" s="80">
        <v>54686940</v>
      </c>
      <c r="T645" s="63" t="s">
        <v>1171</v>
      </c>
      <c r="U645" s="63" t="s">
        <v>1171</v>
      </c>
      <c r="V645" s="81" t="s">
        <v>493</v>
      </c>
      <c r="W645" s="82" t="s">
        <v>439</v>
      </c>
      <c r="X645" s="63" t="s">
        <v>1824</v>
      </c>
      <c r="Y645" s="81">
        <v>43115</v>
      </c>
      <c r="Z645" s="86">
        <v>54686940</v>
      </c>
      <c r="AA645" s="84" t="s">
        <v>1742</v>
      </c>
      <c r="AB645" s="85">
        <v>512</v>
      </c>
      <c r="AC645" s="81">
        <v>43116</v>
      </c>
      <c r="AD645" s="86">
        <v>54686940</v>
      </c>
      <c r="AE645" s="87">
        <f t="shared" si="66"/>
        <v>0</v>
      </c>
      <c r="AF645" s="85">
        <v>526</v>
      </c>
      <c r="AG645" s="81">
        <v>43132</v>
      </c>
      <c r="AH645" s="86">
        <v>54686940</v>
      </c>
      <c r="AI645" s="63" t="s">
        <v>1825</v>
      </c>
      <c r="AJ645" s="63">
        <v>334</v>
      </c>
      <c r="AK645" s="87">
        <f t="shared" si="68"/>
        <v>0</v>
      </c>
      <c r="AL645" s="86">
        <v>54686940</v>
      </c>
      <c r="AM645" s="86">
        <f t="shared" si="69"/>
        <v>0</v>
      </c>
      <c r="AN645" s="63" t="s">
        <v>1155</v>
      </c>
      <c r="AO645" s="86">
        <f t="shared" si="70"/>
        <v>0</v>
      </c>
      <c r="AP645" s="63"/>
      <c r="AQ645" s="63"/>
      <c r="AR645" s="63"/>
      <c r="AS645" s="63"/>
      <c r="AT645" s="63"/>
      <c r="AU645" s="220"/>
      <c r="AV645" s="220"/>
      <c r="AW645" s="220"/>
    </row>
    <row r="646" spans="1:49" s="221" customFormat="1" ht="342" x14ac:dyDescent="0.25">
      <c r="A646" s="63">
        <v>232</v>
      </c>
      <c r="B646" s="63" t="str">
        <f t="shared" si="67"/>
        <v>3075-232</v>
      </c>
      <c r="C646" s="76" t="s">
        <v>1141</v>
      </c>
      <c r="D646" s="76" t="s">
        <v>1142</v>
      </c>
      <c r="E646" s="76" t="s">
        <v>1424</v>
      </c>
      <c r="F646" s="76" t="s">
        <v>1175</v>
      </c>
      <c r="G646" s="77" t="s">
        <v>1176</v>
      </c>
      <c r="H646" s="78" t="s">
        <v>1425</v>
      </c>
      <c r="I646" s="76" t="s">
        <v>1147</v>
      </c>
      <c r="J646" s="76" t="s">
        <v>1148</v>
      </c>
      <c r="K646" s="76" t="s">
        <v>439</v>
      </c>
      <c r="L646" s="63" t="s">
        <v>1149</v>
      </c>
      <c r="M646" s="63" t="s">
        <v>58</v>
      </c>
      <c r="N646" s="63" t="s">
        <v>59</v>
      </c>
      <c r="O646" s="76" t="s">
        <v>1213</v>
      </c>
      <c r="P646" s="63" t="s">
        <v>1826</v>
      </c>
      <c r="Q646" s="83">
        <v>54686940</v>
      </c>
      <c r="R646" s="98">
        <v>1</v>
      </c>
      <c r="S646" s="80">
        <v>54686940</v>
      </c>
      <c r="T646" s="63" t="s">
        <v>1171</v>
      </c>
      <c r="U646" s="63" t="s">
        <v>1171</v>
      </c>
      <c r="V646" s="81" t="s">
        <v>64</v>
      </c>
      <c r="W646" s="82" t="s">
        <v>439</v>
      </c>
      <c r="X646" s="63" t="s">
        <v>1827</v>
      </c>
      <c r="Y646" s="81">
        <v>43115</v>
      </c>
      <c r="Z646" s="86">
        <v>54686940</v>
      </c>
      <c r="AA646" s="84" t="s">
        <v>1742</v>
      </c>
      <c r="AB646" s="85">
        <v>513</v>
      </c>
      <c r="AC646" s="81">
        <v>43116</v>
      </c>
      <c r="AD646" s="86">
        <v>54686940</v>
      </c>
      <c r="AE646" s="87">
        <f t="shared" si="66"/>
        <v>0</v>
      </c>
      <c r="AF646" s="85">
        <v>512</v>
      </c>
      <c r="AG646" s="81">
        <v>43129</v>
      </c>
      <c r="AH646" s="86">
        <v>54686940</v>
      </c>
      <c r="AI646" s="63" t="s">
        <v>1828</v>
      </c>
      <c r="AJ646" s="63">
        <v>205</v>
      </c>
      <c r="AK646" s="87">
        <f t="shared" si="68"/>
        <v>0</v>
      </c>
      <c r="AL646" s="86">
        <v>54686940</v>
      </c>
      <c r="AM646" s="86">
        <f t="shared" si="69"/>
        <v>0</v>
      </c>
      <c r="AN646" s="63" t="s">
        <v>1155</v>
      </c>
      <c r="AO646" s="86">
        <f t="shared" si="70"/>
        <v>0</v>
      </c>
      <c r="AP646" s="63"/>
      <c r="AQ646" s="63"/>
      <c r="AR646" s="63"/>
      <c r="AS646" s="63"/>
      <c r="AT646" s="63"/>
      <c r="AU646" s="220"/>
      <c r="AV646" s="220"/>
      <c r="AW646" s="220"/>
    </row>
    <row r="647" spans="1:49" s="221" customFormat="1" ht="342" x14ac:dyDescent="0.25">
      <c r="A647" s="63">
        <v>233</v>
      </c>
      <c r="B647" s="63" t="str">
        <f t="shared" si="67"/>
        <v>3075-233</v>
      </c>
      <c r="C647" s="76" t="s">
        <v>1141</v>
      </c>
      <c r="D647" s="76" t="s">
        <v>1142</v>
      </c>
      <c r="E647" s="76" t="s">
        <v>1424</v>
      </c>
      <c r="F647" s="76" t="s">
        <v>1175</v>
      </c>
      <c r="G647" s="77" t="s">
        <v>1176</v>
      </c>
      <c r="H647" s="78" t="s">
        <v>1425</v>
      </c>
      <c r="I647" s="76" t="s">
        <v>1147</v>
      </c>
      <c r="J647" s="76" t="s">
        <v>1148</v>
      </c>
      <c r="K647" s="76" t="s">
        <v>439</v>
      </c>
      <c r="L647" s="63" t="s">
        <v>1149</v>
      </c>
      <c r="M647" s="63" t="s">
        <v>58</v>
      </c>
      <c r="N647" s="63" t="s">
        <v>59</v>
      </c>
      <c r="O647" s="76" t="s">
        <v>1213</v>
      </c>
      <c r="P647" s="63" t="s">
        <v>1829</v>
      </c>
      <c r="Q647" s="83">
        <v>54686940</v>
      </c>
      <c r="R647" s="98">
        <v>1</v>
      </c>
      <c r="S647" s="80">
        <v>54686940</v>
      </c>
      <c r="T647" s="63" t="s">
        <v>1171</v>
      </c>
      <c r="U647" s="63" t="s">
        <v>1171</v>
      </c>
      <c r="V647" s="81" t="s">
        <v>493</v>
      </c>
      <c r="W647" s="82" t="s">
        <v>439</v>
      </c>
      <c r="X647" s="63" t="s">
        <v>1830</v>
      </c>
      <c r="Y647" s="81">
        <v>43115</v>
      </c>
      <c r="Z647" s="86">
        <v>54686940</v>
      </c>
      <c r="AA647" s="84" t="s">
        <v>1742</v>
      </c>
      <c r="AB647" s="85">
        <v>514</v>
      </c>
      <c r="AC647" s="81">
        <v>43116</v>
      </c>
      <c r="AD647" s="86">
        <v>54686940</v>
      </c>
      <c r="AE647" s="87">
        <f t="shared" si="66"/>
        <v>0</v>
      </c>
      <c r="AF647" s="85">
        <v>809</v>
      </c>
      <c r="AG647" s="81">
        <v>43138</v>
      </c>
      <c r="AH647" s="86">
        <v>54686940</v>
      </c>
      <c r="AI647" s="63" t="s">
        <v>1831</v>
      </c>
      <c r="AJ647" s="63">
        <v>597</v>
      </c>
      <c r="AK647" s="87">
        <f t="shared" si="68"/>
        <v>0</v>
      </c>
      <c r="AL647" s="86">
        <v>54686940</v>
      </c>
      <c r="AM647" s="86">
        <f t="shared" si="69"/>
        <v>0</v>
      </c>
      <c r="AN647" s="63" t="s">
        <v>1155</v>
      </c>
      <c r="AO647" s="86">
        <f t="shared" si="70"/>
        <v>0</v>
      </c>
      <c r="AP647" s="63"/>
      <c r="AQ647" s="63"/>
      <c r="AR647" s="63"/>
      <c r="AS647" s="63"/>
      <c r="AT647" s="63"/>
      <c r="AU647" s="220"/>
      <c r="AV647" s="220"/>
      <c r="AW647" s="220"/>
    </row>
    <row r="648" spans="1:49" s="221" customFormat="1" ht="342" x14ac:dyDescent="0.25">
      <c r="A648" s="63">
        <v>234</v>
      </c>
      <c r="B648" s="63" t="str">
        <f t="shared" si="67"/>
        <v>3075-234</v>
      </c>
      <c r="C648" s="76" t="s">
        <v>1141</v>
      </c>
      <c r="D648" s="76" t="s">
        <v>1142</v>
      </c>
      <c r="E648" s="76" t="s">
        <v>1424</v>
      </c>
      <c r="F648" s="76" t="s">
        <v>1175</v>
      </c>
      <c r="G648" s="77" t="s">
        <v>1176</v>
      </c>
      <c r="H648" s="78" t="s">
        <v>1425</v>
      </c>
      <c r="I648" s="76" t="s">
        <v>1147</v>
      </c>
      <c r="J648" s="76" t="s">
        <v>1148</v>
      </c>
      <c r="K648" s="76" t="s">
        <v>439</v>
      </c>
      <c r="L648" s="63" t="s">
        <v>1149</v>
      </c>
      <c r="M648" s="63" t="s">
        <v>58</v>
      </c>
      <c r="N648" s="63" t="s">
        <v>59</v>
      </c>
      <c r="O648" s="76" t="s">
        <v>1213</v>
      </c>
      <c r="P648" s="63" t="s">
        <v>1829</v>
      </c>
      <c r="Q648" s="83">
        <v>54686940</v>
      </c>
      <c r="R648" s="98">
        <v>1</v>
      </c>
      <c r="S648" s="80">
        <v>54686940</v>
      </c>
      <c r="T648" s="63" t="s">
        <v>1171</v>
      </c>
      <c r="U648" s="63" t="s">
        <v>1171</v>
      </c>
      <c r="V648" s="81" t="s">
        <v>493</v>
      </c>
      <c r="W648" s="82" t="s">
        <v>439</v>
      </c>
      <c r="X648" s="63" t="s">
        <v>1832</v>
      </c>
      <c r="Y648" s="81">
        <v>43117</v>
      </c>
      <c r="Z648" s="86">
        <v>54686940</v>
      </c>
      <c r="AA648" s="84" t="s">
        <v>1742</v>
      </c>
      <c r="AB648" s="85">
        <v>533</v>
      </c>
      <c r="AC648" s="81">
        <v>43118</v>
      </c>
      <c r="AD648" s="86">
        <v>54686940</v>
      </c>
      <c r="AE648" s="87">
        <f t="shared" ref="AE648:AE704" si="71">S648-Z648</f>
        <v>0</v>
      </c>
      <c r="AF648" s="85">
        <v>521</v>
      </c>
      <c r="AG648" s="81">
        <v>43132</v>
      </c>
      <c r="AH648" s="86">
        <v>54686940</v>
      </c>
      <c r="AI648" s="63" t="s">
        <v>1833</v>
      </c>
      <c r="AJ648" s="63">
        <v>336</v>
      </c>
      <c r="AK648" s="87">
        <f t="shared" si="68"/>
        <v>0</v>
      </c>
      <c r="AL648" s="86">
        <v>54686940</v>
      </c>
      <c r="AM648" s="86">
        <f t="shared" si="69"/>
        <v>0</v>
      </c>
      <c r="AN648" s="63" t="s">
        <v>1155</v>
      </c>
      <c r="AO648" s="86">
        <f t="shared" si="70"/>
        <v>0</v>
      </c>
      <c r="AP648" s="63"/>
      <c r="AQ648" s="63"/>
      <c r="AR648" s="63"/>
      <c r="AS648" s="63"/>
      <c r="AT648" s="63"/>
      <c r="AU648" s="220"/>
      <c r="AV648" s="220"/>
      <c r="AW648" s="220"/>
    </row>
    <row r="649" spans="1:49" s="221" customFormat="1" ht="342" x14ac:dyDescent="0.25">
      <c r="A649" s="63">
        <v>235</v>
      </c>
      <c r="B649" s="63" t="str">
        <f t="shared" si="67"/>
        <v>3075-235</v>
      </c>
      <c r="C649" s="76" t="s">
        <v>1141</v>
      </c>
      <c r="D649" s="76" t="s">
        <v>1142</v>
      </c>
      <c r="E649" s="76" t="s">
        <v>1424</v>
      </c>
      <c r="F649" s="76" t="s">
        <v>1175</v>
      </c>
      <c r="G649" s="77" t="s">
        <v>1176</v>
      </c>
      <c r="H649" s="78" t="s">
        <v>1425</v>
      </c>
      <c r="I649" s="76" t="s">
        <v>1147</v>
      </c>
      <c r="J649" s="76" t="s">
        <v>1148</v>
      </c>
      <c r="K649" s="76" t="s">
        <v>439</v>
      </c>
      <c r="L649" s="63" t="s">
        <v>1149</v>
      </c>
      <c r="M649" s="63" t="s">
        <v>58</v>
      </c>
      <c r="N649" s="63" t="s">
        <v>59</v>
      </c>
      <c r="O649" s="76" t="s">
        <v>1213</v>
      </c>
      <c r="P649" s="63" t="s">
        <v>1834</v>
      </c>
      <c r="Q649" s="83">
        <v>54686940</v>
      </c>
      <c r="R649" s="98">
        <v>1</v>
      </c>
      <c r="S649" s="80">
        <v>54686940</v>
      </c>
      <c r="T649" s="63" t="s">
        <v>1171</v>
      </c>
      <c r="U649" s="63" t="s">
        <v>1171</v>
      </c>
      <c r="V649" s="81" t="s">
        <v>493</v>
      </c>
      <c r="W649" s="82" t="s">
        <v>439</v>
      </c>
      <c r="X649" s="63" t="s">
        <v>1835</v>
      </c>
      <c r="Y649" s="81">
        <v>43117</v>
      </c>
      <c r="Z649" s="86">
        <v>54686940</v>
      </c>
      <c r="AA649" s="84" t="s">
        <v>1742</v>
      </c>
      <c r="AB649" s="85">
        <v>534</v>
      </c>
      <c r="AC649" s="81">
        <v>43118</v>
      </c>
      <c r="AD649" s="86">
        <v>54686940</v>
      </c>
      <c r="AE649" s="87">
        <f t="shared" si="71"/>
        <v>0</v>
      </c>
      <c r="AF649" s="85">
        <v>519</v>
      </c>
      <c r="AG649" s="81">
        <v>43132</v>
      </c>
      <c r="AH649" s="86">
        <v>54686940</v>
      </c>
      <c r="AI649" s="63" t="s">
        <v>1836</v>
      </c>
      <c r="AJ649" s="63">
        <v>340</v>
      </c>
      <c r="AK649" s="87">
        <f t="shared" si="68"/>
        <v>0</v>
      </c>
      <c r="AL649" s="86">
        <v>54686940</v>
      </c>
      <c r="AM649" s="86">
        <f t="shared" si="69"/>
        <v>0</v>
      </c>
      <c r="AN649" s="63" t="s">
        <v>1155</v>
      </c>
      <c r="AO649" s="86">
        <f t="shared" si="70"/>
        <v>0</v>
      </c>
      <c r="AP649" s="63"/>
      <c r="AQ649" s="63"/>
      <c r="AR649" s="63"/>
      <c r="AS649" s="63"/>
      <c r="AT649" s="63"/>
      <c r="AU649" s="220"/>
      <c r="AV649" s="220"/>
      <c r="AW649" s="220"/>
    </row>
    <row r="650" spans="1:49" s="221" customFormat="1" ht="342" x14ac:dyDescent="0.25">
      <c r="A650" s="63">
        <v>236</v>
      </c>
      <c r="B650" s="63" t="str">
        <f t="shared" si="67"/>
        <v>3075-236</v>
      </c>
      <c r="C650" s="76" t="s">
        <v>1141</v>
      </c>
      <c r="D650" s="76" t="s">
        <v>1142</v>
      </c>
      <c r="E650" s="76" t="s">
        <v>1424</v>
      </c>
      <c r="F650" s="76" t="s">
        <v>1175</v>
      </c>
      <c r="G650" s="77" t="s">
        <v>1176</v>
      </c>
      <c r="H650" s="78" t="s">
        <v>1425</v>
      </c>
      <c r="I650" s="76" t="s">
        <v>1147</v>
      </c>
      <c r="J650" s="76" t="s">
        <v>1148</v>
      </c>
      <c r="K650" s="76" t="s">
        <v>439</v>
      </c>
      <c r="L650" s="63" t="s">
        <v>1149</v>
      </c>
      <c r="M650" s="63" t="s">
        <v>58</v>
      </c>
      <c r="N650" s="63" t="s">
        <v>59</v>
      </c>
      <c r="O650" s="76" t="s">
        <v>1213</v>
      </c>
      <c r="P650" s="63" t="s">
        <v>1837</v>
      </c>
      <c r="Q650" s="83">
        <v>54686940</v>
      </c>
      <c r="R650" s="98">
        <v>1</v>
      </c>
      <c r="S650" s="80">
        <v>54686940</v>
      </c>
      <c r="T650" s="63" t="s">
        <v>1171</v>
      </c>
      <c r="U650" s="63" t="s">
        <v>1171</v>
      </c>
      <c r="V650" s="81" t="s">
        <v>493</v>
      </c>
      <c r="W650" s="82" t="s">
        <v>439</v>
      </c>
      <c r="X650" s="63" t="s">
        <v>1838</v>
      </c>
      <c r="Y650" s="81">
        <v>43117</v>
      </c>
      <c r="Z650" s="86">
        <v>54686940</v>
      </c>
      <c r="AA650" s="84" t="s">
        <v>1742</v>
      </c>
      <c r="AB650" s="85">
        <v>535</v>
      </c>
      <c r="AC650" s="81">
        <v>43118</v>
      </c>
      <c r="AD650" s="86">
        <v>54686940</v>
      </c>
      <c r="AE650" s="87">
        <f t="shared" si="71"/>
        <v>0</v>
      </c>
      <c r="AF650" s="85">
        <v>524</v>
      </c>
      <c r="AG650" s="81">
        <v>43132</v>
      </c>
      <c r="AH650" s="86">
        <v>54686940</v>
      </c>
      <c r="AI650" s="63" t="s">
        <v>1839</v>
      </c>
      <c r="AJ650" s="63">
        <v>338</v>
      </c>
      <c r="AK650" s="87">
        <f t="shared" si="68"/>
        <v>0</v>
      </c>
      <c r="AL650" s="86">
        <v>54686940</v>
      </c>
      <c r="AM650" s="86">
        <f t="shared" si="69"/>
        <v>0</v>
      </c>
      <c r="AN650" s="63" t="s">
        <v>1155</v>
      </c>
      <c r="AO650" s="86">
        <f t="shared" si="70"/>
        <v>0</v>
      </c>
      <c r="AP650" s="63"/>
      <c r="AQ650" s="63"/>
      <c r="AR650" s="63"/>
      <c r="AS650" s="63"/>
      <c r="AT650" s="63"/>
      <c r="AU650" s="220"/>
      <c r="AV650" s="220"/>
      <c r="AW650" s="220"/>
    </row>
    <row r="651" spans="1:49" s="221" customFormat="1" ht="342" x14ac:dyDescent="0.25">
      <c r="A651" s="63">
        <v>237</v>
      </c>
      <c r="B651" s="63" t="str">
        <f t="shared" si="67"/>
        <v>3075-237</v>
      </c>
      <c r="C651" s="76" t="s">
        <v>1141</v>
      </c>
      <c r="D651" s="76" t="s">
        <v>1142</v>
      </c>
      <c r="E651" s="76" t="s">
        <v>1424</v>
      </c>
      <c r="F651" s="76" t="s">
        <v>1175</v>
      </c>
      <c r="G651" s="77" t="s">
        <v>1176</v>
      </c>
      <c r="H651" s="78" t="s">
        <v>1425</v>
      </c>
      <c r="I651" s="76" t="s">
        <v>1147</v>
      </c>
      <c r="J651" s="76" t="s">
        <v>1148</v>
      </c>
      <c r="K651" s="76" t="s">
        <v>439</v>
      </c>
      <c r="L651" s="63" t="s">
        <v>1149</v>
      </c>
      <c r="M651" s="63" t="s">
        <v>58</v>
      </c>
      <c r="N651" s="63" t="s">
        <v>59</v>
      </c>
      <c r="O651" s="76" t="s">
        <v>1213</v>
      </c>
      <c r="P651" s="63" t="s">
        <v>1840</v>
      </c>
      <c r="Q651" s="83">
        <v>54686940</v>
      </c>
      <c r="R651" s="98">
        <v>1</v>
      </c>
      <c r="S651" s="80">
        <v>54686940</v>
      </c>
      <c r="T651" s="63" t="s">
        <v>1171</v>
      </c>
      <c r="U651" s="63" t="s">
        <v>1171</v>
      </c>
      <c r="V651" s="81" t="s">
        <v>493</v>
      </c>
      <c r="W651" s="82" t="s">
        <v>439</v>
      </c>
      <c r="X651" s="63" t="s">
        <v>1841</v>
      </c>
      <c r="Y651" s="81">
        <v>43117</v>
      </c>
      <c r="Z651" s="86">
        <v>54686940</v>
      </c>
      <c r="AA651" s="84" t="s">
        <v>1742</v>
      </c>
      <c r="AB651" s="85">
        <v>537</v>
      </c>
      <c r="AC651" s="81">
        <v>43118</v>
      </c>
      <c r="AD651" s="86">
        <v>54686940</v>
      </c>
      <c r="AE651" s="87">
        <f t="shared" si="71"/>
        <v>0</v>
      </c>
      <c r="AF651" s="85">
        <v>523</v>
      </c>
      <c r="AG651" s="81">
        <v>43132</v>
      </c>
      <c r="AH651" s="86">
        <v>54686940</v>
      </c>
      <c r="AI651" s="63" t="s">
        <v>1842</v>
      </c>
      <c r="AJ651" s="63">
        <v>337</v>
      </c>
      <c r="AK651" s="87">
        <f t="shared" si="68"/>
        <v>0</v>
      </c>
      <c r="AL651" s="86">
        <v>54686940</v>
      </c>
      <c r="AM651" s="86">
        <f t="shared" si="69"/>
        <v>0</v>
      </c>
      <c r="AN651" s="63" t="s">
        <v>1155</v>
      </c>
      <c r="AO651" s="86">
        <f t="shared" si="70"/>
        <v>0</v>
      </c>
      <c r="AP651" s="63"/>
      <c r="AQ651" s="63"/>
      <c r="AR651" s="63"/>
      <c r="AS651" s="63"/>
      <c r="AT651" s="63"/>
      <c r="AU651" s="220"/>
      <c r="AV651" s="220"/>
      <c r="AW651" s="220"/>
    </row>
    <row r="652" spans="1:49" s="221" customFormat="1" ht="342" x14ac:dyDescent="0.25">
      <c r="A652" s="63">
        <v>238</v>
      </c>
      <c r="B652" s="63" t="str">
        <f t="shared" si="67"/>
        <v>3075-238</v>
      </c>
      <c r="C652" s="76" t="s">
        <v>1141</v>
      </c>
      <c r="D652" s="76" t="s">
        <v>1142</v>
      </c>
      <c r="E652" s="76" t="s">
        <v>1424</v>
      </c>
      <c r="F652" s="76" t="s">
        <v>1175</v>
      </c>
      <c r="G652" s="77" t="s">
        <v>1176</v>
      </c>
      <c r="H652" s="78" t="s">
        <v>1425</v>
      </c>
      <c r="I652" s="76" t="s">
        <v>1147</v>
      </c>
      <c r="J652" s="76" t="s">
        <v>1148</v>
      </c>
      <c r="K652" s="76" t="s">
        <v>439</v>
      </c>
      <c r="L652" s="63" t="s">
        <v>1149</v>
      </c>
      <c r="M652" s="63" t="s">
        <v>58</v>
      </c>
      <c r="N652" s="63" t="s">
        <v>59</v>
      </c>
      <c r="O652" s="76" t="s">
        <v>1213</v>
      </c>
      <c r="P652" s="63" t="s">
        <v>1843</v>
      </c>
      <c r="Q652" s="83">
        <v>54686940</v>
      </c>
      <c r="R652" s="98">
        <v>1</v>
      </c>
      <c r="S652" s="80">
        <v>54686940</v>
      </c>
      <c r="T652" s="63" t="s">
        <v>1171</v>
      </c>
      <c r="U652" s="63" t="s">
        <v>1171</v>
      </c>
      <c r="V652" s="81" t="s">
        <v>493</v>
      </c>
      <c r="W652" s="82" t="s">
        <v>439</v>
      </c>
      <c r="X652" s="63" t="s">
        <v>1844</v>
      </c>
      <c r="Y652" s="81">
        <v>43117</v>
      </c>
      <c r="Z652" s="86">
        <v>54686940</v>
      </c>
      <c r="AA652" s="84" t="s">
        <v>1742</v>
      </c>
      <c r="AB652" s="85">
        <v>538</v>
      </c>
      <c r="AC652" s="81">
        <v>43118</v>
      </c>
      <c r="AD652" s="86">
        <v>54686940</v>
      </c>
      <c r="AE652" s="87">
        <f t="shared" si="71"/>
        <v>0</v>
      </c>
      <c r="AF652" s="85">
        <v>1333</v>
      </c>
      <c r="AG652" s="81">
        <v>43144</v>
      </c>
      <c r="AH652" s="86">
        <v>54686940</v>
      </c>
      <c r="AI652" s="63" t="s">
        <v>1845</v>
      </c>
      <c r="AJ652" s="63">
        <v>762</v>
      </c>
      <c r="AK652" s="87">
        <f t="shared" si="68"/>
        <v>0</v>
      </c>
      <c r="AL652" s="86">
        <v>54686940</v>
      </c>
      <c r="AM652" s="86">
        <f t="shared" si="69"/>
        <v>0</v>
      </c>
      <c r="AN652" s="63" t="s">
        <v>1155</v>
      </c>
      <c r="AO652" s="86">
        <f t="shared" si="70"/>
        <v>0</v>
      </c>
      <c r="AP652" s="63"/>
      <c r="AQ652" s="63"/>
      <c r="AR652" s="63"/>
      <c r="AS652" s="63"/>
      <c r="AT652" s="63"/>
      <c r="AU652" s="220"/>
      <c r="AV652" s="220"/>
      <c r="AW652" s="220"/>
    </row>
    <row r="653" spans="1:49" s="221" customFormat="1" ht="342" x14ac:dyDescent="0.25">
      <c r="A653" s="63">
        <v>239</v>
      </c>
      <c r="B653" s="63" t="str">
        <f t="shared" si="67"/>
        <v>3075-239</v>
      </c>
      <c r="C653" s="76" t="s">
        <v>1141</v>
      </c>
      <c r="D653" s="76" t="s">
        <v>1142</v>
      </c>
      <c r="E653" s="76" t="s">
        <v>1424</v>
      </c>
      <c r="F653" s="76" t="s">
        <v>1175</v>
      </c>
      <c r="G653" s="77" t="s">
        <v>1176</v>
      </c>
      <c r="H653" s="78" t="s">
        <v>1425</v>
      </c>
      <c r="I653" s="76" t="s">
        <v>1147</v>
      </c>
      <c r="J653" s="76" t="s">
        <v>1148</v>
      </c>
      <c r="K653" s="76" t="s">
        <v>439</v>
      </c>
      <c r="L653" s="63" t="s">
        <v>1149</v>
      </c>
      <c r="M653" s="63" t="s">
        <v>58</v>
      </c>
      <c r="N653" s="63" t="s">
        <v>59</v>
      </c>
      <c r="O653" s="76" t="s">
        <v>1213</v>
      </c>
      <c r="P653" s="63" t="s">
        <v>1846</v>
      </c>
      <c r="Q653" s="83">
        <v>54686940</v>
      </c>
      <c r="R653" s="98">
        <v>1</v>
      </c>
      <c r="S653" s="80">
        <v>54686940</v>
      </c>
      <c r="T653" s="63" t="s">
        <v>1171</v>
      </c>
      <c r="U653" s="63" t="s">
        <v>1171</v>
      </c>
      <c r="V653" s="81" t="s">
        <v>493</v>
      </c>
      <c r="W653" s="82" t="s">
        <v>439</v>
      </c>
      <c r="X653" s="63" t="s">
        <v>1847</v>
      </c>
      <c r="Y653" s="81">
        <v>43117</v>
      </c>
      <c r="Z653" s="86">
        <v>54686940</v>
      </c>
      <c r="AA653" s="84" t="s">
        <v>1742</v>
      </c>
      <c r="AB653" s="85">
        <v>539</v>
      </c>
      <c r="AC653" s="81">
        <v>43118</v>
      </c>
      <c r="AD653" s="86">
        <v>54686940</v>
      </c>
      <c r="AE653" s="87">
        <f t="shared" si="71"/>
        <v>0</v>
      </c>
      <c r="AF653" s="85">
        <v>638</v>
      </c>
      <c r="AG653" s="81">
        <v>43133</v>
      </c>
      <c r="AH653" s="86">
        <v>54686940</v>
      </c>
      <c r="AI653" s="63" t="s">
        <v>1848</v>
      </c>
      <c r="AJ653" s="63">
        <v>512</v>
      </c>
      <c r="AK653" s="87">
        <f t="shared" si="68"/>
        <v>0</v>
      </c>
      <c r="AL653" s="86">
        <v>54686940</v>
      </c>
      <c r="AM653" s="86">
        <f t="shared" si="69"/>
        <v>0</v>
      </c>
      <c r="AN653" s="63" t="s">
        <v>1155</v>
      </c>
      <c r="AO653" s="86">
        <f t="shared" si="70"/>
        <v>0</v>
      </c>
      <c r="AP653" s="63"/>
      <c r="AQ653" s="63"/>
      <c r="AR653" s="63"/>
      <c r="AS653" s="63"/>
      <c r="AT653" s="63"/>
      <c r="AU653" s="220"/>
      <c r="AV653" s="220"/>
      <c r="AW653" s="220"/>
    </row>
    <row r="654" spans="1:49" s="221" customFormat="1" ht="342" x14ac:dyDescent="0.25">
      <c r="A654" s="63">
        <v>240</v>
      </c>
      <c r="B654" s="63" t="str">
        <f t="shared" si="67"/>
        <v>3075-240</v>
      </c>
      <c r="C654" s="76" t="s">
        <v>1141</v>
      </c>
      <c r="D654" s="76" t="s">
        <v>1142</v>
      </c>
      <c r="E654" s="76" t="s">
        <v>1424</v>
      </c>
      <c r="F654" s="76" t="s">
        <v>1175</v>
      </c>
      <c r="G654" s="77" t="s">
        <v>1176</v>
      </c>
      <c r="H654" s="78" t="s">
        <v>1425</v>
      </c>
      <c r="I654" s="76" t="s">
        <v>1147</v>
      </c>
      <c r="J654" s="76" t="s">
        <v>1148</v>
      </c>
      <c r="K654" s="76" t="s">
        <v>439</v>
      </c>
      <c r="L654" s="63" t="s">
        <v>1149</v>
      </c>
      <c r="M654" s="63" t="s">
        <v>58</v>
      </c>
      <c r="N654" s="63" t="s">
        <v>59</v>
      </c>
      <c r="O654" s="76" t="s">
        <v>1213</v>
      </c>
      <c r="P654" s="63" t="s">
        <v>1849</v>
      </c>
      <c r="Q654" s="83">
        <v>54686940</v>
      </c>
      <c r="R654" s="98">
        <v>1</v>
      </c>
      <c r="S654" s="80">
        <v>54686940</v>
      </c>
      <c r="T654" s="63" t="s">
        <v>1171</v>
      </c>
      <c r="U654" s="63" t="s">
        <v>1171</v>
      </c>
      <c r="V654" s="81" t="s">
        <v>493</v>
      </c>
      <c r="W654" s="82" t="s">
        <v>439</v>
      </c>
      <c r="X654" s="63" t="s">
        <v>1850</v>
      </c>
      <c r="Y654" s="81">
        <v>43117</v>
      </c>
      <c r="Z654" s="86">
        <v>54686940</v>
      </c>
      <c r="AA654" s="84" t="s">
        <v>1742</v>
      </c>
      <c r="AB654" s="85">
        <v>540</v>
      </c>
      <c r="AC654" s="81">
        <v>43118</v>
      </c>
      <c r="AD654" s="86">
        <v>54686940</v>
      </c>
      <c r="AE654" s="87">
        <f t="shared" si="71"/>
        <v>0</v>
      </c>
      <c r="AF654" s="85">
        <v>525</v>
      </c>
      <c r="AG654" s="81">
        <v>43132</v>
      </c>
      <c r="AH654" s="86">
        <v>54686940</v>
      </c>
      <c r="AI654" s="63" t="s">
        <v>1851</v>
      </c>
      <c r="AJ654" s="63">
        <v>333</v>
      </c>
      <c r="AK654" s="87">
        <f t="shared" si="68"/>
        <v>0</v>
      </c>
      <c r="AL654" s="86">
        <v>54686940</v>
      </c>
      <c r="AM654" s="86">
        <f t="shared" si="69"/>
        <v>0</v>
      </c>
      <c r="AN654" s="63" t="s">
        <v>1155</v>
      </c>
      <c r="AO654" s="86">
        <f t="shared" si="70"/>
        <v>0</v>
      </c>
      <c r="AP654" s="63"/>
      <c r="AQ654" s="63"/>
      <c r="AR654" s="63"/>
      <c r="AS654" s="63"/>
      <c r="AT654" s="63"/>
      <c r="AU654" s="220"/>
      <c r="AV654" s="220"/>
      <c r="AW654" s="220"/>
    </row>
    <row r="655" spans="1:49" s="221" customFormat="1" ht="242.25" x14ac:dyDescent="0.25">
      <c r="A655" s="63">
        <v>241</v>
      </c>
      <c r="B655" s="63" t="str">
        <f t="shared" si="67"/>
        <v>3075-241</v>
      </c>
      <c r="C655" s="76" t="s">
        <v>1141</v>
      </c>
      <c r="D655" s="76" t="s">
        <v>1142</v>
      </c>
      <c r="E655" s="76" t="s">
        <v>1174</v>
      </c>
      <c r="F655" s="76" t="s">
        <v>1175</v>
      </c>
      <c r="G655" s="77" t="s">
        <v>1176</v>
      </c>
      <c r="H655" s="78" t="s">
        <v>1177</v>
      </c>
      <c r="I655" s="76" t="s">
        <v>1147</v>
      </c>
      <c r="J655" s="76" t="s">
        <v>1148</v>
      </c>
      <c r="K655" s="76" t="s">
        <v>439</v>
      </c>
      <c r="L655" s="63" t="s">
        <v>1149</v>
      </c>
      <c r="M655" s="63" t="s">
        <v>58</v>
      </c>
      <c r="N655" s="63" t="s">
        <v>59</v>
      </c>
      <c r="O655" s="76" t="s">
        <v>1169</v>
      </c>
      <c r="P655" s="76" t="s">
        <v>1852</v>
      </c>
      <c r="Q655" s="79">
        <v>4739060</v>
      </c>
      <c r="R655" s="63">
        <v>1</v>
      </c>
      <c r="S655" s="80">
        <v>4739060</v>
      </c>
      <c r="T655" s="63" t="s">
        <v>1171</v>
      </c>
      <c r="U655" s="63" t="s">
        <v>1171</v>
      </c>
      <c r="V655" s="81" t="s">
        <v>493</v>
      </c>
      <c r="W655" s="82" t="s">
        <v>439</v>
      </c>
      <c r="X655" s="63" t="s">
        <v>1853</v>
      </c>
      <c r="Y655" s="81">
        <v>43123</v>
      </c>
      <c r="Z655" s="86">
        <v>4739060</v>
      </c>
      <c r="AA655" s="84" t="s">
        <v>1786</v>
      </c>
      <c r="AB655" s="85">
        <v>561</v>
      </c>
      <c r="AC655" s="81">
        <v>43124</v>
      </c>
      <c r="AD655" s="86">
        <v>4739060</v>
      </c>
      <c r="AE655" s="87">
        <f t="shared" si="71"/>
        <v>0</v>
      </c>
      <c r="AF655" s="85">
        <v>1458</v>
      </c>
      <c r="AG655" s="81">
        <v>43154</v>
      </c>
      <c r="AH655" s="86">
        <v>4739060</v>
      </c>
      <c r="AI655" s="63" t="s">
        <v>1854</v>
      </c>
      <c r="AJ655" s="63">
        <v>1378</v>
      </c>
      <c r="AK655" s="87">
        <f t="shared" si="68"/>
        <v>0</v>
      </c>
      <c r="AL655" s="86">
        <v>4739060</v>
      </c>
      <c r="AM655" s="86">
        <f t="shared" si="69"/>
        <v>0</v>
      </c>
      <c r="AN655" s="63" t="s">
        <v>1155</v>
      </c>
      <c r="AO655" s="86">
        <f t="shared" si="70"/>
        <v>0</v>
      </c>
      <c r="AP655" s="63"/>
      <c r="AQ655" s="63"/>
      <c r="AR655" s="63"/>
      <c r="AS655" s="63"/>
      <c r="AT655" s="63"/>
      <c r="AU655" s="220"/>
      <c r="AV655" s="220"/>
      <c r="AW655" s="220"/>
    </row>
    <row r="656" spans="1:49" s="221" customFormat="1" ht="142.5" x14ac:dyDescent="0.25">
      <c r="A656" s="63">
        <v>242</v>
      </c>
      <c r="B656" s="63" t="str">
        <f t="shared" si="67"/>
        <v>3075-242</v>
      </c>
      <c r="C656" s="76" t="s">
        <v>1141</v>
      </c>
      <c r="D656" s="76" t="s">
        <v>1142</v>
      </c>
      <c r="E656" s="76" t="s">
        <v>1165</v>
      </c>
      <c r="F656" s="76" t="s">
        <v>1166</v>
      </c>
      <c r="G656" s="77" t="s">
        <v>1167</v>
      </c>
      <c r="H656" s="78" t="s">
        <v>1168</v>
      </c>
      <c r="I656" s="76" t="s">
        <v>1147</v>
      </c>
      <c r="J656" s="76" t="s">
        <v>1148</v>
      </c>
      <c r="K656" s="76" t="s">
        <v>439</v>
      </c>
      <c r="L656" s="63" t="s">
        <v>1149</v>
      </c>
      <c r="M656" s="63" t="s">
        <v>58</v>
      </c>
      <c r="N656" s="63" t="s">
        <v>59</v>
      </c>
      <c r="O656" s="76" t="s">
        <v>1169</v>
      </c>
      <c r="P656" s="63" t="s">
        <v>1855</v>
      </c>
      <c r="Q656" s="79">
        <v>6163200</v>
      </c>
      <c r="R656" s="63">
        <v>1</v>
      </c>
      <c r="S656" s="80">
        <v>6163200</v>
      </c>
      <c r="T656" s="63" t="s">
        <v>1171</v>
      </c>
      <c r="U656" s="63" t="s">
        <v>1171</v>
      </c>
      <c r="V656" s="81" t="s">
        <v>411</v>
      </c>
      <c r="W656" s="82" t="s">
        <v>439</v>
      </c>
      <c r="X656" s="63" t="s">
        <v>1856</v>
      </c>
      <c r="Y656" s="81">
        <v>43123</v>
      </c>
      <c r="Z656" s="86">
        <v>6163200</v>
      </c>
      <c r="AA656" s="84" t="s">
        <v>1782</v>
      </c>
      <c r="AB656" s="85">
        <v>562</v>
      </c>
      <c r="AC656" s="81">
        <v>43124</v>
      </c>
      <c r="AD656" s="86">
        <v>6163200</v>
      </c>
      <c r="AE656" s="87">
        <f t="shared" si="71"/>
        <v>0</v>
      </c>
      <c r="AF656" s="85">
        <v>1845</v>
      </c>
      <c r="AG656" s="81">
        <v>43216</v>
      </c>
      <c r="AH656" s="86">
        <v>6163200</v>
      </c>
      <c r="AI656" s="63" t="s">
        <v>1857</v>
      </c>
      <c r="AJ656" s="63">
        <v>1901</v>
      </c>
      <c r="AK656" s="87">
        <f t="shared" si="68"/>
        <v>0</v>
      </c>
      <c r="AL656" s="86">
        <v>0</v>
      </c>
      <c r="AM656" s="86">
        <f t="shared" si="69"/>
        <v>6163200</v>
      </c>
      <c r="AN656" s="63" t="s">
        <v>1155</v>
      </c>
      <c r="AO656" s="86">
        <f t="shared" si="70"/>
        <v>0</v>
      </c>
      <c r="AP656" s="63"/>
      <c r="AQ656" s="63"/>
      <c r="AR656" s="63"/>
      <c r="AS656" s="63"/>
      <c r="AT656" s="63"/>
      <c r="AU656" s="220"/>
      <c r="AV656" s="220"/>
      <c r="AW656" s="220"/>
    </row>
    <row r="657" spans="1:49" s="221" customFormat="1" ht="128.25" x14ac:dyDescent="0.25">
      <c r="A657" s="63">
        <v>243</v>
      </c>
      <c r="B657" s="63" t="str">
        <f t="shared" si="67"/>
        <v>3075-243</v>
      </c>
      <c r="C657" s="76" t="s">
        <v>1141</v>
      </c>
      <c r="D657" s="76" t="s">
        <v>1142</v>
      </c>
      <c r="E657" s="76" t="s">
        <v>1165</v>
      </c>
      <c r="F657" s="76" t="s">
        <v>1166</v>
      </c>
      <c r="G657" s="77" t="s">
        <v>1167</v>
      </c>
      <c r="H657" s="78" t="s">
        <v>1168</v>
      </c>
      <c r="I657" s="76" t="s">
        <v>1147</v>
      </c>
      <c r="J657" s="76" t="s">
        <v>1148</v>
      </c>
      <c r="K657" s="76" t="s">
        <v>439</v>
      </c>
      <c r="L657" s="63" t="s">
        <v>1149</v>
      </c>
      <c r="M657" s="63" t="s">
        <v>58</v>
      </c>
      <c r="N657" s="63" t="s">
        <v>59</v>
      </c>
      <c r="O657" s="76" t="s">
        <v>1169</v>
      </c>
      <c r="P657" s="63" t="s">
        <v>1858</v>
      </c>
      <c r="Q657" s="79">
        <v>53532600</v>
      </c>
      <c r="R657" s="63">
        <v>1</v>
      </c>
      <c r="S657" s="80">
        <v>53532600</v>
      </c>
      <c r="T657" s="63" t="s">
        <v>1171</v>
      </c>
      <c r="U657" s="63" t="s">
        <v>1171</v>
      </c>
      <c r="V657" s="81" t="s">
        <v>411</v>
      </c>
      <c r="W657" s="82" t="s">
        <v>439</v>
      </c>
      <c r="X657" s="63" t="s">
        <v>1859</v>
      </c>
      <c r="Y657" s="81">
        <v>43123</v>
      </c>
      <c r="Z657" s="86">
        <v>53532600</v>
      </c>
      <c r="AA657" s="84" t="s">
        <v>1782</v>
      </c>
      <c r="AB657" s="85">
        <v>563</v>
      </c>
      <c r="AC657" s="81">
        <v>43124</v>
      </c>
      <c r="AD657" s="86">
        <v>53532600</v>
      </c>
      <c r="AE657" s="87">
        <f t="shared" si="71"/>
        <v>0</v>
      </c>
      <c r="AF657" s="85">
        <v>1777</v>
      </c>
      <c r="AG657" s="81">
        <v>43202</v>
      </c>
      <c r="AH657" s="86">
        <v>53532600</v>
      </c>
      <c r="AI657" s="63" t="s">
        <v>1860</v>
      </c>
      <c r="AJ657" s="63">
        <v>1782</v>
      </c>
      <c r="AK657" s="87">
        <f t="shared" si="68"/>
        <v>0</v>
      </c>
      <c r="AL657" s="86">
        <v>16059780</v>
      </c>
      <c r="AM657" s="86">
        <f t="shared" si="69"/>
        <v>37472820</v>
      </c>
      <c r="AN657" s="63" t="s">
        <v>1155</v>
      </c>
      <c r="AO657" s="86">
        <f t="shared" si="70"/>
        <v>0</v>
      </c>
      <c r="AP657" s="63"/>
      <c r="AQ657" s="63"/>
      <c r="AR657" s="63"/>
      <c r="AS657" s="63"/>
      <c r="AT657" s="63"/>
      <c r="AU657" s="220"/>
      <c r="AV657" s="220"/>
      <c r="AW657" s="220"/>
    </row>
    <row r="658" spans="1:49" s="221" customFormat="1" ht="142.5" x14ac:dyDescent="0.25">
      <c r="A658" s="63">
        <v>244</v>
      </c>
      <c r="B658" s="63" t="str">
        <f t="shared" si="67"/>
        <v>3075-244</v>
      </c>
      <c r="C658" s="76" t="s">
        <v>1141</v>
      </c>
      <c r="D658" s="76" t="s">
        <v>1142</v>
      </c>
      <c r="E658" s="76" t="s">
        <v>1165</v>
      </c>
      <c r="F658" s="76" t="s">
        <v>1166</v>
      </c>
      <c r="G658" s="77" t="s">
        <v>1167</v>
      </c>
      <c r="H658" s="78" t="s">
        <v>1168</v>
      </c>
      <c r="I658" s="76" t="s">
        <v>1147</v>
      </c>
      <c r="J658" s="76" t="s">
        <v>1148</v>
      </c>
      <c r="K658" s="76" t="s">
        <v>439</v>
      </c>
      <c r="L658" s="63" t="s">
        <v>1149</v>
      </c>
      <c r="M658" s="63" t="s">
        <v>58</v>
      </c>
      <c r="N658" s="63" t="s">
        <v>59</v>
      </c>
      <c r="O658" s="76" t="s">
        <v>1169</v>
      </c>
      <c r="P658" s="63" t="s">
        <v>1861</v>
      </c>
      <c r="Q658" s="79">
        <v>8832000</v>
      </c>
      <c r="R658" s="63">
        <v>1</v>
      </c>
      <c r="S658" s="80">
        <v>8832000</v>
      </c>
      <c r="T658" s="63" t="s">
        <v>1171</v>
      </c>
      <c r="U658" s="63" t="s">
        <v>1171</v>
      </c>
      <c r="V658" s="81" t="s">
        <v>411</v>
      </c>
      <c r="W658" s="82" t="s">
        <v>439</v>
      </c>
      <c r="X658" s="63" t="s">
        <v>1862</v>
      </c>
      <c r="Y658" s="81">
        <v>43123</v>
      </c>
      <c r="Z658" s="86">
        <v>8832000</v>
      </c>
      <c r="AA658" s="84" t="s">
        <v>1782</v>
      </c>
      <c r="AB658" s="85">
        <v>566</v>
      </c>
      <c r="AC658" s="81">
        <v>43124</v>
      </c>
      <c r="AD658" s="86">
        <v>8832000</v>
      </c>
      <c r="AE658" s="87">
        <f t="shared" si="71"/>
        <v>0</v>
      </c>
      <c r="AF658" s="85">
        <v>1825</v>
      </c>
      <c r="AG658" s="81">
        <v>43210</v>
      </c>
      <c r="AH658" s="86">
        <v>8832000</v>
      </c>
      <c r="AI658" s="63" t="s">
        <v>1863</v>
      </c>
      <c r="AJ658" s="63">
        <v>1879</v>
      </c>
      <c r="AK658" s="87">
        <f t="shared" si="68"/>
        <v>0</v>
      </c>
      <c r="AL658" s="86">
        <v>0</v>
      </c>
      <c r="AM658" s="86">
        <f t="shared" si="69"/>
        <v>8832000</v>
      </c>
      <c r="AN658" s="63" t="s">
        <v>1155</v>
      </c>
      <c r="AO658" s="86">
        <f t="shared" si="70"/>
        <v>0</v>
      </c>
      <c r="AP658" s="63"/>
      <c r="AQ658" s="63"/>
      <c r="AR658" s="63"/>
      <c r="AS658" s="63"/>
      <c r="AT658" s="63"/>
      <c r="AU658" s="220"/>
      <c r="AV658" s="220"/>
      <c r="AW658" s="220"/>
    </row>
    <row r="659" spans="1:49" s="221" customFormat="1" ht="142.5" x14ac:dyDescent="0.25">
      <c r="A659" s="63">
        <v>245</v>
      </c>
      <c r="B659" s="63" t="str">
        <f t="shared" si="67"/>
        <v>3075-245</v>
      </c>
      <c r="C659" s="76" t="s">
        <v>1141</v>
      </c>
      <c r="D659" s="76" t="s">
        <v>1142</v>
      </c>
      <c r="E659" s="76" t="s">
        <v>1165</v>
      </c>
      <c r="F659" s="76" t="s">
        <v>1166</v>
      </c>
      <c r="G659" s="77" t="s">
        <v>1167</v>
      </c>
      <c r="H659" s="78" t="s">
        <v>1168</v>
      </c>
      <c r="I659" s="76" t="s">
        <v>1147</v>
      </c>
      <c r="J659" s="76" t="s">
        <v>1148</v>
      </c>
      <c r="K659" s="76" t="s">
        <v>439</v>
      </c>
      <c r="L659" s="63" t="s">
        <v>1149</v>
      </c>
      <c r="M659" s="63" t="s">
        <v>58</v>
      </c>
      <c r="N659" s="63" t="s">
        <v>59</v>
      </c>
      <c r="O659" s="76" t="s">
        <v>1169</v>
      </c>
      <c r="P659" s="63" t="s">
        <v>1864</v>
      </c>
      <c r="Q659" s="79">
        <v>39873100</v>
      </c>
      <c r="R659" s="63">
        <v>1</v>
      </c>
      <c r="S659" s="80">
        <v>39873100</v>
      </c>
      <c r="T659" s="63" t="s">
        <v>1171</v>
      </c>
      <c r="U659" s="63" t="s">
        <v>1171</v>
      </c>
      <c r="V659" s="81" t="s">
        <v>411</v>
      </c>
      <c r="W659" s="82" t="s">
        <v>439</v>
      </c>
      <c r="X659" s="63" t="s">
        <v>1865</v>
      </c>
      <c r="Y659" s="81">
        <v>43123</v>
      </c>
      <c r="Z659" s="86">
        <v>39873100</v>
      </c>
      <c r="AA659" s="84" t="s">
        <v>1782</v>
      </c>
      <c r="AB659" s="85">
        <v>567</v>
      </c>
      <c r="AC659" s="81">
        <v>43124</v>
      </c>
      <c r="AD659" s="86">
        <v>39873100</v>
      </c>
      <c r="AE659" s="87">
        <f t="shared" si="71"/>
        <v>0</v>
      </c>
      <c r="AF659" s="85">
        <v>1827</v>
      </c>
      <c r="AG659" s="81">
        <v>43210</v>
      </c>
      <c r="AH659" s="86">
        <v>39873100</v>
      </c>
      <c r="AI659" s="63" t="s">
        <v>1866</v>
      </c>
      <c r="AJ659" s="63">
        <v>1881</v>
      </c>
      <c r="AK659" s="87">
        <f t="shared" si="68"/>
        <v>0</v>
      </c>
      <c r="AL659" s="86">
        <v>11961930</v>
      </c>
      <c r="AM659" s="86">
        <f t="shared" si="69"/>
        <v>27911170</v>
      </c>
      <c r="AN659" s="63" t="s">
        <v>1155</v>
      </c>
      <c r="AO659" s="86">
        <f t="shared" si="70"/>
        <v>0</v>
      </c>
      <c r="AP659" s="63"/>
      <c r="AQ659" s="63"/>
      <c r="AR659" s="63"/>
      <c r="AS659" s="63"/>
      <c r="AT659" s="63"/>
      <c r="AU659" s="220"/>
      <c r="AV659" s="220"/>
      <c r="AW659" s="220"/>
    </row>
    <row r="660" spans="1:49" s="221" customFormat="1" ht="342" x14ac:dyDescent="0.25">
      <c r="A660" s="63">
        <v>246</v>
      </c>
      <c r="B660" s="63" t="str">
        <f t="shared" si="67"/>
        <v>3075-246</v>
      </c>
      <c r="C660" s="76" t="s">
        <v>1141</v>
      </c>
      <c r="D660" s="76" t="s">
        <v>1142</v>
      </c>
      <c r="E660" s="76" t="s">
        <v>1424</v>
      </c>
      <c r="F660" s="76" t="s">
        <v>1175</v>
      </c>
      <c r="G660" s="77" t="s">
        <v>1176</v>
      </c>
      <c r="H660" s="78" t="s">
        <v>1425</v>
      </c>
      <c r="I660" s="76" t="s">
        <v>1147</v>
      </c>
      <c r="J660" s="76" t="s">
        <v>1148</v>
      </c>
      <c r="K660" s="76" t="s">
        <v>439</v>
      </c>
      <c r="L660" s="63" t="s">
        <v>1149</v>
      </c>
      <c r="M660" s="63" t="s">
        <v>58</v>
      </c>
      <c r="N660" s="63" t="s">
        <v>59</v>
      </c>
      <c r="O660" s="76" t="s">
        <v>1213</v>
      </c>
      <c r="P660" s="63" t="s">
        <v>1867</v>
      </c>
      <c r="Q660" s="83">
        <v>54686940</v>
      </c>
      <c r="R660" s="98">
        <v>1</v>
      </c>
      <c r="S660" s="80">
        <v>54686940</v>
      </c>
      <c r="T660" s="63" t="s">
        <v>1171</v>
      </c>
      <c r="U660" s="63" t="s">
        <v>1171</v>
      </c>
      <c r="V660" s="81" t="s">
        <v>493</v>
      </c>
      <c r="W660" s="82" t="s">
        <v>439</v>
      </c>
      <c r="X660" s="99" t="s">
        <v>1868</v>
      </c>
      <c r="Y660" s="81">
        <v>43126</v>
      </c>
      <c r="Z660" s="83">
        <v>54686940</v>
      </c>
      <c r="AA660" s="84" t="s">
        <v>1742</v>
      </c>
      <c r="AB660" s="85">
        <v>572</v>
      </c>
      <c r="AC660" s="81">
        <v>43126</v>
      </c>
      <c r="AD660" s="86">
        <v>54686940</v>
      </c>
      <c r="AE660" s="87">
        <f t="shared" si="71"/>
        <v>0</v>
      </c>
      <c r="AF660" s="85">
        <v>1336</v>
      </c>
      <c r="AG660" s="81">
        <v>43144</v>
      </c>
      <c r="AH660" s="86">
        <v>54686940</v>
      </c>
      <c r="AI660" s="63" t="s">
        <v>1869</v>
      </c>
      <c r="AJ660" s="63">
        <v>1099</v>
      </c>
      <c r="AK660" s="87">
        <f t="shared" si="68"/>
        <v>0</v>
      </c>
      <c r="AL660" s="86">
        <v>54686940</v>
      </c>
      <c r="AM660" s="86">
        <f t="shared" si="69"/>
        <v>0</v>
      </c>
      <c r="AN660" s="63" t="s">
        <v>1155</v>
      </c>
      <c r="AO660" s="86">
        <f t="shared" si="70"/>
        <v>0</v>
      </c>
      <c r="AP660" s="63"/>
      <c r="AQ660" s="63"/>
      <c r="AR660" s="63"/>
      <c r="AS660" s="63"/>
      <c r="AT660" s="63"/>
      <c r="AU660" s="220"/>
      <c r="AV660" s="220"/>
      <c r="AW660" s="220"/>
    </row>
    <row r="661" spans="1:49" s="221" customFormat="1" ht="342" x14ac:dyDescent="0.25">
      <c r="A661" s="63">
        <v>247</v>
      </c>
      <c r="B661" s="63" t="str">
        <f t="shared" si="67"/>
        <v>3075-247</v>
      </c>
      <c r="C661" s="76" t="s">
        <v>1141</v>
      </c>
      <c r="D661" s="76" t="s">
        <v>1142</v>
      </c>
      <c r="E661" s="76" t="s">
        <v>1424</v>
      </c>
      <c r="F661" s="76" t="s">
        <v>1175</v>
      </c>
      <c r="G661" s="77" t="s">
        <v>1176</v>
      </c>
      <c r="H661" s="78" t="s">
        <v>1425</v>
      </c>
      <c r="I661" s="76" t="s">
        <v>1147</v>
      </c>
      <c r="J661" s="76" t="s">
        <v>1148</v>
      </c>
      <c r="K661" s="76" t="s">
        <v>439</v>
      </c>
      <c r="L661" s="63" t="s">
        <v>1149</v>
      </c>
      <c r="M661" s="63" t="s">
        <v>58</v>
      </c>
      <c r="N661" s="63" t="s">
        <v>59</v>
      </c>
      <c r="O661" s="76" t="s">
        <v>1213</v>
      </c>
      <c r="P661" s="63" t="s">
        <v>1870</v>
      </c>
      <c r="Q661" s="83">
        <v>54686940</v>
      </c>
      <c r="R661" s="98">
        <v>1</v>
      </c>
      <c r="S661" s="80">
        <v>54686940</v>
      </c>
      <c r="T661" s="63" t="s">
        <v>1171</v>
      </c>
      <c r="U661" s="63" t="s">
        <v>1171</v>
      </c>
      <c r="V661" s="81" t="s">
        <v>493</v>
      </c>
      <c r="W661" s="82" t="s">
        <v>439</v>
      </c>
      <c r="X661" s="99" t="s">
        <v>1871</v>
      </c>
      <c r="Y661" s="81">
        <v>43126</v>
      </c>
      <c r="Z661" s="83">
        <v>54686940</v>
      </c>
      <c r="AA661" s="84" t="s">
        <v>1742</v>
      </c>
      <c r="AB661" s="85">
        <v>574</v>
      </c>
      <c r="AC661" s="81">
        <v>43126</v>
      </c>
      <c r="AD661" s="86">
        <v>54686940</v>
      </c>
      <c r="AE661" s="87">
        <f t="shared" si="71"/>
        <v>0</v>
      </c>
      <c r="AF661" s="85">
        <v>1024</v>
      </c>
      <c r="AG661" s="81">
        <v>43140</v>
      </c>
      <c r="AH661" s="86">
        <v>54686940</v>
      </c>
      <c r="AI661" s="63" t="s">
        <v>1872</v>
      </c>
      <c r="AJ661" s="63">
        <v>760</v>
      </c>
      <c r="AK661" s="87">
        <f t="shared" si="68"/>
        <v>0</v>
      </c>
      <c r="AL661" s="86">
        <v>54686940</v>
      </c>
      <c r="AM661" s="86">
        <f t="shared" si="69"/>
        <v>0</v>
      </c>
      <c r="AN661" s="63" t="s">
        <v>1155</v>
      </c>
      <c r="AO661" s="86">
        <f t="shared" si="70"/>
        <v>0</v>
      </c>
      <c r="AP661" s="63"/>
      <c r="AQ661" s="63"/>
      <c r="AR661" s="63"/>
      <c r="AS661" s="63"/>
      <c r="AT661" s="63"/>
      <c r="AU661" s="220"/>
      <c r="AV661" s="220"/>
      <c r="AW661" s="220"/>
    </row>
    <row r="662" spans="1:49" s="221" customFormat="1" ht="342" x14ac:dyDescent="0.25">
      <c r="A662" s="63">
        <v>248</v>
      </c>
      <c r="B662" s="63" t="str">
        <f t="shared" si="67"/>
        <v>3075-248</v>
      </c>
      <c r="C662" s="76" t="s">
        <v>1141</v>
      </c>
      <c r="D662" s="76" t="s">
        <v>1142</v>
      </c>
      <c r="E662" s="76" t="s">
        <v>1424</v>
      </c>
      <c r="F662" s="76" t="s">
        <v>1175</v>
      </c>
      <c r="G662" s="77" t="s">
        <v>1176</v>
      </c>
      <c r="H662" s="78" t="s">
        <v>1425</v>
      </c>
      <c r="I662" s="76" t="s">
        <v>1147</v>
      </c>
      <c r="J662" s="76" t="s">
        <v>1148</v>
      </c>
      <c r="K662" s="76" t="s">
        <v>439</v>
      </c>
      <c r="L662" s="63" t="s">
        <v>1149</v>
      </c>
      <c r="M662" s="63" t="s">
        <v>58</v>
      </c>
      <c r="N662" s="63" t="s">
        <v>59</v>
      </c>
      <c r="O662" s="76" t="s">
        <v>1213</v>
      </c>
      <c r="P662" s="63" t="s">
        <v>1873</v>
      </c>
      <c r="Q662" s="83">
        <v>54686940</v>
      </c>
      <c r="R662" s="98">
        <v>1</v>
      </c>
      <c r="S662" s="80">
        <v>54686940</v>
      </c>
      <c r="T662" s="63" t="s">
        <v>1171</v>
      </c>
      <c r="U662" s="63" t="s">
        <v>1171</v>
      </c>
      <c r="V662" s="81" t="s">
        <v>493</v>
      </c>
      <c r="W662" s="82" t="s">
        <v>439</v>
      </c>
      <c r="X662" s="99" t="s">
        <v>1874</v>
      </c>
      <c r="Y662" s="81">
        <v>43126</v>
      </c>
      <c r="Z662" s="83">
        <v>54686940</v>
      </c>
      <c r="AA662" s="84" t="s">
        <v>1742</v>
      </c>
      <c r="AB662" s="85">
        <v>575</v>
      </c>
      <c r="AC662" s="81">
        <v>43126</v>
      </c>
      <c r="AD662" s="86">
        <v>54686940</v>
      </c>
      <c r="AE662" s="87">
        <f t="shared" si="71"/>
        <v>0</v>
      </c>
      <c r="AF662" s="85">
        <v>996</v>
      </c>
      <c r="AG662" s="81">
        <v>43140</v>
      </c>
      <c r="AH662" s="86">
        <v>54686940</v>
      </c>
      <c r="AI662" s="63" t="s">
        <v>1875</v>
      </c>
      <c r="AJ662" s="63">
        <v>599</v>
      </c>
      <c r="AK662" s="87">
        <f t="shared" si="68"/>
        <v>0</v>
      </c>
      <c r="AL662" s="86">
        <v>54686940</v>
      </c>
      <c r="AM662" s="86">
        <f t="shared" si="69"/>
        <v>0</v>
      </c>
      <c r="AN662" s="63" t="s">
        <v>1155</v>
      </c>
      <c r="AO662" s="86">
        <f t="shared" si="70"/>
        <v>0</v>
      </c>
      <c r="AP662" s="63"/>
      <c r="AQ662" s="63"/>
      <c r="AR662" s="63"/>
      <c r="AS662" s="63"/>
      <c r="AT662" s="63"/>
      <c r="AU662" s="220"/>
      <c r="AV662" s="220"/>
      <c r="AW662" s="220"/>
    </row>
    <row r="663" spans="1:49" s="221" customFormat="1" ht="342" x14ac:dyDescent="0.25">
      <c r="A663" s="63">
        <v>249</v>
      </c>
      <c r="B663" s="63" t="str">
        <f t="shared" si="67"/>
        <v>3075-249</v>
      </c>
      <c r="C663" s="76" t="s">
        <v>1141</v>
      </c>
      <c r="D663" s="76" t="s">
        <v>1142</v>
      </c>
      <c r="E663" s="76" t="s">
        <v>1424</v>
      </c>
      <c r="F663" s="76" t="s">
        <v>1175</v>
      </c>
      <c r="G663" s="77" t="s">
        <v>1176</v>
      </c>
      <c r="H663" s="78" t="s">
        <v>1425</v>
      </c>
      <c r="I663" s="76" t="s">
        <v>1147</v>
      </c>
      <c r="J663" s="76" t="s">
        <v>1148</v>
      </c>
      <c r="K663" s="76" t="s">
        <v>439</v>
      </c>
      <c r="L663" s="63" t="s">
        <v>1149</v>
      </c>
      <c r="M663" s="63" t="s">
        <v>58</v>
      </c>
      <c r="N663" s="63" t="s">
        <v>59</v>
      </c>
      <c r="O663" s="76" t="s">
        <v>1213</v>
      </c>
      <c r="P663" s="63" t="s">
        <v>1876</v>
      </c>
      <c r="Q663" s="83">
        <v>54686940</v>
      </c>
      <c r="R663" s="98">
        <v>1</v>
      </c>
      <c r="S663" s="80">
        <v>54686940</v>
      </c>
      <c r="T663" s="63" t="s">
        <v>1171</v>
      </c>
      <c r="U663" s="63" t="s">
        <v>1171</v>
      </c>
      <c r="V663" s="81" t="s">
        <v>493</v>
      </c>
      <c r="W663" s="82" t="s">
        <v>439</v>
      </c>
      <c r="X663" s="99" t="s">
        <v>1877</v>
      </c>
      <c r="Y663" s="81">
        <v>43126</v>
      </c>
      <c r="Z663" s="83">
        <v>54686940</v>
      </c>
      <c r="AA663" s="84" t="s">
        <v>1742</v>
      </c>
      <c r="AB663" s="85">
        <v>577</v>
      </c>
      <c r="AC663" s="81">
        <v>43126</v>
      </c>
      <c r="AD663" s="86">
        <v>54686940</v>
      </c>
      <c r="AE663" s="87">
        <f t="shared" si="71"/>
        <v>0</v>
      </c>
      <c r="AF663" s="85">
        <v>533</v>
      </c>
      <c r="AG663" s="81">
        <v>43133</v>
      </c>
      <c r="AH663" s="86">
        <v>54686940</v>
      </c>
      <c r="AI663" s="63" t="s">
        <v>1878</v>
      </c>
      <c r="AJ663" s="63">
        <v>515</v>
      </c>
      <c r="AK663" s="87">
        <f t="shared" si="68"/>
        <v>0</v>
      </c>
      <c r="AL663" s="86">
        <v>54686940</v>
      </c>
      <c r="AM663" s="86">
        <f t="shared" si="69"/>
        <v>0</v>
      </c>
      <c r="AN663" s="63" t="s">
        <v>1155</v>
      </c>
      <c r="AO663" s="86">
        <f t="shared" si="70"/>
        <v>0</v>
      </c>
      <c r="AP663" s="63"/>
      <c r="AQ663" s="63"/>
      <c r="AR663" s="63"/>
      <c r="AS663" s="63"/>
      <c r="AT663" s="63"/>
      <c r="AU663" s="220"/>
      <c r="AV663" s="220"/>
      <c r="AW663" s="220"/>
    </row>
    <row r="664" spans="1:49" s="221" customFormat="1" ht="342" x14ac:dyDescent="0.25">
      <c r="A664" s="63">
        <v>250</v>
      </c>
      <c r="B664" s="63" t="str">
        <f t="shared" si="67"/>
        <v>3075-250</v>
      </c>
      <c r="C664" s="76" t="s">
        <v>1141</v>
      </c>
      <c r="D664" s="76" t="s">
        <v>1142</v>
      </c>
      <c r="E664" s="76" t="s">
        <v>1424</v>
      </c>
      <c r="F664" s="76" t="s">
        <v>1175</v>
      </c>
      <c r="G664" s="77" t="s">
        <v>1176</v>
      </c>
      <c r="H664" s="78" t="s">
        <v>1425</v>
      </c>
      <c r="I664" s="76" t="s">
        <v>1147</v>
      </c>
      <c r="J664" s="76" t="s">
        <v>1148</v>
      </c>
      <c r="K664" s="76" t="s">
        <v>439</v>
      </c>
      <c r="L664" s="63" t="s">
        <v>1149</v>
      </c>
      <c r="M664" s="63" t="s">
        <v>58</v>
      </c>
      <c r="N664" s="63" t="s">
        <v>59</v>
      </c>
      <c r="O664" s="76" t="s">
        <v>1213</v>
      </c>
      <c r="P664" s="63" t="s">
        <v>1879</v>
      </c>
      <c r="Q664" s="83">
        <v>54686940</v>
      </c>
      <c r="R664" s="98">
        <v>1</v>
      </c>
      <c r="S664" s="80">
        <v>54686940</v>
      </c>
      <c r="T664" s="63" t="s">
        <v>1171</v>
      </c>
      <c r="U664" s="63" t="s">
        <v>1171</v>
      </c>
      <c r="V664" s="81" t="s">
        <v>493</v>
      </c>
      <c r="W664" s="82" t="s">
        <v>439</v>
      </c>
      <c r="X664" s="99" t="s">
        <v>1880</v>
      </c>
      <c r="Y664" s="81">
        <v>43126</v>
      </c>
      <c r="Z664" s="83">
        <v>54686940</v>
      </c>
      <c r="AA664" s="84" t="s">
        <v>1742</v>
      </c>
      <c r="AB664" s="85">
        <v>578</v>
      </c>
      <c r="AC664" s="81">
        <v>43126</v>
      </c>
      <c r="AD664" s="86">
        <v>54686940</v>
      </c>
      <c r="AE664" s="87">
        <f t="shared" si="71"/>
        <v>0</v>
      </c>
      <c r="AF664" s="85">
        <v>1367</v>
      </c>
      <c r="AG664" s="81">
        <v>43147</v>
      </c>
      <c r="AH664" s="86">
        <v>54686940</v>
      </c>
      <c r="AI664" s="63" t="s">
        <v>1881</v>
      </c>
      <c r="AJ664" s="63">
        <v>1269</v>
      </c>
      <c r="AK664" s="87">
        <f t="shared" si="68"/>
        <v>0</v>
      </c>
      <c r="AL664" s="86">
        <v>54686940</v>
      </c>
      <c r="AM664" s="86">
        <f t="shared" si="69"/>
        <v>0</v>
      </c>
      <c r="AN664" s="63" t="s">
        <v>1155</v>
      </c>
      <c r="AO664" s="86">
        <f t="shared" si="70"/>
        <v>0</v>
      </c>
      <c r="AP664" s="63"/>
      <c r="AQ664" s="63"/>
      <c r="AR664" s="63"/>
      <c r="AS664" s="63"/>
      <c r="AT664" s="63"/>
      <c r="AU664" s="220"/>
      <c r="AV664" s="220"/>
      <c r="AW664" s="220"/>
    </row>
    <row r="665" spans="1:49" s="221" customFormat="1" ht="342" x14ac:dyDescent="0.25">
      <c r="A665" s="63">
        <v>251</v>
      </c>
      <c r="B665" s="63" t="str">
        <f t="shared" si="67"/>
        <v>3075-251</v>
      </c>
      <c r="C665" s="76" t="s">
        <v>1141</v>
      </c>
      <c r="D665" s="76" t="s">
        <v>1142</v>
      </c>
      <c r="E665" s="76" t="s">
        <v>1424</v>
      </c>
      <c r="F665" s="76" t="s">
        <v>1175</v>
      </c>
      <c r="G665" s="77" t="s">
        <v>1176</v>
      </c>
      <c r="H665" s="78" t="s">
        <v>1425</v>
      </c>
      <c r="I665" s="76" t="s">
        <v>1147</v>
      </c>
      <c r="J665" s="76" t="s">
        <v>1148</v>
      </c>
      <c r="K665" s="76" t="s">
        <v>439</v>
      </c>
      <c r="L665" s="63" t="s">
        <v>1149</v>
      </c>
      <c r="M665" s="63" t="s">
        <v>58</v>
      </c>
      <c r="N665" s="63" t="s">
        <v>59</v>
      </c>
      <c r="O665" s="76" t="s">
        <v>1213</v>
      </c>
      <c r="P665" s="63" t="s">
        <v>1882</v>
      </c>
      <c r="Q665" s="83">
        <v>54686940</v>
      </c>
      <c r="R665" s="98">
        <v>1</v>
      </c>
      <c r="S665" s="80">
        <v>54686940</v>
      </c>
      <c r="T665" s="63" t="s">
        <v>1171</v>
      </c>
      <c r="U665" s="63" t="s">
        <v>1171</v>
      </c>
      <c r="V665" s="81" t="s">
        <v>493</v>
      </c>
      <c r="W665" s="82" t="s">
        <v>439</v>
      </c>
      <c r="X665" s="99" t="s">
        <v>1883</v>
      </c>
      <c r="Y665" s="81">
        <v>43126</v>
      </c>
      <c r="Z665" s="83">
        <v>54686940</v>
      </c>
      <c r="AA665" s="84" t="s">
        <v>1742</v>
      </c>
      <c r="AB665" s="85">
        <v>573</v>
      </c>
      <c r="AC665" s="81">
        <v>43126</v>
      </c>
      <c r="AD665" s="86">
        <v>54686940</v>
      </c>
      <c r="AE665" s="87">
        <f t="shared" si="71"/>
        <v>0</v>
      </c>
      <c r="AF665" s="85">
        <v>1455</v>
      </c>
      <c r="AG665" s="81">
        <v>43153</v>
      </c>
      <c r="AH665" s="86">
        <v>54686940</v>
      </c>
      <c r="AI665" s="63" t="s">
        <v>1884</v>
      </c>
      <c r="AJ665" s="63">
        <v>1357</v>
      </c>
      <c r="AK665" s="87">
        <f t="shared" si="68"/>
        <v>0</v>
      </c>
      <c r="AL665" s="86">
        <v>54686940</v>
      </c>
      <c r="AM665" s="86">
        <f t="shared" si="69"/>
        <v>0</v>
      </c>
      <c r="AN665" s="63" t="s">
        <v>1155</v>
      </c>
      <c r="AO665" s="86">
        <f t="shared" si="70"/>
        <v>0</v>
      </c>
      <c r="AP665" s="63"/>
      <c r="AQ665" s="63"/>
      <c r="AR665" s="63"/>
      <c r="AS665" s="63"/>
      <c r="AT665" s="63"/>
      <c r="AU665" s="220"/>
      <c r="AV665" s="220"/>
      <c r="AW665" s="220"/>
    </row>
    <row r="666" spans="1:49" s="221" customFormat="1" ht="342" x14ac:dyDescent="0.25">
      <c r="A666" s="63">
        <v>252</v>
      </c>
      <c r="B666" s="63" t="str">
        <f t="shared" si="67"/>
        <v>3075-252</v>
      </c>
      <c r="C666" s="76" t="s">
        <v>1141</v>
      </c>
      <c r="D666" s="76" t="s">
        <v>1142</v>
      </c>
      <c r="E666" s="76" t="s">
        <v>1424</v>
      </c>
      <c r="F666" s="76" t="s">
        <v>1175</v>
      </c>
      <c r="G666" s="77" t="s">
        <v>1176</v>
      </c>
      <c r="H666" s="78" t="s">
        <v>1425</v>
      </c>
      <c r="I666" s="76" t="s">
        <v>1147</v>
      </c>
      <c r="J666" s="76" t="s">
        <v>1148</v>
      </c>
      <c r="K666" s="76" t="s">
        <v>439</v>
      </c>
      <c r="L666" s="63" t="s">
        <v>1149</v>
      </c>
      <c r="M666" s="63" t="s">
        <v>58</v>
      </c>
      <c r="N666" s="63" t="s">
        <v>59</v>
      </c>
      <c r="O666" s="76" t="s">
        <v>1213</v>
      </c>
      <c r="P666" s="63" t="s">
        <v>1885</v>
      </c>
      <c r="Q666" s="83">
        <v>54686940</v>
      </c>
      <c r="R666" s="98">
        <v>1</v>
      </c>
      <c r="S666" s="80">
        <v>54686940</v>
      </c>
      <c r="T666" s="63" t="s">
        <v>1171</v>
      </c>
      <c r="U666" s="63" t="s">
        <v>1171</v>
      </c>
      <c r="V666" s="81" t="s">
        <v>493</v>
      </c>
      <c r="W666" s="82" t="s">
        <v>439</v>
      </c>
      <c r="X666" s="99" t="s">
        <v>1886</v>
      </c>
      <c r="Y666" s="81">
        <v>43126</v>
      </c>
      <c r="Z666" s="83">
        <v>54686940</v>
      </c>
      <c r="AA666" s="84" t="s">
        <v>1742</v>
      </c>
      <c r="AB666" s="85">
        <v>576</v>
      </c>
      <c r="AC666" s="81">
        <v>43126</v>
      </c>
      <c r="AD666" s="86">
        <v>54686940</v>
      </c>
      <c r="AE666" s="87">
        <f t="shared" si="71"/>
        <v>0</v>
      </c>
      <c r="AF666" s="85">
        <v>1383</v>
      </c>
      <c r="AG666" s="81">
        <v>43150</v>
      </c>
      <c r="AH666" s="86">
        <v>54686940</v>
      </c>
      <c r="AI666" s="63" t="s">
        <v>1825</v>
      </c>
      <c r="AJ666" s="63">
        <v>1280</v>
      </c>
      <c r="AK666" s="87">
        <f t="shared" si="68"/>
        <v>0</v>
      </c>
      <c r="AL666" s="86">
        <v>54686940</v>
      </c>
      <c r="AM666" s="86">
        <f t="shared" si="69"/>
        <v>0</v>
      </c>
      <c r="AN666" s="63" t="s">
        <v>1155</v>
      </c>
      <c r="AO666" s="86">
        <f t="shared" si="70"/>
        <v>0</v>
      </c>
      <c r="AP666" s="63"/>
      <c r="AQ666" s="63"/>
      <c r="AR666" s="63"/>
      <c r="AS666" s="63"/>
      <c r="AT666" s="63"/>
      <c r="AU666" s="220"/>
      <c r="AV666" s="220"/>
      <c r="AW666" s="220"/>
    </row>
    <row r="667" spans="1:49" s="221" customFormat="1" ht="342" x14ac:dyDescent="0.25">
      <c r="A667" s="63">
        <v>253</v>
      </c>
      <c r="B667" s="63" t="str">
        <f t="shared" si="67"/>
        <v>3075-253</v>
      </c>
      <c r="C667" s="76" t="s">
        <v>1141</v>
      </c>
      <c r="D667" s="76" t="s">
        <v>1142</v>
      </c>
      <c r="E667" s="76" t="s">
        <v>1424</v>
      </c>
      <c r="F667" s="76" t="s">
        <v>1175</v>
      </c>
      <c r="G667" s="77" t="s">
        <v>1176</v>
      </c>
      <c r="H667" s="78" t="s">
        <v>1425</v>
      </c>
      <c r="I667" s="76" t="s">
        <v>1147</v>
      </c>
      <c r="J667" s="76" t="s">
        <v>1148</v>
      </c>
      <c r="K667" s="76" t="s">
        <v>439</v>
      </c>
      <c r="L667" s="63" t="s">
        <v>1149</v>
      </c>
      <c r="M667" s="63" t="s">
        <v>58</v>
      </c>
      <c r="N667" s="63" t="s">
        <v>59</v>
      </c>
      <c r="O667" s="76" t="s">
        <v>1213</v>
      </c>
      <c r="P667" s="63" t="s">
        <v>1887</v>
      </c>
      <c r="Q667" s="83">
        <v>54686940</v>
      </c>
      <c r="R667" s="98">
        <v>1</v>
      </c>
      <c r="S667" s="80">
        <v>54686940</v>
      </c>
      <c r="T667" s="63" t="s">
        <v>1171</v>
      </c>
      <c r="U667" s="63" t="s">
        <v>1171</v>
      </c>
      <c r="V667" s="81" t="s">
        <v>493</v>
      </c>
      <c r="W667" s="82" t="s">
        <v>439</v>
      </c>
      <c r="X667" s="99" t="s">
        <v>1888</v>
      </c>
      <c r="Y667" s="81">
        <v>43126</v>
      </c>
      <c r="Z667" s="83">
        <v>54686940</v>
      </c>
      <c r="AA667" s="84" t="s">
        <v>1742</v>
      </c>
      <c r="AB667" s="85">
        <v>579</v>
      </c>
      <c r="AC667" s="81">
        <v>43126</v>
      </c>
      <c r="AD667" s="86">
        <v>54686940</v>
      </c>
      <c r="AE667" s="87">
        <f t="shared" si="71"/>
        <v>0</v>
      </c>
      <c r="AF667" s="85">
        <v>1025</v>
      </c>
      <c r="AG667" s="81">
        <v>43140</v>
      </c>
      <c r="AH667" s="86">
        <v>54686940</v>
      </c>
      <c r="AI667" s="63" t="s">
        <v>1889</v>
      </c>
      <c r="AJ667" s="63">
        <v>761</v>
      </c>
      <c r="AK667" s="87">
        <f t="shared" si="68"/>
        <v>0</v>
      </c>
      <c r="AL667" s="86">
        <v>54686940</v>
      </c>
      <c r="AM667" s="86">
        <f t="shared" si="69"/>
        <v>0</v>
      </c>
      <c r="AN667" s="63" t="s">
        <v>1155</v>
      </c>
      <c r="AO667" s="86">
        <f t="shared" si="70"/>
        <v>0</v>
      </c>
      <c r="AP667" s="63"/>
      <c r="AQ667" s="63"/>
      <c r="AR667" s="63"/>
      <c r="AS667" s="63"/>
      <c r="AT667" s="63"/>
      <c r="AU667" s="220"/>
      <c r="AV667" s="220"/>
      <c r="AW667" s="220"/>
    </row>
    <row r="668" spans="1:49" s="221" customFormat="1" ht="342" x14ac:dyDescent="0.25">
      <c r="A668" s="63">
        <v>254</v>
      </c>
      <c r="B668" s="63" t="str">
        <f t="shared" si="67"/>
        <v>3075-254</v>
      </c>
      <c r="C668" s="76" t="s">
        <v>1141</v>
      </c>
      <c r="D668" s="76" t="s">
        <v>1142</v>
      </c>
      <c r="E668" s="76" t="s">
        <v>1424</v>
      </c>
      <c r="F668" s="76" t="s">
        <v>1175</v>
      </c>
      <c r="G668" s="77" t="s">
        <v>1176</v>
      </c>
      <c r="H668" s="78" t="s">
        <v>1425</v>
      </c>
      <c r="I668" s="76" t="s">
        <v>1147</v>
      </c>
      <c r="J668" s="76" t="s">
        <v>1148</v>
      </c>
      <c r="K668" s="76" t="s">
        <v>439</v>
      </c>
      <c r="L668" s="63" t="s">
        <v>1149</v>
      </c>
      <c r="M668" s="63" t="s">
        <v>58</v>
      </c>
      <c r="N668" s="63" t="s">
        <v>59</v>
      </c>
      <c r="O668" s="76" t="s">
        <v>1213</v>
      </c>
      <c r="P668" s="63" t="s">
        <v>1890</v>
      </c>
      <c r="Q668" s="83">
        <v>54686940</v>
      </c>
      <c r="R668" s="98">
        <v>1</v>
      </c>
      <c r="S668" s="80">
        <v>54686940</v>
      </c>
      <c r="T668" s="63" t="s">
        <v>1171</v>
      </c>
      <c r="U668" s="63" t="s">
        <v>1171</v>
      </c>
      <c r="V668" s="81" t="s">
        <v>493</v>
      </c>
      <c r="W668" s="82" t="s">
        <v>439</v>
      </c>
      <c r="X668" s="99" t="s">
        <v>1891</v>
      </c>
      <c r="Y668" s="81">
        <v>43126</v>
      </c>
      <c r="Z668" s="83">
        <v>54686940</v>
      </c>
      <c r="AA668" s="84" t="s">
        <v>1742</v>
      </c>
      <c r="AB668" s="85">
        <v>581</v>
      </c>
      <c r="AC668" s="81">
        <v>43126</v>
      </c>
      <c r="AD668" s="86">
        <v>54686940</v>
      </c>
      <c r="AE668" s="87">
        <f t="shared" si="71"/>
        <v>0</v>
      </c>
      <c r="AF668" s="85">
        <v>1016</v>
      </c>
      <c r="AG668" s="81">
        <v>43140</v>
      </c>
      <c r="AH668" s="86">
        <v>54686940</v>
      </c>
      <c r="AI668" s="63" t="s">
        <v>1892</v>
      </c>
      <c r="AJ668" s="63">
        <v>767</v>
      </c>
      <c r="AK668" s="87">
        <f t="shared" si="68"/>
        <v>0</v>
      </c>
      <c r="AL668" s="86">
        <v>54686940</v>
      </c>
      <c r="AM668" s="86">
        <f t="shared" si="69"/>
        <v>0</v>
      </c>
      <c r="AN668" s="63" t="s">
        <v>1155</v>
      </c>
      <c r="AO668" s="86">
        <f t="shared" si="70"/>
        <v>0</v>
      </c>
      <c r="AP668" s="63"/>
      <c r="AQ668" s="63"/>
      <c r="AR668" s="63"/>
      <c r="AS668" s="63"/>
      <c r="AT668" s="63"/>
      <c r="AU668" s="220"/>
      <c r="AV668" s="220"/>
      <c r="AW668" s="220"/>
    </row>
    <row r="669" spans="1:49" s="221" customFormat="1" ht="342" x14ac:dyDescent="0.25">
      <c r="A669" s="63">
        <v>255</v>
      </c>
      <c r="B669" s="63" t="str">
        <f t="shared" si="67"/>
        <v>3075-255</v>
      </c>
      <c r="C669" s="76" t="s">
        <v>1141</v>
      </c>
      <c r="D669" s="76" t="s">
        <v>1142</v>
      </c>
      <c r="E669" s="76" t="s">
        <v>1424</v>
      </c>
      <c r="F669" s="76" t="s">
        <v>1175</v>
      </c>
      <c r="G669" s="77" t="s">
        <v>1176</v>
      </c>
      <c r="H669" s="78" t="s">
        <v>1425</v>
      </c>
      <c r="I669" s="76" t="s">
        <v>1147</v>
      </c>
      <c r="J669" s="76" t="s">
        <v>1148</v>
      </c>
      <c r="K669" s="76" t="s">
        <v>439</v>
      </c>
      <c r="L669" s="63" t="s">
        <v>1149</v>
      </c>
      <c r="M669" s="63" t="s">
        <v>58</v>
      </c>
      <c r="N669" s="63" t="s">
        <v>59</v>
      </c>
      <c r="O669" s="76" t="s">
        <v>1213</v>
      </c>
      <c r="P669" s="63" t="s">
        <v>1893</v>
      </c>
      <c r="Q669" s="83">
        <v>54686940</v>
      </c>
      <c r="R669" s="98">
        <v>1</v>
      </c>
      <c r="S669" s="80">
        <v>54686940</v>
      </c>
      <c r="T669" s="63" t="s">
        <v>1171</v>
      </c>
      <c r="U669" s="63" t="s">
        <v>1171</v>
      </c>
      <c r="V669" s="81" t="s">
        <v>493</v>
      </c>
      <c r="W669" s="82" t="s">
        <v>439</v>
      </c>
      <c r="X669" s="99" t="s">
        <v>1894</v>
      </c>
      <c r="Y669" s="81">
        <v>43126</v>
      </c>
      <c r="Z669" s="83">
        <v>54686940</v>
      </c>
      <c r="AA669" s="84" t="s">
        <v>1742</v>
      </c>
      <c r="AB669" s="85">
        <v>584</v>
      </c>
      <c r="AC669" s="81">
        <v>43126</v>
      </c>
      <c r="AD669" s="86">
        <v>54686940</v>
      </c>
      <c r="AE669" s="87">
        <f t="shared" si="71"/>
        <v>0</v>
      </c>
      <c r="AF669" s="85">
        <v>834</v>
      </c>
      <c r="AG669" s="81">
        <v>43138</v>
      </c>
      <c r="AH669" s="86">
        <v>54686940</v>
      </c>
      <c r="AI669" s="63" t="s">
        <v>1895</v>
      </c>
      <c r="AJ669" s="63">
        <v>601</v>
      </c>
      <c r="AK669" s="87">
        <f t="shared" si="68"/>
        <v>0</v>
      </c>
      <c r="AL669" s="86">
        <v>54686940</v>
      </c>
      <c r="AM669" s="86">
        <f t="shared" si="69"/>
        <v>0</v>
      </c>
      <c r="AN669" s="63" t="s">
        <v>1155</v>
      </c>
      <c r="AO669" s="86">
        <f t="shared" si="70"/>
        <v>0</v>
      </c>
      <c r="AP669" s="63"/>
      <c r="AQ669" s="63"/>
      <c r="AR669" s="63"/>
      <c r="AS669" s="63"/>
      <c r="AT669" s="63"/>
      <c r="AU669" s="220"/>
      <c r="AV669" s="220"/>
      <c r="AW669" s="220"/>
    </row>
    <row r="670" spans="1:49" s="221" customFormat="1" ht="342" x14ac:dyDescent="0.25">
      <c r="A670" s="63">
        <v>256</v>
      </c>
      <c r="B670" s="63" t="str">
        <f t="shared" si="67"/>
        <v>3075-256</v>
      </c>
      <c r="C670" s="76" t="s">
        <v>1141</v>
      </c>
      <c r="D670" s="76" t="s">
        <v>1142</v>
      </c>
      <c r="E670" s="76" t="s">
        <v>1424</v>
      </c>
      <c r="F670" s="76" t="s">
        <v>1175</v>
      </c>
      <c r="G670" s="77" t="s">
        <v>1176</v>
      </c>
      <c r="H670" s="78" t="s">
        <v>1425</v>
      </c>
      <c r="I670" s="76" t="s">
        <v>1147</v>
      </c>
      <c r="J670" s="76" t="s">
        <v>1148</v>
      </c>
      <c r="K670" s="76" t="s">
        <v>439</v>
      </c>
      <c r="L670" s="63" t="s">
        <v>1149</v>
      </c>
      <c r="M670" s="63" t="s">
        <v>58</v>
      </c>
      <c r="N670" s="63" t="s">
        <v>59</v>
      </c>
      <c r="O670" s="76" t="s">
        <v>1213</v>
      </c>
      <c r="P670" s="63" t="s">
        <v>1896</v>
      </c>
      <c r="Q670" s="83">
        <v>54686940</v>
      </c>
      <c r="R670" s="98">
        <v>1</v>
      </c>
      <c r="S670" s="80">
        <v>54686940</v>
      </c>
      <c r="T670" s="63" t="s">
        <v>1171</v>
      </c>
      <c r="U670" s="63" t="s">
        <v>1171</v>
      </c>
      <c r="V670" s="81" t="s">
        <v>493</v>
      </c>
      <c r="W670" s="82" t="s">
        <v>439</v>
      </c>
      <c r="X670" s="99" t="s">
        <v>1897</v>
      </c>
      <c r="Y670" s="81">
        <v>43126</v>
      </c>
      <c r="Z670" s="83">
        <v>54686940</v>
      </c>
      <c r="AA670" s="84" t="s">
        <v>1742</v>
      </c>
      <c r="AB670" s="85">
        <v>586</v>
      </c>
      <c r="AC670" s="81">
        <v>43126</v>
      </c>
      <c r="AD670" s="86">
        <v>54686940</v>
      </c>
      <c r="AE670" s="87">
        <f t="shared" si="71"/>
        <v>0</v>
      </c>
      <c r="AF670" s="85">
        <v>1026</v>
      </c>
      <c r="AG670" s="81">
        <v>43140</v>
      </c>
      <c r="AH670" s="86">
        <v>54686940</v>
      </c>
      <c r="AI670" s="63" t="s">
        <v>1898</v>
      </c>
      <c r="AJ670" s="63">
        <v>759</v>
      </c>
      <c r="AK670" s="87">
        <f t="shared" si="68"/>
        <v>0</v>
      </c>
      <c r="AL670" s="86">
        <v>54686940</v>
      </c>
      <c r="AM670" s="86">
        <f t="shared" si="69"/>
        <v>0</v>
      </c>
      <c r="AN670" s="63" t="s">
        <v>1155</v>
      </c>
      <c r="AO670" s="86">
        <f t="shared" si="70"/>
        <v>0</v>
      </c>
      <c r="AP670" s="63"/>
      <c r="AQ670" s="63"/>
      <c r="AR670" s="63"/>
      <c r="AS670" s="63"/>
      <c r="AT670" s="63"/>
      <c r="AU670" s="220"/>
      <c r="AV670" s="220"/>
      <c r="AW670" s="220"/>
    </row>
    <row r="671" spans="1:49" s="221" customFormat="1" ht="342" x14ac:dyDescent="0.25">
      <c r="A671" s="63">
        <v>257</v>
      </c>
      <c r="B671" s="63" t="str">
        <f t="shared" ref="B671:B734" si="72">CONCATENATE("3075","-",A671)</f>
        <v>3075-257</v>
      </c>
      <c r="C671" s="76" t="s">
        <v>1141</v>
      </c>
      <c r="D671" s="76" t="s">
        <v>1142</v>
      </c>
      <c r="E671" s="76" t="s">
        <v>1424</v>
      </c>
      <c r="F671" s="76" t="s">
        <v>1175</v>
      </c>
      <c r="G671" s="77" t="s">
        <v>1176</v>
      </c>
      <c r="H671" s="78" t="s">
        <v>1425</v>
      </c>
      <c r="I671" s="76" t="s">
        <v>1147</v>
      </c>
      <c r="J671" s="76" t="s">
        <v>1148</v>
      </c>
      <c r="K671" s="76" t="s">
        <v>439</v>
      </c>
      <c r="L671" s="63" t="s">
        <v>1149</v>
      </c>
      <c r="M671" s="63" t="s">
        <v>58</v>
      </c>
      <c r="N671" s="63" t="s">
        <v>59</v>
      </c>
      <c r="O671" s="76" t="s">
        <v>1213</v>
      </c>
      <c r="P671" s="63" t="s">
        <v>1899</v>
      </c>
      <c r="Q671" s="83">
        <v>54686940</v>
      </c>
      <c r="R671" s="98">
        <v>1</v>
      </c>
      <c r="S671" s="80">
        <v>54686940</v>
      </c>
      <c r="T671" s="63" t="s">
        <v>1171</v>
      </c>
      <c r="U671" s="63" t="s">
        <v>1171</v>
      </c>
      <c r="V671" s="81" t="s">
        <v>493</v>
      </c>
      <c r="W671" s="82" t="s">
        <v>439</v>
      </c>
      <c r="X671" s="99" t="s">
        <v>1900</v>
      </c>
      <c r="Y671" s="81">
        <v>43126</v>
      </c>
      <c r="Z671" s="83">
        <v>54686940</v>
      </c>
      <c r="AA671" s="84" t="s">
        <v>1742</v>
      </c>
      <c r="AB671" s="85">
        <v>587</v>
      </c>
      <c r="AC671" s="81">
        <v>43126</v>
      </c>
      <c r="AD671" s="86">
        <v>54686940</v>
      </c>
      <c r="AE671" s="87">
        <f t="shared" si="71"/>
        <v>0</v>
      </c>
      <c r="AF671" s="85">
        <v>833</v>
      </c>
      <c r="AG671" s="81">
        <v>43138</v>
      </c>
      <c r="AH671" s="86">
        <v>54686940</v>
      </c>
      <c r="AI671" s="63" t="s">
        <v>1901</v>
      </c>
      <c r="AJ671" s="63">
        <v>600</v>
      </c>
      <c r="AK671" s="87">
        <f t="shared" ref="AK671:AK734" si="73">AD671-AH671</f>
        <v>0</v>
      </c>
      <c r="AL671" s="86">
        <v>54686940</v>
      </c>
      <c r="AM671" s="86">
        <f t="shared" ref="AM671:AM734" si="74">AH671-AL671</f>
        <v>0</v>
      </c>
      <c r="AN671" s="63" t="s">
        <v>1155</v>
      </c>
      <c r="AO671" s="86">
        <f t="shared" ref="AO671:AO734" si="75">S671-AH671</f>
        <v>0</v>
      </c>
      <c r="AP671" s="63"/>
      <c r="AQ671" s="63"/>
      <c r="AR671" s="63"/>
      <c r="AS671" s="63"/>
      <c r="AT671" s="63"/>
      <c r="AU671" s="220"/>
      <c r="AV671" s="220"/>
      <c r="AW671" s="220"/>
    </row>
    <row r="672" spans="1:49" s="221" customFormat="1" ht="342" x14ac:dyDescent="0.25">
      <c r="A672" s="63">
        <v>258</v>
      </c>
      <c r="B672" s="63" t="str">
        <f t="shared" si="72"/>
        <v>3075-258</v>
      </c>
      <c r="C672" s="76" t="s">
        <v>1141</v>
      </c>
      <c r="D672" s="76" t="s">
        <v>1142</v>
      </c>
      <c r="E672" s="76" t="s">
        <v>1424</v>
      </c>
      <c r="F672" s="76" t="s">
        <v>1175</v>
      </c>
      <c r="G672" s="77" t="s">
        <v>1176</v>
      </c>
      <c r="H672" s="78" t="s">
        <v>1425</v>
      </c>
      <c r="I672" s="76" t="s">
        <v>1147</v>
      </c>
      <c r="J672" s="76" t="s">
        <v>1148</v>
      </c>
      <c r="K672" s="76" t="s">
        <v>439</v>
      </c>
      <c r="L672" s="63" t="s">
        <v>1149</v>
      </c>
      <c r="M672" s="63" t="s">
        <v>58</v>
      </c>
      <c r="N672" s="63" t="s">
        <v>59</v>
      </c>
      <c r="O672" s="76" t="s">
        <v>1213</v>
      </c>
      <c r="P672" s="63" t="s">
        <v>1902</v>
      </c>
      <c r="Q672" s="83">
        <v>54686940</v>
      </c>
      <c r="R672" s="98">
        <v>1</v>
      </c>
      <c r="S672" s="80">
        <v>54686940</v>
      </c>
      <c r="T672" s="63" t="s">
        <v>1171</v>
      </c>
      <c r="U672" s="63" t="s">
        <v>1171</v>
      </c>
      <c r="V672" s="81" t="s">
        <v>493</v>
      </c>
      <c r="W672" s="82" t="s">
        <v>439</v>
      </c>
      <c r="X672" s="99" t="s">
        <v>1903</v>
      </c>
      <c r="Y672" s="81">
        <v>43126</v>
      </c>
      <c r="Z672" s="83">
        <v>54686940</v>
      </c>
      <c r="AA672" s="84" t="s">
        <v>1742</v>
      </c>
      <c r="AB672" s="85">
        <v>589</v>
      </c>
      <c r="AC672" s="81">
        <v>43126</v>
      </c>
      <c r="AD672" s="86">
        <v>54686940</v>
      </c>
      <c r="AE672" s="87">
        <f t="shared" si="71"/>
        <v>0</v>
      </c>
      <c r="AF672" s="85">
        <v>1371</v>
      </c>
      <c r="AG672" s="81">
        <v>43147</v>
      </c>
      <c r="AH672" s="86">
        <v>54686940</v>
      </c>
      <c r="AI672" s="63" t="s">
        <v>1904</v>
      </c>
      <c r="AJ672" s="63">
        <v>1273</v>
      </c>
      <c r="AK672" s="87">
        <f t="shared" si="73"/>
        <v>0</v>
      </c>
      <c r="AL672" s="86">
        <v>54686940</v>
      </c>
      <c r="AM672" s="86">
        <f t="shared" si="74"/>
        <v>0</v>
      </c>
      <c r="AN672" s="63" t="s">
        <v>1155</v>
      </c>
      <c r="AO672" s="86">
        <f t="shared" si="75"/>
        <v>0</v>
      </c>
      <c r="AP672" s="63"/>
      <c r="AQ672" s="63"/>
      <c r="AR672" s="63"/>
      <c r="AS672" s="63"/>
      <c r="AT672" s="63"/>
      <c r="AU672" s="220"/>
      <c r="AV672" s="220"/>
      <c r="AW672" s="220"/>
    </row>
    <row r="673" spans="1:49" s="221" customFormat="1" ht="342" x14ac:dyDescent="0.25">
      <c r="A673" s="63">
        <v>259</v>
      </c>
      <c r="B673" s="63" t="str">
        <f t="shared" si="72"/>
        <v>3075-259</v>
      </c>
      <c r="C673" s="76" t="s">
        <v>1141</v>
      </c>
      <c r="D673" s="76" t="s">
        <v>1142</v>
      </c>
      <c r="E673" s="76" t="s">
        <v>1424</v>
      </c>
      <c r="F673" s="76" t="s">
        <v>1175</v>
      </c>
      <c r="G673" s="77" t="s">
        <v>1176</v>
      </c>
      <c r="H673" s="78" t="s">
        <v>1425</v>
      </c>
      <c r="I673" s="76" t="s">
        <v>1147</v>
      </c>
      <c r="J673" s="76" t="s">
        <v>1148</v>
      </c>
      <c r="K673" s="76" t="s">
        <v>439</v>
      </c>
      <c r="L673" s="63" t="s">
        <v>1149</v>
      </c>
      <c r="M673" s="63" t="s">
        <v>58</v>
      </c>
      <c r="N673" s="63" t="s">
        <v>59</v>
      </c>
      <c r="O673" s="76" t="s">
        <v>1213</v>
      </c>
      <c r="P673" s="63" t="s">
        <v>1905</v>
      </c>
      <c r="Q673" s="83">
        <v>54686940</v>
      </c>
      <c r="R673" s="98">
        <v>1</v>
      </c>
      <c r="S673" s="80">
        <v>54686940</v>
      </c>
      <c r="T673" s="63" t="s">
        <v>1171</v>
      </c>
      <c r="U673" s="63" t="s">
        <v>1171</v>
      </c>
      <c r="V673" s="81" t="s">
        <v>493</v>
      </c>
      <c r="W673" s="82" t="s">
        <v>439</v>
      </c>
      <c r="X673" s="99" t="s">
        <v>1906</v>
      </c>
      <c r="Y673" s="81">
        <v>43126</v>
      </c>
      <c r="Z673" s="83">
        <v>54686940</v>
      </c>
      <c r="AA673" s="84" t="s">
        <v>1742</v>
      </c>
      <c r="AB673" s="85">
        <v>580</v>
      </c>
      <c r="AC673" s="81">
        <v>43126</v>
      </c>
      <c r="AD673" s="86">
        <v>54686940</v>
      </c>
      <c r="AE673" s="87">
        <f t="shared" si="71"/>
        <v>0</v>
      </c>
      <c r="AF673" s="85">
        <v>1023</v>
      </c>
      <c r="AG673" s="81">
        <v>43140</v>
      </c>
      <c r="AH673" s="86">
        <v>54686940</v>
      </c>
      <c r="AI673" s="63" t="s">
        <v>1907</v>
      </c>
      <c r="AJ673" s="63">
        <v>763</v>
      </c>
      <c r="AK673" s="87">
        <f t="shared" si="73"/>
        <v>0</v>
      </c>
      <c r="AL673" s="86">
        <v>0</v>
      </c>
      <c r="AM673" s="86">
        <f t="shared" si="74"/>
        <v>54686940</v>
      </c>
      <c r="AN673" s="63" t="s">
        <v>1155</v>
      </c>
      <c r="AO673" s="86">
        <f t="shared" si="75"/>
        <v>0</v>
      </c>
      <c r="AP673" s="63"/>
      <c r="AQ673" s="63"/>
      <c r="AR673" s="63"/>
      <c r="AS673" s="63"/>
      <c r="AT673" s="63"/>
      <c r="AU673" s="220"/>
      <c r="AV673" s="220"/>
      <c r="AW673" s="220"/>
    </row>
    <row r="674" spans="1:49" s="221" customFormat="1" ht="342" x14ac:dyDescent="0.25">
      <c r="A674" s="63">
        <v>260</v>
      </c>
      <c r="B674" s="63" t="str">
        <f t="shared" si="72"/>
        <v>3075-260</v>
      </c>
      <c r="C674" s="76" t="s">
        <v>1141</v>
      </c>
      <c r="D674" s="76" t="s">
        <v>1142</v>
      </c>
      <c r="E674" s="76" t="s">
        <v>1424</v>
      </c>
      <c r="F674" s="76" t="s">
        <v>1175</v>
      </c>
      <c r="G674" s="77" t="s">
        <v>1176</v>
      </c>
      <c r="H674" s="78" t="s">
        <v>1425</v>
      </c>
      <c r="I674" s="76" t="s">
        <v>1147</v>
      </c>
      <c r="J674" s="76" t="s">
        <v>1148</v>
      </c>
      <c r="K674" s="76" t="s">
        <v>439</v>
      </c>
      <c r="L674" s="63" t="s">
        <v>1149</v>
      </c>
      <c r="M674" s="63" t="s">
        <v>58</v>
      </c>
      <c r="N674" s="63" t="s">
        <v>59</v>
      </c>
      <c r="O674" s="76" t="s">
        <v>1213</v>
      </c>
      <c r="P674" s="63" t="s">
        <v>1908</v>
      </c>
      <c r="Q674" s="83">
        <v>54686940</v>
      </c>
      <c r="R674" s="98">
        <v>1</v>
      </c>
      <c r="S674" s="80">
        <v>54686940</v>
      </c>
      <c r="T674" s="63" t="s">
        <v>1171</v>
      </c>
      <c r="U674" s="63" t="s">
        <v>1171</v>
      </c>
      <c r="V674" s="81" t="s">
        <v>493</v>
      </c>
      <c r="W674" s="82" t="s">
        <v>439</v>
      </c>
      <c r="X674" s="99" t="s">
        <v>1909</v>
      </c>
      <c r="Y674" s="81">
        <v>43126</v>
      </c>
      <c r="Z674" s="83">
        <v>54686940</v>
      </c>
      <c r="AA674" s="84" t="s">
        <v>1742</v>
      </c>
      <c r="AB674" s="85">
        <v>582</v>
      </c>
      <c r="AC674" s="81">
        <v>43126</v>
      </c>
      <c r="AD674" s="86">
        <v>54686940</v>
      </c>
      <c r="AE674" s="87">
        <f t="shared" si="71"/>
        <v>0</v>
      </c>
      <c r="AF674" s="85">
        <v>1020</v>
      </c>
      <c r="AG674" s="81">
        <v>43140</v>
      </c>
      <c r="AH674" s="86">
        <v>54686940</v>
      </c>
      <c r="AI674" s="63" t="s">
        <v>1910</v>
      </c>
      <c r="AJ674" s="63">
        <v>764</v>
      </c>
      <c r="AK674" s="87">
        <f t="shared" si="73"/>
        <v>0</v>
      </c>
      <c r="AL674" s="86">
        <v>54686940</v>
      </c>
      <c r="AM674" s="86">
        <f t="shared" si="74"/>
        <v>0</v>
      </c>
      <c r="AN674" s="63" t="s">
        <v>1155</v>
      </c>
      <c r="AO674" s="86">
        <f t="shared" si="75"/>
        <v>0</v>
      </c>
      <c r="AP674" s="63"/>
      <c r="AQ674" s="63"/>
      <c r="AR674" s="63"/>
      <c r="AS674" s="63"/>
      <c r="AT674" s="63"/>
      <c r="AU674" s="220"/>
      <c r="AV674" s="220"/>
      <c r="AW674" s="220"/>
    </row>
    <row r="675" spans="1:49" s="221" customFormat="1" ht="342" x14ac:dyDescent="0.25">
      <c r="A675" s="63">
        <v>261</v>
      </c>
      <c r="B675" s="63" t="str">
        <f t="shared" si="72"/>
        <v>3075-261</v>
      </c>
      <c r="C675" s="76" t="s">
        <v>1141</v>
      </c>
      <c r="D675" s="76" t="s">
        <v>1142</v>
      </c>
      <c r="E675" s="76" t="s">
        <v>1424</v>
      </c>
      <c r="F675" s="76" t="s">
        <v>1175</v>
      </c>
      <c r="G675" s="77" t="s">
        <v>1176</v>
      </c>
      <c r="H675" s="78" t="s">
        <v>1425</v>
      </c>
      <c r="I675" s="76" t="s">
        <v>1147</v>
      </c>
      <c r="J675" s="76" t="s">
        <v>1148</v>
      </c>
      <c r="K675" s="76" t="s">
        <v>439</v>
      </c>
      <c r="L675" s="63" t="s">
        <v>1149</v>
      </c>
      <c r="M675" s="63" t="s">
        <v>58</v>
      </c>
      <c r="N675" s="63" t="s">
        <v>59</v>
      </c>
      <c r="O675" s="76" t="s">
        <v>1213</v>
      </c>
      <c r="P675" s="63" t="s">
        <v>1911</v>
      </c>
      <c r="Q675" s="83">
        <v>54686940</v>
      </c>
      <c r="R675" s="98">
        <v>1</v>
      </c>
      <c r="S675" s="80">
        <v>54686940</v>
      </c>
      <c r="T675" s="63" t="s">
        <v>1171</v>
      </c>
      <c r="U675" s="63" t="s">
        <v>1171</v>
      </c>
      <c r="V675" s="81" t="s">
        <v>493</v>
      </c>
      <c r="W675" s="82" t="s">
        <v>439</v>
      </c>
      <c r="X675" s="99" t="s">
        <v>1912</v>
      </c>
      <c r="Y675" s="81">
        <v>43126</v>
      </c>
      <c r="Z675" s="83">
        <v>54686940</v>
      </c>
      <c r="AA675" s="84" t="s">
        <v>1742</v>
      </c>
      <c r="AB675" s="85">
        <v>583</v>
      </c>
      <c r="AC675" s="81">
        <v>43126</v>
      </c>
      <c r="AD675" s="86">
        <v>54686940</v>
      </c>
      <c r="AE675" s="87">
        <f t="shared" si="71"/>
        <v>0</v>
      </c>
      <c r="AF675" s="85">
        <v>733</v>
      </c>
      <c r="AG675" s="81">
        <v>43136</v>
      </c>
      <c r="AH675" s="86">
        <v>54686940</v>
      </c>
      <c r="AI675" s="63" t="s">
        <v>1913</v>
      </c>
      <c r="AJ675" s="63">
        <v>514</v>
      </c>
      <c r="AK675" s="87">
        <f t="shared" si="73"/>
        <v>0</v>
      </c>
      <c r="AL675" s="86">
        <v>0</v>
      </c>
      <c r="AM675" s="86">
        <f t="shared" si="74"/>
        <v>54686940</v>
      </c>
      <c r="AN675" s="63" t="s">
        <v>1155</v>
      </c>
      <c r="AO675" s="86">
        <f t="shared" si="75"/>
        <v>0</v>
      </c>
      <c r="AP675" s="63"/>
      <c r="AQ675" s="63"/>
      <c r="AR675" s="63"/>
      <c r="AS675" s="63"/>
      <c r="AT675" s="63"/>
      <c r="AU675" s="220"/>
      <c r="AV675" s="220"/>
      <c r="AW675" s="220"/>
    </row>
    <row r="676" spans="1:49" s="221" customFormat="1" ht="342" x14ac:dyDescent="0.25">
      <c r="A676" s="63">
        <v>262</v>
      </c>
      <c r="B676" s="63" t="str">
        <f t="shared" si="72"/>
        <v>3075-262</v>
      </c>
      <c r="C676" s="76" t="s">
        <v>1141</v>
      </c>
      <c r="D676" s="76" t="s">
        <v>1142</v>
      </c>
      <c r="E676" s="76" t="s">
        <v>1424</v>
      </c>
      <c r="F676" s="76" t="s">
        <v>1175</v>
      </c>
      <c r="G676" s="77" t="s">
        <v>1176</v>
      </c>
      <c r="H676" s="78" t="s">
        <v>1425</v>
      </c>
      <c r="I676" s="76" t="s">
        <v>1147</v>
      </c>
      <c r="J676" s="76" t="s">
        <v>1148</v>
      </c>
      <c r="K676" s="76" t="s">
        <v>439</v>
      </c>
      <c r="L676" s="63" t="s">
        <v>1149</v>
      </c>
      <c r="M676" s="63" t="s">
        <v>58</v>
      </c>
      <c r="N676" s="63" t="s">
        <v>59</v>
      </c>
      <c r="O676" s="76" t="s">
        <v>1213</v>
      </c>
      <c r="P676" s="63" t="s">
        <v>1914</v>
      </c>
      <c r="Q676" s="83">
        <v>54686940</v>
      </c>
      <c r="R676" s="98">
        <v>1</v>
      </c>
      <c r="S676" s="80">
        <v>54686940</v>
      </c>
      <c r="T676" s="63" t="s">
        <v>1171</v>
      </c>
      <c r="U676" s="63" t="s">
        <v>1171</v>
      </c>
      <c r="V676" s="81" t="s">
        <v>493</v>
      </c>
      <c r="W676" s="82" t="s">
        <v>439</v>
      </c>
      <c r="X676" s="99" t="s">
        <v>1915</v>
      </c>
      <c r="Y676" s="81">
        <v>43126</v>
      </c>
      <c r="Z676" s="83">
        <v>54686940</v>
      </c>
      <c r="AA676" s="84" t="s">
        <v>1742</v>
      </c>
      <c r="AB676" s="85">
        <v>585</v>
      </c>
      <c r="AC676" s="81">
        <v>43126</v>
      </c>
      <c r="AD676" s="86">
        <v>54686940</v>
      </c>
      <c r="AE676" s="87">
        <f t="shared" si="71"/>
        <v>0</v>
      </c>
      <c r="AF676" s="85">
        <v>808</v>
      </c>
      <c r="AG676" s="81">
        <v>43138</v>
      </c>
      <c r="AH676" s="86">
        <v>54686940</v>
      </c>
      <c r="AI676" s="63" t="s">
        <v>1916</v>
      </c>
      <c r="AJ676" s="63">
        <v>598</v>
      </c>
      <c r="AK676" s="87">
        <f t="shared" si="73"/>
        <v>0</v>
      </c>
      <c r="AL676" s="86">
        <v>54686940</v>
      </c>
      <c r="AM676" s="86">
        <f t="shared" si="74"/>
        <v>0</v>
      </c>
      <c r="AN676" s="63" t="s">
        <v>1155</v>
      </c>
      <c r="AO676" s="86">
        <f t="shared" si="75"/>
        <v>0</v>
      </c>
      <c r="AP676" s="63"/>
      <c r="AQ676" s="63"/>
      <c r="AR676" s="63"/>
      <c r="AS676" s="63"/>
      <c r="AT676" s="63"/>
      <c r="AU676" s="220"/>
      <c r="AV676" s="220"/>
      <c r="AW676" s="220"/>
    </row>
    <row r="677" spans="1:49" s="221" customFormat="1" ht="342" x14ac:dyDescent="0.25">
      <c r="A677" s="63">
        <v>263</v>
      </c>
      <c r="B677" s="63" t="str">
        <f t="shared" si="72"/>
        <v>3075-263</v>
      </c>
      <c r="C677" s="76" t="s">
        <v>1141</v>
      </c>
      <c r="D677" s="76" t="s">
        <v>1142</v>
      </c>
      <c r="E677" s="76" t="s">
        <v>1424</v>
      </c>
      <c r="F677" s="76" t="s">
        <v>1175</v>
      </c>
      <c r="G677" s="77" t="s">
        <v>1176</v>
      </c>
      <c r="H677" s="78" t="s">
        <v>1425</v>
      </c>
      <c r="I677" s="76" t="s">
        <v>1147</v>
      </c>
      <c r="J677" s="76" t="s">
        <v>1148</v>
      </c>
      <c r="K677" s="76" t="s">
        <v>439</v>
      </c>
      <c r="L677" s="63" t="s">
        <v>1149</v>
      </c>
      <c r="M677" s="63" t="s">
        <v>58</v>
      </c>
      <c r="N677" s="63" t="s">
        <v>59</v>
      </c>
      <c r="O677" s="76" t="s">
        <v>1213</v>
      </c>
      <c r="P677" s="63" t="s">
        <v>1917</v>
      </c>
      <c r="Q677" s="83">
        <v>54686940</v>
      </c>
      <c r="R677" s="98">
        <v>1</v>
      </c>
      <c r="S677" s="80">
        <v>54686940</v>
      </c>
      <c r="T677" s="63" t="s">
        <v>1171</v>
      </c>
      <c r="U677" s="63" t="s">
        <v>1171</v>
      </c>
      <c r="V677" s="81" t="s">
        <v>493</v>
      </c>
      <c r="W677" s="82" t="s">
        <v>439</v>
      </c>
      <c r="X677" s="99" t="s">
        <v>1918</v>
      </c>
      <c r="Y677" s="81">
        <v>43129</v>
      </c>
      <c r="Z677" s="86">
        <v>54686940</v>
      </c>
      <c r="AA677" s="84" t="s">
        <v>1742</v>
      </c>
      <c r="AB677" s="85">
        <v>592</v>
      </c>
      <c r="AC677" s="81">
        <v>43131</v>
      </c>
      <c r="AD677" s="86">
        <v>54686940</v>
      </c>
      <c r="AE677" s="87">
        <f t="shared" si="71"/>
        <v>0</v>
      </c>
      <c r="AF677" s="85">
        <v>1018</v>
      </c>
      <c r="AG677" s="81">
        <v>43140</v>
      </c>
      <c r="AH677" s="86">
        <v>54686940</v>
      </c>
      <c r="AI677" s="63" t="s">
        <v>1919</v>
      </c>
      <c r="AJ677" s="63">
        <v>765</v>
      </c>
      <c r="AK677" s="87">
        <f t="shared" si="73"/>
        <v>0</v>
      </c>
      <c r="AL677" s="86">
        <v>54686940</v>
      </c>
      <c r="AM677" s="86">
        <f t="shared" si="74"/>
        <v>0</v>
      </c>
      <c r="AN677" s="63" t="s">
        <v>1155</v>
      </c>
      <c r="AO677" s="86">
        <f t="shared" si="75"/>
        <v>0</v>
      </c>
      <c r="AP677" s="63"/>
      <c r="AQ677" s="63"/>
      <c r="AR677" s="63"/>
      <c r="AS677" s="63"/>
      <c r="AT677" s="63"/>
      <c r="AU677" s="220"/>
      <c r="AV677" s="220"/>
      <c r="AW677" s="220"/>
    </row>
    <row r="678" spans="1:49" s="221" customFormat="1" ht="342" x14ac:dyDescent="0.25">
      <c r="A678" s="63">
        <v>264</v>
      </c>
      <c r="B678" s="63" t="str">
        <f t="shared" si="72"/>
        <v>3075-264</v>
      </c>
      <c r="C678" s="76" t="s">
        <v>1141</v>
      </c>
      <c r="D678" s="76" t="s">
        <v>1142</v>
      </c>
      <c r="E678" s="76" t="s">
        <v>1424</v>
      </c>
      <c r="F678" s="76" t="s">
        <v>1175</v>
      </c>
      <c r="G678" s="77" t="s">
        <v>1176</v>
      </c>
      <c r="H678" s="78" t="s">
        <v>1425</v>
      </c>
      <c r="I678" s="76" t="s">
        <v>1147</v>
      </c>
      <c r="J678" s="76" t="s">
        <v>1148</v>
      </c>
      <c r="K678" s="76" t="s">
        <v>439</v>
      </c>
      <c r="L678" s="63" t="s">
        <v>1149</v>
      </c>
      <c r="M678" s="63" t="s">
        <v>58</v>
      </c>
      <c r="N678" s="63" t="s">
        <v>59</v>
      </c>
      <c r="O678" s="76" t="s">
        <v>1213</v>
      </c>
      <c r="P678" s="63" t="s">
        <v>1920</v>
      </c>
      <c r="Q678" s="83">
        <v>54686940</v>
      </c>
      <c r="R678" s="98">
        <v>1</v>
      </c>
      <c r="S678" s="80">
        <v>54686940</v>
      </c>
      <c r="T678" s="63" t="s">
        <v>1171</v>
      </c>
      <c r="U678" s="63" t="s">
        <v>1171</v>
      </c>
      <c r="V678" s="81" t="s">
        <v>493</v>
      </c>
      <c r="W678" s="82" t="s">
        <v>439</v>
      </c>
      <c r="X678" s="99" t="s">
        <v>1921</v>
      </c>
      <c r="Y678" s="81">
        <v>43129</v>
      </c>
      <c r="Z678" s="86">
        <v>54686940</v>
      </c>
      <c r="AA678" s="84" t="s">
        <v>1742</v>
      </c>
      <c r="AB678" s="85">
        <v>593</v>
      </c>
      <c r="AC678" s="81">
        <v>43131</v>
      </c>
      <c r="AD678" s="86">
        <v>54686940</v>
      </c>
      <c r="AE678" s="87">
        <f t="shared" si="71"/>
        <v>0</v>
      </c>
      <c r="AF678" s="85">
        <v>1369</v>
      </c>
      <c r="AG678" s="81">
        <v>43147</v>
      </c>
      <c r="AH678" s="86">
        <v>54686940</v>
      </c>
      <c r="AI678" s="63" t="s">
        <v>1922</v>
      </c>
      <c r="AJ678" s="63">
        <v>1268</v>
      </c>
      <c r="AK678" s="87">
        <f t="shared" si="73"/>
        <v>0</v>
      </c>
      <c r="AL678" s="86">
        <v>54686940</v>
      </c>
      <c r="AM678" s="86">
        <f t="shared" si="74"/>
        <v>0</v>
      </c>
      <c r="AN678" s="63" t="s">
        <v>1155</v>
      </c>
      <c r="AO678" s="86">
        <f t="shared" si="75"/>
        <v>0</v>
      </c>
      <c r="AP678" s="63"/>
      <c r="AQ678" s="63"/>
      <c r="AR678" s="63"/>
      <c r="AS678" s="63"/>
      <c r="AT678" s="63"/>
      <c r="AU678" s="220"/>
      <c r="AV678" s="220"/>
      <c r="AW678" s="220"/>
    </row>
    <row r="679" spans="1:49" s="221" customFormat="1" ht="342" x14ac:dyDescent="0.25">
      <c r="A679" s="63">
        <v>265</v>
      </c>
      <c r="B679" s="63" t="str">
        <f t="shared" si="72"/>
        <v>3075-265</v>
      </c>
      <c r="C679" s="76" t="s">
        <v>1141</v>
      </c>
      <c r="D679" s="76" t="s">
        <v>1142</v>
      </c>
      <c r="E679" s="76" t="s">
        <v>1424</v>
      </c>
      <c r="F679" s="76" t="s">
        <v>1175</v>
      </c>
      <c r="G679" s="77" t="s">
        <v>1176</v>
      </c>
      <c r="H679" s="78" t="s">
        <v>1425</v>
      </c>
      <c r="I679" s="76" t="s">
        <v>1147</v>
      </c>
      <c r="J679" s="76" t="s">
        <v>1148</v>
      </c>
      <c r="K679" s="76" t="s">
        <v>439</v>
      </c>
      <c r="L679" s="63" t="s">
        <v>1149</v>
      </c>
      <c r="M679" s="63" t="s">
        <v>58</v>
      </c>
      <c r="N679" s="63" t="s">
        <v>59</v>
      </c>
      <c r="O679" s="76" t="s">
        <v>1213</v>
      </c>
      <c r="P679" s="63" t="s">
        <v>1923</v>
      </c>
      <c r="Q679" s="83">
        <v>54686940</v>
      </c>
      <c r="R679" s="98">
        <v>1</v>
      </c>
      <c r="S679" s="80">
        <v>54686940</v>
      </c>
      <c r="T679" s="63" t="s">
        <v>1171</v>
      </c>
      <c r="U679" s="63" t="s">
        <v>1171</v>
      </c>
      <c r="V679" s="81" t="s">
        <v>493</v>
      </c>
      <c r="W679" s="82" t="s">
        <v>439</v>
      </c>
      <c r="X679" s="99" t="s">
        <v>1924</v>
      </c>
      <c r="Y679" s="81">
        <v>43129</v>
      </c>
      <c r="Z679" s="86">
        <v>54686940</v>
      </c>
      <c r="AA679" s="84" t="s">
        <v>1742</v>
      </c>
      <c r="AB679" s="85">
        <v>591</v>
      </c>
      <c r="AC679" s="81">
        <v>43131</v>
      </c>
      <c r="AD679" s="86">
        <v>54686940</v>
      </c>
      <c r="AE679" s="87">
        <f t="shared" si="71"/>
        <v>0</v>
      </c>
      <c r="AF679" s="85">
        <v>1338</v>
      </c>
      <c r="AG679" s="81">
        <v>43144</v>
      </c>
      <c r="AH679" s="86">
        <v>54686940</v>
      </c>
      <c r="AI679" s="63" t="s">
        <v>1925</v>
      </c>
      <c r="AJ679" s="63">
        <v>1126</v>
      </c>
      <c r="AK679" s="87">
        <f t="shared" si="73"/>
        <v>0</v>
      </c>
      <c r="AL679" s="86">
        <v>54686940</v>
      </c>
      <c r="AM679" s="86">
        <f t="shared" si="74"/>
        <v>0</v>
      </c>
      <c r="AN679" s="63" t="s">
        <v>1155</v>
      </c>
      <c r="AO679" s="86">
        <f t="shared" si="75"/>
        <v>0</v>
      </c>
      <c r="AP679" s="63"/>
      <c r="AQ679" s="63"/>
      <c r="AR679" s="63"/>
      <c r="AS679" s="63"/>
      <c r="AT679" s="63"/>
      <c r="AU679" s="220"/>
      <c r="AV679" s="220"/>
      <c r="AW679" s="220"/>
    </row>
    <row r="680" spans="1:49" s="221" customFormat="1" ht="342" x14ac:dyDescent="0.25">
      <c r="A680" s="63">
        <v>266</v>
      </c>
      <c r="B680" s="63" t="str">
        <f t="shared" si="72"/>
        <v>3075-266</v>
      </c>
      <c r="C680" s="76" t="s">
        <v>1141</v>
      </c>
      <c r="D680" s="76" t="s">
        <v>1142</v>
      </c>
      <c r="E680" s="76" t="s">
        <v>1424</v>
      </c>
      <c r="F680" s="76" t="s">
        <v>1175</v>
      </c>
      <c r="G680" s="77" t="s">
        <v>1176</v>
      </c>
      <c r="H680" s="78" t="s">
        <v>1425</v>
      </c>
      <c r="I680" s="76" t="s">
        <v>1147</v>
      </c>
      <c r="J680" s="76" t="s">
        <v>1148</v>
      </c>
      <c r="K680" s="76" t="s">
        <v>439</v>
      </c>
      <c r="L680" s="63" t="s">
        <v>1149</v>
      </c>
      <c r="M680" s="63" t="s">
        <v>58</v>
      </c>
      <c r="N680" s="63" t="s">
        <v>59</v>
      </c>
      <c r="O680" s="76" t="s">
        <v>1213</v>
      </c>
      <c r="P680" s="63" t="s">
        <v>1926</v>
      </c>
      <c r="Q680" s="83">
        <v>54686940</v>
      </c>
      <c r="R680" s="98">
        <v>1</v>
      </c>
      <c r="S680" s="80">
        <v>54686940</v>
      </c>
      <c r="T680" s="63" t="s">
        <v>1171</v>
      </c>
      <c r="U680" s="63" t="s">
        <v>1171</v>
      </c>
      <c r="V680" s="81" t="s">
        <v>724</v>
      </c>
      <c r="W680" s="82" t="s">
        <v>439</v>
      </c>
      <c r="X680" s="99" t="s">
        <v>1927</v>
      </c>
      <c r="Y680" s="81">
        <v>43129</v>
      </c>
      <c r="Z680" s="86">
        <v>54686940</v>
      </c>
      <c r="AA680" s="84" t="s">
        <v>1742</v>
      </c>
      <c r="AB680" s="85">
        <v>655</v>
      </c>
      <c r="AC680" s="81">
        <v>43151</v>
      </c>
      <c r="AD680" s="86">
        <v>54686940</v>
      </c>
      <c r="AE680" s="87">
        <f t="shared" si="71"/>
        <v>0</v>
      </c>
      <c r="AF680" s="85">
        <v>1476</v>
      </c>
      <c r="AG680" s="81">
        <v>43160</v>
      </c>
      <c r="AH680" s="86">
        <v>54686940</v>
      </c>
      <c r="AI680" s="63" t="s">
        <v>1928</v>
      </c>
      <c r="AJ680" s="63">
        <v>1415</v>
      </c>
      <c r="AK680" s="87">
        <f t="shared" si="73"/>
        <v>0</v>
      </c>
      <c r="AL680" s="86">
        <v>54686940</v>
      </c>
      <c r="AM680" s="86">
        <f t="shared" si="74"/>
        <v>0</v>
      </c>
      <c r="AN680" s="63" t="s">
        <v>1155</v>
      </c>
      <c r="AO680" s="86">
        <f t="shared" si="75"/>
        <v>0</v>
      </c>
      <c r="AP680" s="63"/>
      <c r="AQ680" s="63"/>
      <c r="AR680" s="63"/>
      <c r="AS680" s="63"/>
      <c r="AT680" s="63"/>
      <c r="AU680" s="220"/>
      <c r="AV680" s="220"/>
      <c r="AW680" s="220"/>
    </row>
    <row r="681" spans="1:49" s="221" customFormat="1" ht="342" x14ac:dyDescent="0.25">
      <c r="A681" s="63">
        <v>267</v>
      </c>
      <c r="B681" s="63" t="str">
        <f t="shared" si="72"/>
        <v>3075-267</v>
      </c>
      <c r="C681" s="76" t="s">
        <v>1141</v>
      </c>
      <c r="D681" s="76" t="s">
        <v>1142</v>
      </c>
      <c r="E681" s="76" t="s">
        <v>1424</v>
      </c>
      <c r="F681" s="76" t="s">
        <v>1175</v>
      </c>
      <c r="G681" s="77" t="s">
        <v>1176</v>
      </c>
      <c r="H681" s="78" t="s">
        <v>1425</v>
      </c>
      <c r="I681" s="76" t="s">
        <v>1147</v>
      </c>
      <c r="J681" s="76" t="s">
        <v>1148</v>
      </c>
      <c r="K681" s="76" t="s">
        <v>439</v>
      </c>
      <c r="L681" s="63" t="s">
        <v>1149</v>
      </c>
      <c r="M681" s="63" t="s">
        <v>58</v>
      </c>
      <c r="N681" s="63" t="s">
        <v>59</v>
      </c>
      <c r="O681" s="76" t="s">
        <v>1213</v>
      </c>
      <c r="P681" s="63" t="s">
        <v>1929</v>
      </c>
      <c r="Q681" s="83">
        <v>54686940</v>
      </c>
      <c r="R681" s="98">
        <v>1</v>
      </c>
      <c r="S681" s="80">
        <v>54686940</v>
      </c>
      <c r="T681" s="63" t="s">
        <v>1171</v>
      </c>
      <c r="U681" s="63" t="s">
        <v>1171</v>
      </c>
      <c r="V681" s="81" t="s">
        <v>724</v>
      </c>
      <c r="W681" s="82" t="s">
        <v>439</v>
      </c>
      <c r="X681" s="99" t="s">
        <v>1930</v>
      </c>
      <c r="Y681" s="81">
        <v>43129</v>
      </c>
      <c r="Z681" s="86">
        <v>54686940</v>
      </c>
      <c r="AA681" s="84" t="s">
        <v>1742</v>
      </c>
      <c r="AB681" s="85">
        <v>654</v>
      </c>
      <c r="AC681" s="81">
        <v>43151</v>
      </c>
      <c r="AD681" s="86">
        <v>54686940</v>
      </c>
      <c r="AE681" s="87">
        <f t="shared" si="71"/>
        <v>0</v>
      </c>
      <c r="AF681" s="85">
        <v>1477</v>
      </c>
      <c r="AG681" s="81">
        <v>43160</v>
      </c>
      <c r="AH681" s="86">
        <v>54686940</v>
      </c>
      <c r="AI681" s="63" t="s">
        <v>1931</v>
      </c>
      <c r="AJ681" s="63">
        <v>1416</v>
      </c>
      <c r="AK681" s="87">
        <f t="shared" si="73"/>
        <v>0</v>
      </c>
      <c r="AL681" s="86">
        <v>54686940</v>
      </c>
      <c r="AM681" s="86">
        <f t="shared" si="74"/>
        <v>0</v>
      </c>
      <c r="AN681" s="63" t="s">
        <v>1155</v>
      </c>
      <c r="AO681" s="86">
        <f t="shared" si="75"/>
        <v>0</v>
      </c>
      <c r="AP681" s="63"/>
      <c r="AQ681" s="63"/>
      <c r="AR681" s="63"/>
      <c r="AS681" s="63"/>
      <c r="AT681" s="63"/>
      <c r="AU681" s="220"/>
      <c r="AV681" s="220"/>
      <c r="AW681" s="220"/>
    </row>
    <row r="682" spans="1:49" s="221" customFormat="1" ht="342" x14ac:dyDescent="0.25">
      <c r="A682" s="63">
        <v>268</v>
      </c>
      <c r="B682" s="63" t="str">
        <f t="shared" si="72"/>
        <v>3075-268</v>
      </c>
      <c r="C682" s="76" t="s">
        <v>1141</v>
      </c>
      <c r="D682" s="76" t="s">
        <v>1142</v>
      </c>
      <c r="E682" s="76" t="s">
        <v>1424</v>
      </c>
      <c r="F682" s="76" t="s">
        <v>1175</v>
      </c>
      <c r="G682" s="77" t="s">
        <v>1176</v>
      </c>
      <c r="H682" s="78" t="s">
        <v>1425</v>
      </c>
      <c r="I682" s="76" t="s">
        <v>1147</v>
      </c>
      <c r="J682" s="76" t="s">
        <v>1148</v>
      </c>
      <c r="K682" s="76" t="s">
        <v>439</v>
      </c>
      <c r="L682" s="63" t="s">
        <v>1149</v>
      </c>
      <c r="M682" s="63" t="s">
        <v>58</v>
      </c>
      <c r="N682" s="63" t="s">
        <v>59</v>
      </c>
      <c r="O682" s="76" t="s">
        <v>1213</v>
      </c>
      <c r="P682" s="63" t="s">
        <v>1932</v>
      </c>
      <c r="Q682" s="83">
        <v>54686940</v>
      </c>
      <c r="R682" s="98">
        <v>1</v>
      </c>
      <c r="S682" s="80">
        <v>54686940</v>
      </c>
      <c r="T682" s="63" t="s">
        <v>1171</v>
      </c>
      <c r="U682" s="63" t="s">
        <v>1171</v>
      </c>
      <c r="V682" s="81" t="s">
        <v>493</v>
      </c>
      <c r="W682" s="82" t="s">
        <v>439</v>
      </c>
      <c r="X682" s="99" t="s">
        <v>1933</v>
      </c>
      <c r="Y682" s="81">
        <v>43129</v>
      </c>
      <c r="Z682" s="86">
        <v>54686940</v>
      </c>
      <c r="AA682" s="84" t="s">
        <v>1742</v>
      </c>
      <c r="AB682" s="85">
        <v>595</v>
      </c>
      <c r="AC682" s="81">
        <v>43131</v>
      </c>
      <c r="AD682" s="86">
        <v>54686940</v>
      </c>
      <c r="AE682" s="87">
        <f t="shared" si="71"/>
        <v>0</v>
      </c>
      <c r="AF682" s="85">
        <v>1331</v>
      </c>
      <c r="AG682" s="81">
        <v>43144</v>
      </c>
      <c r="AH682" s="86">
        <v>54686940</v>
      </c>
      <c r="AI682" s="63" t="s">
        <v>1934</v>
      </c>
      <c r="AJ682" s="63">
        <v>1098</v>
      </c>
      <c r="AK682" s="87">
        <f t="shared" si="73"/>
        <v>0</v>
      </c>
      <c r="AL682" s="86">
        <v>0</v>
      </c>
      <c r="AM682" s="86">
        <f t="shared" si="74"/>
        <v>54686940</v>
      </c>
      <c r="AN682" s="63" t="s">
        <v>1155</v>
      </c>
      <c r="AO682" s="86">
        <f t="shared" si="75"/>
        <v>0</v>
      </c>
      <c r="AP682" s="63"/>
      <c r="AQ682" s="63"/>
      <c r="AR682" s="63"/>
      <c r="AS682" s="63"/>
      <c r="AT682" s="63"/>
      <c r="AU682" s="220"/>
      <c r="AV682" s="220"/>
      <c r="AW682" s="220"/>
    </row>
    <row r="683" spans="1:49" s="221" customFormat="1" ht="342" x14ac:dyDescent="0.25">
      <c r="A683" s="63">
        <v>269</v>
      </c>
      <c r="B683" s="63" t="str">
        <f t="shared" si="72"/>
        <v>3075-269</v>
      </c>
      <c r="C683" s="76" t="s">
        <v>1141</v>
      </c>
      <c r="D683" s="76" t="s">
        <v>1142</v>
      </c>
      <c r="E683" s="76" t="s">
        <v>1424</v>
      </c>
      <c r="F683" s="76" t="s">
        <v>1175</v>
      </c>
      <c r="G683" s="77" t="s">
        <v>1176</v>
      </c>
      <c r="H683" s="78" t="s">
        <v>1425</v>
      </c>
      <c r="I683" s="76" t="s">
        <v>1147</v>
      </c>
      <c r="J683" s="76" t="s">
        <v>1148</v>
      </c>
      <c r="K683" s="76" t="s">
        <v>439</v>
      </c>
      <c r="L683" s="63" t="s">
        <v>1149</v>
      </c>
      <c r="M683" s="63" t="s">
        <v>58</v>
      </c>
      <c r="N683" s="63" t="s">
        <v>59</v>
      </c>
      <c r="O683" s="76" t="s">
        <v>1213</v>
      </c>
      <c r="P683" s="63" t="s">
        <v>1935</v>
      </c>
      <c r="Q683" s="83">
        <v>54686940</v>
      </c>
      <c r="R683" s="98">
        <v>1</v>
      </c>
      <c r="S683" s="80">
        <v>54686940</v>
      </c>
      <c r="T683" s="63" t="s">
        <v>1171</v>
      </c>
      <c r="U683" s="63" t="s">
        <v>1171</v>
      </c>
      <c r="V683" s="81" t="s">
        <v>493</v>
      </c>
      <c r="W683" s="82" t="s">
        <v>439</v>
      </c>
      <c r="X683" s="99" t="s">
        <v>1936</v>
      </c>
      <c r="Y683" s="81">
        <v>43131</v>
      </c>
      <c r="Z683" s="83">
        <v>54686940</v>
      </c>
      <c r="AA683" s="84" t="s">
        <v>1742</v>
      </c>
      <c r="AB683" s="85">
        <v>601</v>
      </c>
      <c r="AC683" s="81">
        <v>43132</v>
      </c>
      <c r="AD683" s="86">
        <v>54686940</v>
      </c>
      <c r="AE683" s="87">
        <f t="shared" si="71"/>
        <v>0</v>
      </c>
      <c r="AF683" s="85">
        <v>1355</v>
      </c>
      <c r="AG683" s="81">
        <v>43145</v>
      </c>
      <c r="AH683" s="86">
        <v>54686940</v>
      </c>
      <c r="AI683" s="63" t="s">
        <v>1937</v>
      </c>
      <c r="AJ683" s="63">
        <v>1094</v>
      </c>
      <c r="AK683" s="87">
        <f t="shared" si="73"/>
        <v>0</v>
      </c>
      <c r="AL683" s="86">
        <v>54686940</v>
      </c>
      <c r="AM683" s="86">
        <f t="shared" si="74"/>
        <v>0</v>
      </c>
      <c r="AN683" s="63" t="s">
        <v>1155</v>
      </c>
      <c r="AO683" s="86">
        <f t="shared" si="75"/>
        <v>0</v>
      </c>
      <c r="AP683" s="63"/>
      <c r="AQ683" s="63"/>
      <c r="AR683" s="63"/>
      <c r="AS683" s="63"/>
      <c r="AT683" s="63"/>
      <c r="AU683" s="220"/>
      <c r="AV683" s="220"/>
      <c r="AW683" s="220"/>
    </row>
    <row r="684" spans="1:49" s="221" customFormat="1" ht="342" x14ac:dyDescent="0.25">
      <c r="A684" s="63">
        <v>270</v>
      </c>
      <c r="B684" s="63" t="str">
        <f t="shared" si="72"/>
        <v>3075-270</v>
      </c>
      <c r="C684" s="76" t="s">
        <v>1141</v>
      </c>
      <c r="D684" s="76" t="s">
        <v>1142</v>
      </c>
      <c r="E684" s="76" t="s">
        <v>1424</v>
      </c>
      <c r="F684" s="76" t="s">
        <v>1175</v>
      </c>
      <c r="G684" s="77" t="s">
        <v>1176</v>
      </c>
      <c r="H684" s="78" t="s">
        <v>1425</v>
      </c>
      <c r="I684" s="76" t="s">
        <v>1147</v>
      </c>
      <c r="J684" s="76" t="s">
        <v>1148</v>
      </c>
      <c r="K684" s="76" t="s">
        <v>439</v>
      </c>
      <c r="L684" s="63" t="s">
        <v>1149</v>
      </c>
      <c r="M684" s="63" t="s">
        <v>58</v>
      </c>
      <c r="N684" s="63" t="s">
        <v>59</v>
      </c>
      <c r="O684" s="76" t="s">
        <v>1213</v>
      </c>
      <c r="P684" s="63" t="s">
        <v>1938</v>
      </c>
      <c r="Q684" s="83">
        <v>54686940</v>
      </c>
      <c r="R684" s="98">
        <v>1</v>
      </c>
      <c r="S684" s="80">
        <v>54686940</v>
      </c>
      <c r="T684" s="63" t="s">
        <v>1171</v>
      </c>
      <c r="U684" s="63" t="s">
        <v>1171</v>
      </c>
      <c r="V684" s="81" t="s">
        <v>493</v>
      </c>
      <c r="W684" s="82" t="s">
        <v>439</v>
      </c>
      <c r="X684" s="99" t="s">
        <v>1939</v>
      </c>
      <c r="Y684" s="81">
        <v>43131</v>
      </c>
      <c r="Z684" s="83">
        <v>54686940</v>
      </c>
      <c r="AA684" s="84" t="s">
        <v>1742</v>
      </c>
      <c r="AB684" s="85">
        <v>626</v>
      </c>
      <c r="AC684" s="81">
        <v>43132</v>
      </c>
      <c r="AD684" s="86">
        <v>54686940</v>
      </c>
      <c r="AE684" s="87">
        <f t="shared" si="71"/>
        <v>0</v>
      </c>
      <c r="AF684" s="85">
        <v>1366</v>
      </c>
      <c r="AG684" s="81">
        <v>43147</v>
      </c>
      <c r="AH684" s="86">
        <v>54686940</v>
      </c>
      <c r="AI684" s="63" t="s">
        <v>1940</v>
      </c>
      <c r="AJ684" s="63">
        <v>1276</v>
      </c>
      <c r="AK684" s="87">
        <f t="shared" si="73"/>
        <v>0</v>
      </c>
      <c r="AL684" s="86">
        <v>54686940</v>
      </c>
      <c r="AM684" s="86">
        <f t="shared" si="74"/>
        <v>0</v>
      </c>
      <c r="AN684" s="63" t="s">
        <v>1155</v>
      </c>
      <c r="AO684" s="86">
        <f t="shared" si="75"/>
        <v>0</v>
      </c>
      <c r="AP684" s="63"/>
      <c r="AQ684" s="63"/>
      <c r="AR684" s="63"/>
      <c r="AS684" s="63"/>
      <c r="AT684" s="63"/>
      <c r="AU684" s="220"/>
      <c r="AV684" s="220"/>
      <c r="AW684" s="220"/>
    </row>
    <row r="685" spans="1:49" s="221" customFormat="1" ht="342" x14ac:dyDescent="0.25">
      <c r="A685" s="63">
        <v>271</v>
      </c>
      <c r="B685" s="63" t="str">
        <f t="shared" si="72"/>
        <v>3075-271</v>
      </c>
      <c r="C685" s="76" t="s">
        <v>1141</v>
      </c>
      <c r="D685" s="76" t="s">
        <v>1142</v>
      </c>
      <c r="E685" s="76" t="s">
        <v>1424</v>
      </c>
      <c r="F685" s="76" t="s">
        <v>1175</v>
      </c>
      <c r="G685" s="77" t="s">
        <v>1176</v>
      </c>
      <c r="H685" s="78" t="s">
        <v>1425</v>
      </c>
      <c r="I685" s="76" t="s">
        <v>1147</v>
      </c>
      <c r="J685" s="76" t="s">
        <v>1148</v>
      </c>
      <c r="K685" s="76" t="s">
        <v>439</v>
      </c>
      <c r="L685" s="63" t="s">
        <v>1149</v>
      </c>
      <c r="M685" s="63" t="s">
        <v>58</v>
      </c>
      <c r="N685" s="63" t="s">
        <v>59</v>
      </c>
      <c r="O685" s="76" t="s">
        <v>1213</v>
      </c>
      <c r="P685" s="63" t="s">
        <v>1941</v>
      </c>
      <c r="Q685" s="83">
        <v>54686940</v>
      </c>
      <c r="R685" s="98">
        <v>1</v>
      </c>
      <c r="S685" s="80">
        <v>54686940</v>
      </c>
      <c r="T685" s="63" t="s">
        <v>1171</v>
      </c>
      <c r="U685" s="63" t="s">
        <v>1171</v>
      </c>
      <c r="V685" s="81" t="s">
        <v>493</v>
      </c>
      <c r="W685" s="82" t="s">
        <v>439</v>
      </c>
      <c r="X685" s="99" t="s">
        <v>1942</v>
      </c>
      <c r="Y685" s="81">
        <v>43131</v>
      </c>
      <c r="Z685" s="83">
        <v>54686940</v>
      </c>
      <c r="AA685" s="84" t="s">
        <v>1742</v>
      </c>
      <c r="AB685" s="85">
        <v>606</v>
      </c>
      <c r="AC685" s="81">
        <v>43132</v>
      </c>
      <c r="AD685" s="86">
        <v>54686940</v>
      </c>
      <c r="AE685" s="87">
        <f t="shared" si="71"/>
        <v>0</v>
      </c>
      <c r="AF685" s="85">
        <v>1345</v>
      </c>
      <c r="AG685" s="81">
        <v>43144</v>
      </c>
      <c r="AH685" s="86">
        <v>54686940</v>
      </c>
      <c r="AI685" s="63" t="s">
        <v>1943</v>
      </c>
      <c r="AJ685" s="63">
        <v>1103</v>
      </c>
      <c r="AK685" s="87">
        <f t="shared" si="73"/>
        <v>0</v>
      </c>
      <c r="AL685" s="86">
        <v>54686940</v>
      </c>
      <c r="AM685" s="86">
        <f t="shared" si="74"/>
        <v>0</v>
      </c>
      <c r="AN685" s="63" t="s">
        <v>1155</v>
      </c>
      <c r="AO685" s="86">
        <f t="shared" si="75"/>
        <v>0</v>
      </c>
      <c r="AP685" s="63"/>
      <c r="AQ685" s="63"/>
      <c r="AR685" s="63"/>
      <c r="AS685" s="63"/>
      <c r="AT685" s="63"/>
      <c r="AU685" s="220"/>
      <c r="AV685" s="220"/>
      <c r="AW685" s="220"/>
    </row>
    <row r="686" spans="1:49" s="221" customFormat="1" ht="342" x14ac:dyDescent="0.25">
      <c r="A686" s="63">
        <v>272</v>
      </c>
      <c r="B686" s="63" t="str">
        <f t="shared" si="72"/>
        <v>3075-272</v>
      </c>
      <c r="C686" s="76" t="s">
        <v>1141</v>
      </c>
      <c r="D686" s="76" t="s">
        <v>1142</v>
      </c>
      <c r="E686" s="76" t="s">
        <v>1424</v>
      </c>
      <c r="F686" s="76" t="s">
        <v>1175</v>
      </c>
      <c r="G686" s="77" t="s">
        <v>1176</v>
      </c>
      <c r="H686" s="78" t="s">
        <v>1425</v>
      </c>
      <c r="I686" s="76" t="s">
        <v>1147</v>
      </c>
      <c r="J686" s="76" t="s">
        <v>1148</v>
      </c>
      <c r="K686" s="76" t="s">
        <v>439</v>
      </c>
      <c r="L686" s="63" t="s">
        <v>1149</v>
      </c>
      <c r="M686" s="63" t="s">
        <v>58</v>
      </c>
      <c r="N686" s="63" t="s">
        <v>59</v>
      </c>
      <c r="O686" s="76" t="s">
        <v>1213</v>
      </c>
      <c r="P686" s="63" t="s">
        <v>1944</v>
      </c>
      <c r="Q686" s="83">
        <v>54686940</v>
      </c>
      <c r="R686" s="98">
        <v>1</v>
      </c>
      <c r="S686" s="80">
        <v>54686940</v>
      </c>
      <c r="T686" s="63" t="s">
        <v>1171</v>
      </c>
      <c r="U686" s="63" t="s">
        <v>1171</v>
      </c>
      <c r="V686" s="81" t="s">
        <v>493</v>
      </c>
      <c r="W686" s="82" t="s">
        <v>439</v>
      </c>
      <c r="X686" s="99" t="s">
        <v>1945</v>
      </c>
      <c r="Y686" s="81">
        <v>43131</v>
      </c>
      <c r="Z686" s="83">
        <v>54686940</v>
      </c>
      <c r="AA686" s="84" t="s">
        <v>1742</v>
      </c>
      <c r="AB686" s="85">
        <v>610</v>
      </c>
      <c r="AC686" s="81">
        <v>43132</v>
      </c>
      <c r="AD686" s="86">
        <v>54686940</v>
      </c>
      <c r="AE686" s="87">
        <f t="shared" si="71"/>
        <v>0</v>
      </c>
      <c r="AF686" s="85">
        <v>1364</v>
      </c>
      <c r="AG686" s="81">
        <v>43147</v>
      </c>
      <c r="AH686" s="86">
        <v>54686940</v>
      </c>
      <c r="AI686" s="63" t="s">
        <v>1946</v>
      </c>
      <c r="AJ686" s="63">
        <v>1275</v>
      </c>
      <c r="AK686" s="87">
        <f t="shared" si="73"/>
        <v>0</v>
      </c>
      <c r="AL686" s="86">
        <v>54686940</v>
      </c>
      <c r="AM686" s="86">
        <f t="shared" si="74"/>
        <v>0</v>
      </c>
      <c r="AN686" s="63" t="s">
        <v>1155</v>
      </c>
      <c r="AO686" s="86">
        <f t="shared" si="75"/>
        <v>0</v>
      </c>
      <c r="AP686" s="63"/>
      <c r="AQ686" s="63"/>
      <c r="AR686" s="63"/>
      <c r="AS686" s="63"/>
      <c r="AT686" s="63"/>
      <c r="AU686" s="220"/>
      <c r="AV686" s="220"/>
      <c r="AW686" s="220"/>
    </row>
    <row r="687" spans="1:49" s="221" customFormat="1" ht="342" x14ac:dyDescent="0.25">
      <c r="A687" s="63">
        <v>273</v>
      </c>
      <c r="B687" s="63" t="str">
        <f t="shared" si="72"/>
        <v>3075-273</v>
      </c>
      <c r="C687" s="76" t="s">
        <v>1141</v>
      </c>
      <c r="D687" s="76" t="s">
        <v>1142</v>
      </c>
      <c r="E687" s="76" t="s">
        <v>1424</v>
      </c>
      <c r="F687" s="76" t="s">
        <v>1175</v>
      </c>
      <c r="G687" s="77" t="s">
        <v>1176</v>
      </c>
      <c r="H687" s="78" t="s">
        <v>1425</v>
      </c>
      <c r="I687" s="76" t="s">
        <v>1147</v>
      </c>
      <c r="J687" s="76" t="s">
        <v>1148</v>
      </c>
      <c r="K687" s="76" t="s">
        <v>439</v>
      </c>
      <c r="L687" s="63" t="s">
        <v>1149</v>
      </c>
      <c r="M687" s="63" t="s">
        <v>58</v>
      </c>
      <c r="N687" s="63" t="s">
        <v>59</v>
      </c>
      <c r="O687" s="76" t="s">
        <v>1213</v>
      </c>
      <c r="P687" s="63" t="s">
        <v>1947</v>
      </c>
      <c r="Q687" s="83">
        <v>54686940</v>
      </c>
      <c r="R687" s="98">
        <v>1</v>
      </c>
      <c r="S687" s="80">
        <v>54686940</v>
      </c>
      <c r="T687" s="63" t="s">
        <v>1171</v>
      </c>
      <c r="U687" s="63" t="s">
        <v>1171</v>
      </c>
      <c r="V687" s="81" t="s">
        <v>493</v>
      </c>
      <c r="W687" s="82" t="s">
        <v>439</v>
      </c>
      <c r="X687" s="99" t="s">
        <v>1948</v>
      </c>
      <c r="Y687" s="81">
        <v>43131</v>
      </c>
      <c r="Z687" s="83">
        <v>54686940</v>
      </c>
      <c r="AA687" s="84" t="s">
        <v>1742</v>
      </c>
      <c r="AB687" s="85">
        <v>613</v>
      </c>
      <c r="AC687" s="81">
        <v>43132</v>
      </c>
      <c r="AD687" s="86">
        <v>54686940</v>
      </c>
      <c r="AE687" s="87">
        <f t="shared" si="71"/>
        <v>0</v>
      </c>
      <c r="AF687" s="85">
        <v>1374</v>
      </c>
      <c r="AG687" s="81">
        <v>43147</v>
      </c>
      <c r="AH687" s="86">
        <v>54686940</v>
      </c>
      <c r="AI687" s="63" t="s">
        <v>1949</v>
      </c>
      <c r="AJ687" s="63">
        <v>1278</v>
      </c>
      <c r="AK687" s="87">
        <f t="shared" si="73"/>
        <v>0</v>
      </c>
      <c r="AL687" s="86">
        <v>54686940</v>
      </c>
      <c r="AM687" s="86">
        <f t="shared" si="74"/>
        <v>0</v>
      </c>
      <c r="AN687" s="63" t="s">
        <v>1155</v>
      </c>
      <c r="AO687" s="86">
        <f t="shared" si="75"/>
        <v>0</v>
      </c>
      <c r="AP687" s="63"/>
      <c r="AQ687" s="63"/>
      <c r="AR687" s="63"/>
      <c r="AS687" s="63"/>
      <c r="AT687" s="63"/>
      <c r="AU687" s="220"/>
      <c r="AV687" s="220"/>
      <c r="AW687" s="220"/>
    </row>
    <row r="688" spans="1:49" s="221" customFormat="1" ht="342" x14ac:dyDescent="0.25">
      <c r="A688" s="63">
        <v>274</v>
      </c>
      <c r="B688" s="63" t="str">
        <f t="shared" si="72"/>
        <v>3075-274</v>
      </c>
      <c r="C688" s="76" t="s">
        <v>1141</v>
      </c>
      <c r="D688" s="76" t="s">
        <v>1142</v>
      </c>
      <c r="E688" s="76" t="s">
        <v>1424</v>
      </c>
      <c r="F688" s="76" t="s">
        <v>1175</v>
      </c>
      <c r="G688" s="77" t="s">
        <v>1176</v>
      </c>
      <c r="H688" s="78" t="s">
        <v>1425</v>
      </c>
      <c r="I688" s="76" t="s">
        <v>1147</v>
      </c>
      <c r="J688" s="76" t="s">
        <v>1148</v>
      </c>
      <c r="K688" s="76" t="s">
        <v>439</v>
      </c>
      <c r="L688" s="63" t="s">
        <v>1149</v>
      </c>
      <c r="M688" s="63" t="s">
        <v>58</v>
      </c>
      <c r="N688" s="63" t="s">
        <v>59</v>
      </c>
      <c r="O688" s="76" t="s">
        <v>1213</v>
      </c>
      <c r="P688" s="63" t="s">
        <v>1950</v>
      </c>
      <c r="Q688" s="83">
        <v>54686940</v>
      </c>
      <c r="R688" s="98">
        <v>1</v>
      </c>
      <c r="S688" s="80">
        <v>54686940</v>
      </c>
      <c r="T688" s="63" t="s">
        <v>1171</v>
      </c>
      <c r="U688" s="63" t="s">
        <v>1171</v>
      </c>
      <c r="V688" s="81" t="s">
        <v>493</v>
      </c>
      <c r="W688" s="82" t="s">
        <v>439</v>
      </c>
      <c r="X688" s="99" t="s">
        <v>1951</v>
      </c>
      <c r="Y688" s="81">
        <v>43131</v>
      </c>
      <c r="Z688" s="83">
        <v>54686940</v>
      </c>
      <c r="AA688" s="84" t="s">
        <v>1742</v>
      </c>
      <c r="AB688" s="85">
        <v>616</v>
      </c>
      <c r="AC688" s="81">
        <v>43132</v>
      </c>
      <c r="AD688" s="86">
        <v>54686940</v>
      </c>
      <c r="AE688" s="87">
        <f t="shared" si="71"/>
        <v>0</v>
      </c>
      <c r="AF688" s="85">
        <v>1363</v>
      </c>
      <c r="AG688" s="81">
        <v>43147</v>
      </c>
      <c r="AH688" s="86">
        <v>54686940</v>
      </c>
      <c r="AI688" s="63" t="s">
        <v>1952</v>
      </c>
      <c r="AJ688" s="63">
        <v>1274</v>
      </c>
      <c r="AK688" s="87">
        <f t="shared" si="73"/>
        <v>0</v>
      </c>
      <c r="AL688" s="86">
        <v>54686940</v>
      </c>
      <c r="AM688" s="86">
        <f t="shared" si="74"/>
        <v>0</v>
      </c>
      <c r="AN688" s="63" t="s">
        <v>1155</v>
      </c>
      <c r="AO688" s="86">
        <f t="shared" si="75"/>
        <v>0</v>
      </c>
      <c r="AP688" s="63"/>
      <c r="AQ688" s="63"/>
      <c r="AR688" s="63"/>
      <c r="AS688" s="63"/>
      <c r="AT688" s="63"/>
      <c r="AU688" s="220"/>
      <c r="AV688" s="220"/>
      <c r="AW688" s="220"/>
    </row>
    <row r="689" spans="1:49" s="221" customFormat="1" ht="342" x14ac:dyDescent="0.25">
      <c r="A689" s="63">
        <v>275</v>
      </c>
      <c r="B689" s="63" t="str">
        <f t="shared" si="72"/>
        <v>3075-275</v>
      </c>
      <c r="C689" s="76" t="s">
        <v>1141</v>
      </c>
      <c r="D689" s="76" t="s">
        <v>1142</v>
      </c>
      <c r="E689" s="76" t="s">
        <v>1424</v>
      </c>
      <c r="F689" s="76" t="s">
        <v>1175</v>
      </c>
      <c r="G689" s="77" t="s">
        <v>1176</v>
      </c>
      <c r="H689" s="78" t="s">
        <v>1425</v>
      </c>
      <c r="I689" s="76" t="s">
        <v>1147</v>
      </c>
      <c r="J689" s="76" t="s">
        <v>1148</v>
      </c>
      <c r="K689" s="76" t="s">
        <v>439</v>
      </c>
      <c r="L689" s="63" t="s">
        <v>1149</v>
      </c>
      <c r="M689" s="63" t="s">
        <v>58</v>
      </c>
      <c r="N689" s="63" t="s">
        <v>59</v>
      </c>
      <c r="O689" s="76" t="s">
        <v>1213</v>
      </c>
      <c r="P689" s="63" t="s">
        <v>1953</v>
      </c>
      <c r="Q689" s="83">
        <v>54686940</v>
      </c>
      <c r="R689" s="98">
        <v>1</v>
      </c>
      <c r="S689" s="80">
        <v>54686940</v>
      </c>
      <c r="T689" s="63" t="s">
        <v>1171</v>
      </c>
      <c r="U689" s="63" t="s">
        <v>1171</v>
      </c>
      <c r="V689" s="81" t="s">
        <v>493</v>
      </c>
      <c r="W689" s="82" t="s">
        <v>439</v>
      </c>
      <c r="X689" s="99" t="s">
        <v>1954</v>
      </c>
      <c r="Y689" s="81">
        <v>43131</v>
      </c>
      <c r="Z689" s="83">
        <v>54686940</v>
      </c>
      <c r="AA689" s="84" t="s">
        <v>1742</v>
      </c>
      <c r="AB689" s="85">
        <v>619</v>
      </c>
      <c r="AC689" s="81">
        <v>43132</v>
      </c>
      <c r="AD689" s="86">
        <v>54686940</v>
      </c>
      <c r="AE689" s="87">
        <f t="shared" si="71"/>
        <v>0</v>
      </c>
      <c r="AF689" s="85">
        <v>1344</v>
      </c>
      <c r="AG689" s="81">
        <v>43144</v>
      </c>
      <c r="AH689" s="86">
        <v>54686940</v>
      </c>
      <c r="AI689" s="63" t="s">
        <v>1955</v>
      </c>
      <c r="AJ689" s="63">
        <v>1095</v>
      </c>
      <c r="AK689" s="87">
        <f t="shared" si="73"/>
        <v>0</v>
      </c>
      <c r="AL689" s="86">
        <v>54686940</v>
      </c>
      <c r="AM689" s="86">
        <f t="shared" si="74"/>
        <v>0</v>
      </c>
      <c r="AN689" s="63" t="s">
        <v>1155</v>
      </c>
      <c r="AO689" s="86">
        <f t="shared" si="75"/>
        <v>0</v>
      </c>
      <c r="AP689" s="63"/>
      <c r="AQ689" s="63"/>
      <c r="AR689" s="63"/>
      <c r="AS689" s="63"/>
      <c r="AT689" s="63"/>
      <c r="AU689" s="220"/>
      <c r="AV689" s="220"/>
      <c r="AW689" s="220"/>
    </row>
    <row r="690" spans="1:49" s="221" customFormat="1" ht="342" x14ac:dyDescent="0.25">
      <c r="A690" s="63">
        <v>276</v>
      </c>
      <c r="B690" s="63" t="str">
        <f t="shared" si="72"/>
        <v>3075-276</v>
      </c>
      <c r="C690" s="76" t="s">
        <v>1141</v>
      </c>
      <c r="D690" s="76" t="s">
        <v>1142</v>
      </c>
      <c r="E690" s="76" t="s">
        <v>1424</v>
      </c>
      <c r="F690" s="76" t="s">
        <v>1175</v>
      </c>
      <c r="G690" s="77" t="s">
        <v>1176</v>
      </c>
      <c r="H690" s="78" t="s">
        <v>1425</v>
      </c>
      <c r="I690" s="76" t="s">
        <v>1147</v>
      </c>
      <c r="J690" s="76" t="s">
        <v>1148</v>
      </c>
      <c r="K690" s="76" t="s">
        <v>439</v>
      </c>
      <c r="L690" s="63" t="s">
        <v>1149</v>
      </c>
      <c r="M690" s="63" t="s">
        <v>58</v>
      </c>
      <c r="N690" s="63" t="s">
        <v>59</v>
      </c>
      <c r="O690" s="76" t="s">
        <v>1213</v>
      </c>
      <c r="P690" s="63" t="s">
        <v>1956</v>
      </c>
      <c r="Q690" s="83">
        <v>54686940</v>
      </c>
      <c r="R690" s="98">
        <v>1</v>
      </c>
      <c r="S690" s="80">
        <v>54686940</v>
      </c>
      <c r="T690" s="63" t="s">
        <v>1171</v>
      </c>
      <c r="U690" s="63" t="s">
        <v>1171</v>
      </c>
      <c r="V690" s="81" t="s">
        <v>493</v>
      </c>
      <c r="W690" s="82" t="s">
        <v>439</v>
      </c>
      <c r="X690" s="99" t="s">
        <v>1957</v>
      </c>
      <c r="Y690" s="81">
        <v>43131</v>
      </c>
      <c r="Z690" s="83">
        <v>54686940</v>
      </c>
      <c r="AA690" s="84" t="s">
        <v>1742</v>
      </c>
      <c r="AB690" s="85">
        <v>621</v>
      </c>
      <c r="AC690" s="81">
        <v>43132</v>
      </c>
      <c r="AD690" s="86">
        <v>54686940</v>
      </c>
      <c r="AE690" s="87">
        <f t="shared" si="71"/>
        <v>0</v>
      </c>
      <c r="AF690" s="85">
        <v>1368</v>
      </c>
      <c r="AG690" s="81">
        <v>43147</v>
      </c>
      <c r="AH690" s="86">
        <v>54686940</v>
      </c>
      <c r="AI690" s="63" t="s">
        <v>1958</v>
      </c>
      <c r="AJ690" s="63">
        <v>1272</v>
      </c>
      <c r="AK690" s="87">
        <f t="shared" si="73"/>
        <v>0</v>
      </c>
      <c r="AL690" s="86">
        <v>54686940</v>
      </c>
      <c r="AM690" s="86">
        <f t="shared" si="74"/>
        <v>0</v>
      </c>
      <c r="AN690" s="63" t="s">
        <v>1155</v>
      </c>
      <c r="AO690" s="86">
        <f t="shared" si="75"/>
        <v>0</v>
      </c>
      <c r="AP690" s="63"/>
      <c r="AQ690" s="63"/>
      <c r="AR690" s="63"/>
      <c r="AS690" s="63"/>
      <c r="AT690" s="63"/>
      <c r="AU690" s="220"/>
      <c r="AV690" s="220"/>
      <c r="AW690" s="220"/>
    </row>
    <row r="691" spans="1:49" s="221" customFormat="1" ht="342" x14ac:dyDescent="0.25">
      <c r="A691" s="63">
        <v>277</v>
      </c>
      <c r="B691" s="63" t="str">
        <f t="shared" si="72"/>
        <v>3075-277</v>
      </c>
      <c r="C691" s="76" t="s">
        <v>1141</v>
      </c>
      <c r="D691" s="76" t="s">
        <v>1142</v>
      </c>
      <c r="E691" s="76" t="s">
        <v>1424</v>
      </c>
      <c r="F691" s="76" t="s">
        <v>1175</v>
      </c>
      <c r="G691" s="77" t="s">
        <v>1176</v>
      </c>
      <c r="H691" s="78" t="s">
        <v>1425</v>
      </c>
      <c r="I691" s="76" t="s">
        <v>1147</v>
      </c>
      <c r="J691" s="76" t="s">
        <v>1148</v>
      </c>
      <c r="K691" s="76" t="s">
        <v>439</v>
      </c>
      <c r="L691" s="63" t="s">
        <v>1149</v>
      </c>
      <c r="M691" s="63" t="s">
        <v>58</v>
      </c>
      <c r="N691" s="63" t="s">
        <v>59</v>
      </c>
      <c r="O691" s="76" t="s">
        <v>1213</v>
      </c>
      <c r="P691" s="63" t="s">
        <v>1959</v>
      </c>
      <c r="Q691" s="83">
        <v>54686940</v>
      </c>
      <c r="R691" s="98">
        <v>1</v>
      </c>
      <c r="S691" s="80">
        <v>54686940</v>
      </c>
      <c r="T691" s="63" t="s">
        <v>1171</v>
      </c>
      <c r="U691" s="63" t="s">
        <v>1171</v>
      </c>
      <c r="V691" s="81" t="s">
        <v>493</v>
      </c>
      <c r="W691" s="82" t="s">
        <v>439</v>
      </c>
      <c r="X691" s="99" t="s">
        <v>1960</v>
      </c>
      <c r="Y691" s="81">
        <v>43131</v>
      </c>
      <c r="Z691" s="83">
        <v>54686940</v>
      </c>
      <c r="AA691" s="84" t="s">
        <v>1742</v>
      </c>
      <c r="AB691" s="85">
        <v>622</v>
      </c>
      <c r="AC691" s="81">
        <v>43132</v>
      </c>
      <c r="AD691" s="86">
        <v>54686940</v>
      </c>
      <c r="AE691" s="87">
        <f t="shared" si="71"/>
        <v>0</v>
      </c>
      <c r="AF691" s="85">
        <v>1342</v>
      </c>
      <c r="AG691" s="81">
        <v>43144</v>
      </c>
      <c r="AH691" s="86">
        <v>54686940</v>
      </c>
      <c r="AI691" s="63" t="s">
        <v>1961</v>
      </c>
      <c r="AJ691" s="63">
        <v>1096</v>
      </c>
      <c r="AK691" s="87">
        <f t="shared" si="73"/>
        <v>0</v>
      </c>
      <c r="AL691" s="86">
        <v>54686940</v>
      </c>
      <c r="AM691" s="86">
        <f t="shared" si="74"/>
        <v>0</v>
      </c>
      <c r="AN691" s="63" t="s">
        <v>1155</v>
      </c>
      <c r="AO691" s="86">
        <f t="shared" si="75"/>
        <v>0</v>
      </c>
      <c r="AP691" s="63"/>
      <c r="AQ691" s="63"/>
      <c r="AR691" s="63"/>
      <c r="AS691" s="63"/>
      <c r="AT691" s="63"/>
      <c r="AU691" s="220"/>
      <c r="AV691" s="220"/>
      <c r="AW691" s="220"/>
    </row>
    <row r="692" spans="1:49" s="221" customFormat="1" ht="342" x14ac:dyDescent="0.25">
      <c r="A692" s="63">
        <v>278</v>
      </c>
      <c r="B692" s="63" t="str">
        <f t="shared" si="72"/>
        <v>3075-278</v>
      </c>
      <c r="C692" s="76" t="s">
        <v>1141</v>
      </c>
      <c r="D692" s="76" t="s">
        <v>1142</v>
      </c>
      <c r="E692" s="76" t="s">
        <v>1424</v>
      </c>
      <c r="F692" s="76" t="s">
        <v>1175</v>
      </c>
      <c r="G692" s="77" t="s">
        <v>1176</v>
      </c>
      <c r="H692" s="78" t="s">
        <v>1425</v>
      </c>
      <c r="I692" s="76" t="s">
        <v>1147</v>
      </c>
      <c r="J692" s="76" t="s">
        <v>1148</v>
      </c>
      <c r="K692" s="76" t="s">
        <v>439</v>
      </c>
      <c r="L692" s="63" t="s">
        <v>1149</v>
      </c>
      <c r="M692" s="63" t="s">
        <v>58</v>
      </c>
      <c r="N692" s="63" t="s">
        <v>59</v>
      </c>
      <c r="O692" s="76" t="s">
        <v>1213</v>
      </c>
      <c r="P692" s="63" t="s">
        <v>1962</v>
      </c>
      <c r="Q692" s="83">
        <v>54686940</v>
      </c>
      <c r="R692" s="98">
        <v>1</v>
      </c>
      <c r="S692" s="80">
        <v>54686940</v>
      </c>
      <c r="T692" s="63" t="s">
        <v>1171</v>
      </c>
      <c r="U692" s="63" t="s">
        <v>1171</v>
      </c>
      <c r="V692" s="81" t="s">
        <v>493</v>
      </c>
      <c r="W692" s="82" t="s">
        <v>439</v>
      </c>
      <c r="X692" s="99" t="s">
        <v>1963</v>
      </c>
      <c r="Y692" s="81">
        <v>43131</v>
      </c>
      <c r="Z692" s="83">
        <v>54686940</v>
      </c>
      <c r="AA692" s="84" t="s">
        <v>1742</v>
      </c>
      <c r="AB692" s="85">
        <v>624</v>
      </c>
      <c r="AC692" s="81">
        <v>43132</v>
      </c>
      <c r="AD692" s="86">
        <v>54686940</v>
      </c>
      <c r="AE692" s="87">
        <f t="shared" si="71"/>
        <v>0</v>
      </c>
      <c r="AF692" s="85">
        <v>1454</v>
      </c>
      <c r="AG692" s="81">
        <v>43152</v>
      </c>
      <c r="AH692" s="86">
        <v>54686940</v>
      </c>
      <c r="AI692" s="63" t="s">
        <v>1964</v>
      </c>
      <c r="AJ692" s="63">
        <v>1355</v>
      </c>
      <c r="AK692" s="87">
        <f t="shared" si="73"/>
        <v>0</v>
      </c>
      <c r="AL692" s="86">
        <v>54686940</v>
      </c>
      <c r="AM692" s="86">
        <f t="shared" si="74"/>
        <v>0</v>
      </c>
      <c r="AN692" s="63" t="s">
        <v>1155</v>
      </c>
      <c r="AO692" s="86">
        <f t="shared" si="75"/>
        <v>0</v>
      </c>
      <c r="AP692" s="63"/>
      <c r="AQ692" s="63"/>
      <c r="AR692" s="63"/>
      <c r="AS692" s="63"/>
      <c r="AT692" s="63"/>
      <c r="AU692" s="220"/>
      <c r="AV692" s="220"/>
      <c r="AW692" s="220"/>
    </row>
    <row r="693" spans="1:49" s="221" customFormat="1" ht="342" x14ac:dyDescent="0.25">
      <c r="A693" s="63">
        <v>279</v>
      </c>
      <c r="B693" s="63" t="str">
        <f t="shared" si="72"/>
        <v>3075-279</v>
      </c>
      <c r="C693" s="76" t="s">
        <v>1141</v>
      </c>
      <c r="D693" s="76" t="s">
        <v>1142</v>
      </c>
      <c r="E693" s="76" t="s">
        <v>1424</v>
      </c>
      <c r="F693" s="76" t="s">
        <v>1175</v>
      </c>
      <c r="G693" s="77" t="s">
        <v>1176</v>
      </c>
      <c r="H693" s="78" t="s">
        <v>1425</v>
      </c>
      <c r="I693" s="76" t="s">
        <v>1147</v>
      </c>
      <c r="J693" s="76" t="s">
        <v>1148</v>
      </c>
      <c r="K693" s="76" t="s">
        <v>439</v>
      </c>
      <c r="L693" s="63" t="s">
        <v>1149</v>
      </c>
      <c r="M693" s="63" t="s">
        <v>58</v>
      </c>
      <c r="N693" s="63" t="s">
        <v>59</v>
      </c>
      <c r="O693" s="76" t="s">
        <v>1213</v>
      </c>
      <c r="P693" s="63" t="s">
        <v>1965</v>
      </c>
      <c r="Q693" s="83">
        <v>54686940</v>
      </c>
      <c r="R693" s="98">
        <v>1</v>
      </c>
      <c r="S693" s="80">
        <v>54686940</v>
      </c>
      <c r="T693" s="63" t="s">
        <v>1171</v>
      </c>
      <c r="U693" s="63" t="s">
        <v>1171</v>
      </c>
      <c r="V693" s="81" t="s">
        <v>493</v>
      </c>
      <c r="W693" s="82" t="s">
        <v>439</v>
      </c>
      <c r="X693" s="99" t="s">
        <v>1966</v>
      </c>
      <c r="Y693" s="81">
        <v>43131</v>
      </c>
      <c r="Z693" s="83">
        <v>54686940</v>
      </c>
      <c r="AA693" s="84" t="s">
        <v>1742</v>
      </c>
      <c r="AB693" s="85">
        <v>605</v>
      </c>
      <c r="AC693" s="81">
        <v>43132</v>
      </c>
      <c r="AD693" s="86">
        <v>54686940</v>
      </c>
      <c r="AE693" s="87">
        <f t="shared" si="71"/>
        <v>0</v>
      </c>
      <c r="AF693" s="85">
        <v>1341</v>
      </c>
      <c r="AG693" s="81">
        <v>43144</v>
      </c>
      <c r="AH693" s="86">
        <v>54686940</v>
      </c>
      <c r="AI693" s="63" t="s">
        <v>1967</v>
      </c>
      <c r="AJ693" s="63">
        <v>1104</v>
      </c>
      <c r="AK693" s="87">
        <f t="shared" si="73"/>
        <v>0</v>
      </c>
      <c r="AL693" s="86">
        <v>54686940</v>
      </c>
      <c r="AM693" s="86">
        <f t="shared" si="74"/>
        <v>0</v>
      </c>
      <c r="AN693" s="63" t="s">
        <v>1155</v>
      </c>
      <c r="AO693" s="86">
        <f t="shared" si="75"/>
        <v>0</v>
      </c>
      <c r="AP693" s="63"/>
      <c r="AQ693" s="63"/>
      <c r="AR693" s="63"/>
      <c r="AS693" s="63"/>
      <c r="AT693" s="63"/>
      <c r="AU693" s="220"/>
      <c r="AV693" s="220"/>
      <c r="AW693" s="220"/>
    </row>
    <row r="694" spans="1:49" s="221" customFormat="1" ht="342" x14ac:dyDescent="0.25">
      <c r="A694" s="63">
        <v>280</v>
      </c>
      <c r="B694" s="63" t="str">
        <f t="shared" si="72"/>
        <v>3075-280</v>
      </c>
      <c r="C694" s="76" t="s">
        <v>1141</v>
      </c>
      <c r="D694" s="76" t="s">
        <v>1142</v>
      </c>
      <c r="E694" s="76" t="s">
        <v>1424</v>
      </c>
      <c r="F694" s="76" t="s">
        <v>1175</v>
      </c>
      <c r="G694" s="77" t="s">
        <v>1176</v>
      </c>
      <c r="H694" s="78" t="s">
        <v>1425</v>
      </c>
      <c r="I694" s="76" t="s">
        <v>1147</v>
      </c>
      <c r="J694" s="76" t="s">
        <v>1148</v>
      </c>
      <c r="K694" s="76" t="s">
        <v>439</v>
      </c>
      <c r="L694" s="63" t="s">
        <v>1149</v>
      </c>
      <c r="M694" s="63" t="s">
        <v>58</v>
      </c>
      <c r="N694" s="63" t="s">
        <v>59</v>
      </c>
      <c r="O694" s="76" t="s">
        <v>1213</v>
      </c>
      <c r="P694" s="63" t="s">
        <v>1968</v>
      </c>
      <c r="Q694" s="83">
        <v>54686940</v>
      </c>
      <c r="R694" s="98">
        <v>1</v>
      </c>
      <c r="S694" s="80">
        <v>54686940</v>
      </c>
      <c r="T694" s="63" t="s">
        <v>1171</v>
      </c>
      <c r="U694" s="63" t="s">
        <v>1171</v>
      </c>
      <c r="V694" s="81" t="s">
        <v>493</v>
      </c>
      <c r="W694" s="82" t="s">
        <v>439</v>
      </c>
      <c r="X694" s="99" t="s">
        <v>1969</v>
      </c>
      <c r="Y694" s="81">
        <v>43131</v>
      </c>
      <c r="Z694" s="83">
        <v>54686940</v>
      </c>
      <c r="AA694" s="84" t="s">
        <v>1742</v>
      </c>
      <c r="AB694" s="85">
        <v>608</v>
      </c>
      <c r="AC694" s="81">
        <v>43132</v>
      </c>
      <c r="AD694" s="86">
        <v>54686940</v>
      </c>
      <c r="AE694" s="87">
        <f t="shared" si="71"/>
        <v>0</v>
      </c>
      <c r="AF694" s="85">
        <v>1382</v>
      </c>
      <c r="AG694" s="81">
        <v>43150</v>
      </c>
      <c r="AH694" s="86">
        <v>54686940</v>
      </c>
      <c r="AI694" s="63" t="s">
        <v>1970</v>
      </c>
      <c r="AJ694" s="63">
        <v>1285</v>
      </c>
      <c r="AK694" s="87">
        <f t="shared" si="73"/>
        <v>0</v>
      </c>
      <c r="AL694" s="86">
        <v>54686940</v>
      </c>
      <c r="AM694" s="86">
        <f t="shared" si="74"/>
        <v>0</v>
      </c>
      <c r="AN694" s="63" t="s">
        <v>1155</v>
      </c>
      <c r="AO694" s="86">
        <f t="shared" si="75"/>
        <v>0</v>
      </c>
      <c r="AP694" s="63"/>
      <c r="AQ694" s="63"/>
      <c r="AR694" s="63"/>
      <c r="AS694" s="63"/>
      <c r="AT694" s="63"/>
      <c r="AU694" s="220"/>
      <c r="AV694" s="220"/>
      <c r="AW694" s="220"/>
    </row>
    <row r="695" spans="1:49" s="221" customFormat="1" ht="342" x14ac:dyDescent="0.25">
      <c r="A695" s="63">
        <v>281</v>
      </c>
      <c r="B695" s="63" t="str">
        <f t="shared" si="72"/>
        <v>3075-281</v>
      </c>
      <c r="C695" s="76" t="s">
        <v>1141</v>
      </c>
      <c r="D695" s="76" t="s">
        <v>1142</v>
      </c>
      <c r="E695" s="76" t="s">
        <v>1424</v>
      </c>
      <c r="F695" s="76" t="s">
        <v>1175</v>
      </c>
      <c r="G695" s="77" t="s">
        <v>1176</v>
      </c>
      <c r="H695" s="78" t="s">
        <v>1425</v>
      </c>
      <c r="I695" s="76" t="s">
        <v>1147</v>
      </c>
      <c r="J695" s="76" t="s">
        <v>1148</v>
      </c>
      <c r="K695" s="76" t="s">
        <v>439</v>
      </c>
      <c r="L695" s="63" t="s">
        <v>1149</v>
      </c>
      <c r="M695" s="63" t="s">
        <v>58</v>
      </c>
      <c r="N695" s="63" t="s">
        <v>59</v>
      </c>
      <c r="O695" s="76" t="s">
        <v>1213</v>
      </c>
      <c r="P695" s="63" t="s">
        <v>1971</v>
      </c>
      <c r="Q695" s="83">
        <v>54686940</v>
      </c>
      <c r="R695" s="98">
        <v>1</v>
      </c>
      <c r="S695" s="80">
        <v>54686940</v>
      </c>
      <c r="T695" s="63" t="s">
        <v>1171</v>
      </c>
      <c r="U695" s="63" t="s">
        <v>1171</v>
      </c>
      <c r="V695" s="81" t="s">
        <v>493</v>
      </c>
      <c r="W695" s="82" t="s">
        <v>439</v>
      </c>
      <c r="X695" s="99" t="s">
        <v>1972</v>
      </c>
      <c r="Y695" s="81">
        <v>43131</v>
      </c>
      <c r="Z695" s="83">
        <v>54686940</v>
      </c>
      <c r="AA695" s="84" t="s">
        <v>1742</v>
      </c>
      <c r="AB695" s="85">
        <v>611</v>
      </c>
      <c r="AC695" s="81">
        <v>43132</v>
      </c>
      <c r="AD695" s="86">
        <v>54686940</v>
      </c>
      <c r="AE695" s="87">
        <f t="shared" si="71"/>
        <v>0</v>
      </c>
      <c r="AF695" s="85">
        <v>1373</v>
      </c>
      <c r="AG695" s="81">
        <v>43147</v>
      </c>
      <c r="AH695" s="86">
        <v>54686940</v>
      </c>
      <c r="AI695" s="63" t="s">
        <v>1973</v>
      </c>
      <c r="AJ695" s="63">
        <v>1279</v>
      </c>
      <c r="AK695" s="87">
        <f t="shared" si="73"/>
        <v>0</v>
      </c>
      <c r="AL695" s="86">
        <v>54686940</v>
      </c>
      <c r="AM695" s="86">
        <f t="shared" si="74"/>
        <v>0</v>
      </c>
      <c r="AN695" s="63" t="s">
        <v>1155</v>
      </c>
      <c r="AO695" s="86">
        <f t="shared" si="75"/>
        <v>0</v>
      </c>
      <c r="AP695" s="63"/>
      <c r="AQ695" s="63"/>
      <c r="AR695" s="63"/>
      <c r="AS695" s="63"/>
      <c r="AT695" s="63"/>
      <c r="AU695" s="220"/>
      <c r="AV695" s="220"/>
      <c r="AW695" s="220"/>
    </row>
    <row r="696" spans="1:49" s="221" customFormat="1" ht="342" x14ac:dyDescent="0.25">
      <c r="A696" s="63">
        <v>282</v>
      </c>
      <c r="B696" s="63" t="str">
        <f t="shared" si="72"/>
        <v>3075-282</v>
      </c>
      <c r="C696" s="76" t="s">
        <v>1141</v>
      </c>
      <c r="D696" s="76" t="s">
        <v>1142</v>
      </c>
      <c r="E696" s="76" t="s">
        <v>1424</v>
      </c>
      <c r="F696" s="76" t="s">
        <v>1175</v>
      </c>
      <c r="G696" s="77" t="s">
        <v>1176</v>
      </c>
      <c r="H696" s="78" t="s">
        <v>1425</v>
      </c>
      <c r="I696" s="76" t="s">
        <v>1147</v>
      </c>
      <c r="J696" s="76" t="s">
        <v>1148</v>
      </c>
      <c r="K696" s="76" t="s">
        <v>439</v>
      </c>
      <c r="L696" s="63" t="s">
        <v>1149</v>
      </c>
      <c r="M696" s="63" t="s">
        <v>58</v>
      </c>
      <c r="N696" s="63" t="s">
        <v>59</v>
      </c>
      <c r="O696" s="76" t="s">
        <v>1213</v>
      </c>
      <c r="P696" s="63" t="s">
        <v>1974</v>
      </c>
      <c r="Q696" s="83">
        <v>54686940</v>
      </c>
      <c r="R696" s="98">
        <v>1</v>
      </c>
      <c r="S696" s="80">
        <v>54686940</v>
      </c>
      <c r="T696" s="63" t="s">
        <v>1171</v>
      </c>
      <c r="U696" s="63" t="s">
        <v>1171</v>
      </c>
      <c r="V696" s="81" t="s">
        <v>493</v>
      </c>
      <c r="W696" s="82" t="s">
        <v>439</v>
      </c>
      <c r="X696" s="99" t="s">
        <v>1975</v>
      </c>
      <c r="Y696" s="81">
        <v>43131</v>
      </c>
      <c r="Z696" s="83">
        <v>54686940</v>
      </c>
      <c r="AA696" s="84" t="s">
        <v>1742</v>
      </c>
      <c r="AB696" s="85">
        <v>612</v>
      </c>
      <c r="AC696" s="81">
        <v>43132</v>
      </c>
      <c r="AD696" s="86">
        <v>54686940</v>
      </c>
      <c r="AE696" s="87">
        <f t="shared" si="71"/>
        <v>0</v>
      </c>
      <c r="AF696" s="85">
        <v>1340</v>
      </c>
      <c r="AG696" s="81">
        <v>43144</v>
      </c>
      <c r="AH696" s="86">
        <v>54686940</v>
      </c>
      <c r="AI696" s="63" t="s">
        <v>1976</v>
      </c>
      <c r="AJ696" s="63">
        <v>1097</v>
      </c>
      <c r="AK696" s="87">
        <f t="shared" si="73"/>
        <v>0</v>
      </c>
      <c r="AL696" s="86">
        <v>54686940</v>
      </c>
      <c r="AM696" s="86">
        <f t="shared" si="74"/>
        <v>0</v>
      </c>
      <c r="AN696" s="63" t="s">
        <v>1155</v>
      </c>
      <c r="AO696" s="86">
        <f t="shared" si="75"/>
        <v>0</v>
      </c>
      <c r="AP696" s="63"/>
      <c r="AQ696" s="63"/>
      <c r="AR696" s="63"/>
      <c r="AS696" s="63"/>
      <c r="AT696" s="63"/>
      <c r="AU696" s="220"/>
      <c r="AV696" s="220"/>
      <c r="AW696" s="220"/>
    </row>
    <row r="697" spans="1:49" s="221" customFormat="1" ht="342" x14ac:dyDescent="0.25">
      <c r="A697" s="63">
        <v>283</v>
      </c>
      <c r="B697" s="63" t="str">
        <f t="shared" si="72"/>
        <v>3075-283</v>
      </c>
      <c r="C697" s="76" t="s">
        <v>1141</v>
      </c>
      <c r="D697" s="76" t="s">
        <v>1142</v>
      </c>
      <c r="E697" s="76" t="s">
        <v>1424</v>
      </c>
      <c r="F697" s="76" t="s">
        <v>1175</v>
      </c>
      <c r="G697" s="77" t="s">
        <v>1176</v>
      </c>
      <c r="H697" s="78" t="s">
        <v>1425</v>
      </c>
      <c r="I697" s="76" t="s">
        <v>1147</v>
      </c>
      <c r="J697" s="76" t="s">
        <v>1148</v>
      </c>
      <c r="K697" s="76" t="s">
        <v>439</v>
      </c>
      <c r="L697" s="63" t="s">
        <v>1149</v>
      </c>
      <c r="M697" s="63" t="s">
        <v>58</v>
      </c>
      <c r="N697" s="63" t="s">
        <v>59</v>
      </c>
      <c r="O697" s="76" t="s">
        <v>1213</v>
      </c>
      <c r="P697" s="63" t="s">
        <v>1977</v>
      </c>
      <c r="Q697" s="83">
        <v>54686940</v>
      </c>
      <c r="R697" s="98">
        <v>1</v>
      </c>
      <c r="S697" s="80">
        <v>54686940</v>
      </c>
      <c r="T697" s="63" t="s">
        <v>1171</v>
      </c>
      <c r="U697" s="63" t="s">
        <v>1171</v>
      </c>
      <c r="V697" s="81" t="s">
        <v>493</v>
      </c>
      <c r="W697" s="82" t="s">
        <v>439</v>
      </c>
      <c r="X697" s="99" t="s">
        <v>1978</v>
      </c>
      <c r="Y697" s="81">
        <v>43131</v>
      </c>
      <c r="Z697" s="83">
        <v>54686940</v>
      </c>
      <c r="AA697" s="84" t="s">
        <v>1742</v>
      </c>
      <c r="AB697" s="85">
        <v>615</v>
      </c>
      <c r="AC697" s="81">
        <v>43132</v>
      </c>
      <c r="AD697" s="86">
        <v>54686940</v>
      </c>
      <c r="AE697" s="87">
        <f t="shared" si="71"/>
        <v>0</v>
      </c>
      <c r="AF697" s="85">
        <v>1343</v>
      </c>
      <c r="AG697" s="81">
        <v>43144</v>
      </c>
      <c r="AH697" s="86">
        <v>54686940</v>
      </c>
      <c r="AI697" s="63" t="s">
        <v>1979</v>
      </c>
      <c r="AJ697" s="63">
        <v>1100</v>
      </c>
      <c r="AK697" s="87">
        <f t="shared" si="73"/>
        <v>0</v>
      </c>
      <c r="AL697" s="86">
        <v>54686940</v>
      </c>
      <c r="AM697" s="86">
        <f t="shared" si="74"/>
        <v>0</v>
      </c>
      <c r="AN697" s="63" t="s">
        <v>1155</v>
      </c>
      <c r="AO697" s="86">
        <f t="shared" si="75"/>
        <v>0</v>
      </c>
      <c r="AP697" s="63"/>
      <c r="AQ697" s="63"/>
      <c r="AR697" s="63"/>
      <c r="AS697" s="63"/>
      <c r="AT697" s="63"/>
      <c r="AU697" s="220"/>
      <c r="AV697" s="220"/>
      <c r="AW697" s="220"/>
    </row>
    <row r="698" spans="1:49" s="221" customFormat="1" ht="342" x14ac:dyDescent="0.25">
      <c r="A698" s="63">
        <v>284</v>
      </c>
      <c r="B698" s="63" t="str">
        <f t="shared" si="72"/>
        <v>3075-284</v>
      </c>
      <c r="C698" s="76" t="s">
        <v>1141</v>
      </c>
      <c r="D698" s="76" t="s">
        <v>1142</v>
      </c>
      <c r="E698" s="76" t="s">
        <v>1424</v>
      </c>
      <c r="F698" s="76" t="s">
        <v>1175</v>
      </c>
      <c r="G698" s="77" t="s">
        <v>1176</v>
      </c>
      <c r="H698" s="78" t="s">
        <v>1425</v>
      </c>
      <c r="I698" s="76" t="s">
        <v>1147</v>
      </c>
      <c r="J698" s="76" t="s">
        <v>1148</v>
      </c>
      <c r="K698" s="76" t="s">
        <v>439</v>
      </c>
      <c r="L698" s="63" t="s">
        <v>1149</v>
      </c>
      <c r="M698" s="63" t="s">
        <v>58</v>
      </c>
      <c r="N698" s="63" t="s">
        <v>59</v>
      </c>
      <c r="O698" s="76" t="s">
        <v>1213</v>
      </c>
      <c r="P698" s="63" t="s">
        <v>1980</v>
      </c>
      <c r="Q698" s="83">
        <v>54686940</v>
      </c>
      <c r="R698" s="98">
        <v>1</v>
      </c>
      <c r="S698" s="80">
        <v>54686940</v>
      </c>
      <c r="T698" s="63" t="s">
        <v>1171</v>
      </c>
      <c r="U698" s="63" t="s">
        <v>1171</v>
      </c>
      <c r="V698" s="81" t="s">
        <v>493</v>
      </c>
      <c r="W698" s="82" t="s">
        <v>439</v>
      </c>
      <c r="X698" s="99" t="s">
        <v>1981</v>
      </c>
      <c r="Y698" s="81">
        <v>43131</v>
      </c>
      <c r="Z698" s="83">
        <v>54686940</v>
      </c>
      <c r="AA698" s="84" t="s">
        <v>1742</v>
      </c>
      <c r="AB698" s="85">
        <v>617</v>
      </c>
      <c r="AC698" s="81">
        <v>43132</v>
      </c>
      <c r="AD698" s="86">
        <v>54686940</v>
      </c>
      <c r="AE698" s="87">
        <f t="shared" si="71"/>
        <v>0</v>
      </c>
      <c r="AF698" s="85">
        <v>1365</v>
      </c>
      <c r="AG698" s="81">
        <v>43147</v>
      </c>
      <c r="AH698" s="86">
        <v>54686940</v>
      </c>
      <c r="AI698" s="63" t="s">
        <v>1982</v>
      </c>
      <c r="AJ698" s="63">
        <v>1277</v>
      </c>
      <c r="AK698" s="87">
        <f t="shared" si="73"/>
        <v>0</v>
      </c>
      <c r="AL698" s="86">
        <v>54686940</v>
      </c>
      <c r="AM698" s="86">
        <f t="shared" si="74"/>
        <v>0</v>
      </c>
      <c r="AN698" s="63" t="s">
        <v>1155</v>
      </c>
      <c r="AO698" s="86">
        <f t="shared" si="75"/>
        <v>0</v>
      </c>
      <c r="AP698" s="63"/>
      <c r="AQ698" s="63"/>
      <c r="AR698" s="63"/>
      <c r="AS698" s="63"/>
      <c r="AT698" s="63"/>
      <c r="AU698" s="220"/>
      <c r="AV698" s="220"/>
      <c r="AW698" s="220"/>
    </row>
    <row r="699" spans="1:49" s="221" customFormat="1" ht="342" x14ac:dyDescent="0.25">
      <c r="A699" s="63">
        <v>285</v>
      </c>
      <c r="B699" s="63" t="str">
        <f t="shared" si="72"/>
        <v>3075-285</v>
      </c>
      <c r="C699" s="76" t="s">
        <v>1141</v>
      </c>
      <c r="D699" s="76" t="s">
        <v>1142</v>
      </c>
      <c r="E699" s="76" t="s">
        <v>1424</v>
      </c>
      <c r="F699" s="76" t="s">
        <v>1175</v>
      </c>
      <c r="G699" s="77" t="s">
        <v>1176</v>
      </c>
      <c r="H699" s="78" t="s">
        <v>1425</v>
      </c>
      <c r="I699" s="76" t="s">
        <v>1147</v>
      </c>
      <c r="J699" s="76" t="s">
        <v>1148</v>
      </c>
      <c r="K699" s="76" t="s">
        <v>439</v>
      </c>
      <c r="L699" s="63" t="s">
        <v>1149</v>
      </c>
      <c r="M699" s="63" t="s">
        <v>58</v>
      </c>
      <c r="N699" s="63" t="s">
        <v>59</v>
      </c>
      <c r="O699" s="76" t="s">
        <v>1213</v>
      </c>
      <c r="P699" s="63" t="s">
        <v>1983</v>
      </c>
      <c r="Q699" s="83">
        <v>54686940</v>
      </c>
      <c r="R699" s="98">
        <v>1</v>
      </c>
      <c r="S699" s="80">
        <v>54686940</v>
      </c>
      <c r="T699" s="63" t="s">
        <v>1171</v>
      </c>
      <c r="U699" s="63" t="s">
        <v>1171</v>
      </c>
      <c r="V699" s="81" t="s">
        <v>411</v>
      </c>
      <c r="W699" s="82" t="s">
        <v>439</v>
      </c>
      <c r="X699" s="99" t="s">
        <v>1984</v>
      </c>
      <c r="Y699" s="81">
        <v>43131</v>
      </c>
      <c r="Z699" s="83">
        <v>54686940</v>
      </c>
      <c r="AA699" s="84" t="s">
        <v>1742</v>
      </c>
      <c r="AB699" s="85">
        <v>618</v>
      </c>
      <c r="AC699" s="81">
        <v>43132</v>
      </c>
      <c r="AD699" s="86">
        <v>54686940</v>
      </c>
      <c r="AE699" s="87">
        <f t="shared" si="71"/>
        <v>0</v>
      </c>
      <c r="AF699" s="85">
        <v>1663</v>
      </c>
      <c r="AG699" s="81">
        <v>43192</v>
      </c>
      <c r="AH699" s="86">
        <v>54686940</v>
      </c>
      <c r="AI699" s="63" t="s">
        <v>1985</v>
      </c>
      <c r="AJ699" s="63">
        <v>1628</v>
      </c>
      <c r="AK699" s="87">
        <f t="shared" si="73"/>
        <v>0</v>
      </c>
      <c r="AL699" s="86">
        <v>54686940</v>
      </c>
      <c r="AM699" s="86">
        <f t="shared" si="74"/>
        <v>0</v>
      </c>
      <c r="AN699" s="63" t="s">
        <v>1155</v>
      </c>
      <c r="AO699" s="86">
        <f t="shared" si="75"/>
        <v>0</v>
      </c>
      <c r="AP699" s="63"/>
      <c r="AQ699" s="63"/>
      <c r="AR699" s="63"/>
      <c r="AS699" s="63"/>
      <c r="AT699" s="63"/>
      <c r="AU699" s="220"/>
      <c r="AV699" s="220"/>
      <c r="AW699" s="220"/>
    </row>
    <row r="700" spans="1:49" s="221" customFormat="1" ht="342" x14ac:dyDescent="0.25">
      <c r="A700" s="63">
        <v>286</v>
      </c>
      <c r="B700" s="63" t="str">
        <f t="shared" si="72"/>
        <v>3075-286</v>
      </c>
      <c r="C700" s="76" t="s">
        <v>1141</v>
      </c>
      <c r="D700" s="76" t="s">
        <v>1142</v>
      </c>
      <c r="E700" s="76" t="s">
        <v>1424</v>
      </c>
      <c r="F700" s="76" t="s">
        <v>1175</v>
      </c>
      <c r="G700" s="77" t="s">
        <v>1176</v>
      </c>
      <c r="H700" s="78" t="s">
        <v>1425</v>
      </c>
      <c r="I700" s="76" t="s">
        <v>1147</v>
      </c>
      <c r="J700" s="76" t="s">
        <v>1148</v>
      </c>
      <c r="K700" s="76" t="s">
        <v>439</v>
      </c>
      <c r="L700" s="63" t="s">
        <v>1149</v>
      </c>
      <c r="M700" s="63" t="s">
        <v>58</v>
      </c>
      <c r="N700" s="63" t="s">
        <v>59</v>
      </c>
      <c r="O700" s="76" t="s">
        <v>1213</v>
      </c>
      <c r="P700" s="63" t="s">
        <v>1986</v>
      </c>
      <c r="Q700" s="83">
        <v>54686940</v>
      </c>
      <c r="R700" s="98">
        <v>1</v>
      </c>
      <c r="S700" s="80">
        <v>54686940</v>
      </c>
      <c r="T700" s="63" t="s">
        <v>1171</v>
      </c>
      <c r="U700" s="63" t="s">
        <v>1171</v>
      </c>
      <c r="V700" s="81" t="s">
        <v>493</v>
      </c>
      <c r="W700" s="82" t="s">
        <v>439</v>
      </c>
      <c r="X700" s="99" t="s">
        <v>1987</v>
      </c>
      <c r="Y700" s="81">
        <v>43131</v>
      </c>
      <c r="Z700" s="83">
        <v>54686940</v>
      </c>
      <c r="AA700" s="84" t="s">
        <v>1742</v>
      </c>
      <c r="AB700" s="85">
        <v>620</v>
      </c>
      <c r="AC700" s="81">
        <v>43132</v>
      </c>
      <c r="AD700" s="86">
        <v>54686940</v>
      </c>
      <c r="AE700" s="87">
        <f t="shared" si="71"/>
        <v>0</v>
      </c>
      <c r="AF700" s="85">
        <v>1017</v>
      </c>
      <c r="AG700" s="81">
        <v>43140</v>
      </c>
      <c r="AH700" s="86">
        <v>54686940</v>
      </c>
      <c r="AI700" s="63" t="s">
        <v>1988</v>
      </c>
      <c r="AJ700" s="63">
        <v>766</v>
      </c>
      <c r="AK700" s="87">
        <f t="shared" si="73"/>
        <v>0</v>
      </c>
      <c r="AL700" s="86">
        <v>54686940</v>
      </c>
      <c r="AM700" s="86">
        <f t="shared" si="74"/>
        <v>0</v>
      </c>
      <c r="AN700" s="63" t="s">
        <v>1155</v>
      </c>
      <c r="AO700" s="86">
        <f t="shared" si="75"/>
        <v>0</v>
      </c>
      <c r="AP700" s="63"/>
      <c r="AQ700" s="63"/>
      <c r="AR700" s="63"/>
      <c r="AS700" s="63"/>
      <c r="AT700" s="63"/>
      <c r="AU700" s="220"/>
      <c r="AV700" s="220"/>
      <c r="AW700" s="220"/>
    </row>
    <row r="701" spans="1:49" s="221" customFormat="1" ht="342" x14ac:dyDescent="0.25">
      <c r="A701" s="63">
        <v>287</v>
      </c>
      <c r="B701" s="63" t="str">
        <f t="shared" si="72"/>
        <v>3075-287</v>
      </c>
      <c r="C701" s="76" t="s">
        <v>1141</v>
      </c>
      <c r="D701" s="76" t="s">
        <v>1142</v>
      </c>
      <c r="E701" s="76" t="s">
        <v>1424</v>
      </c>
      <c r="F701" s="76" t="s">
        <v>1175</v>
      </c>
      <c r="G701" s="77" t="s">
        <v>1176</v>
      </c>
      <c r="H701" s="78" t="s">
        <v>1425</v>
      </c>
      <c r="I701" s="76" t="s">
        <v>1147</v>
      </c>
      <c r="J701" s="76" t="s">
        <v>1148</v>
      </c>
      <c r="K701" s="76" t="s">
        <v>439</v>
      </c>
      <c r="L701" s="63" t="s">
        <v>1149</v>
      </c>
      <c r="M701" s="63" t="s">
        <v>58</v>
      </c>
      <c r="N701" s="63" t="s">
        <v>59</v>
      </c>
      <c r="O701" s="76" t="s">
        <v>1213</v>
      </c>
      <c r="P701" s="63" t="s">
        <v>1989</v>
      </c>
      <c r="Q701" s="83">
        <v>54686940</v>
      </c>
      <c r="R701" s="98">
        <v>1</v>
      </c>
      <c r="S701" s="80">
        <v>54686940</v>
      </c>
      <c r="T701" s="63" t="s">
        <v>1171</v>
      </c>
      <c r="U701" s="63" t="s">
        <v>1171</v>
      </c>
      <c r="V701" s="81" t="s">
        <v>493</v>
      </c>
      <c r="W701" s="82" t="s">
        <v>439</v>
      </c>
      <c r="X701" s="99" t="s">
        <v>1990</v>
      </c>
      <c r="Y701" s="81">
        <v>43131</v>
      </c>
      <c r="Z701" s="83">
        <v>54686940</v>
      </c>
      <c r="AA701" s="84" t="s">
        <v>1742</v>
      </c>
      <c r="AB701" s="85">
        <v>623</v>
      </c>
      <c r="AC701" s="81">
        <v>43132</v>
      </c>
      <c r="AD701" s="86">
        <v>54686940</v>
      </c>
      <c r="AE701" s="87">
        <f t="shared" si="71"/>
        <v>0</v>
      </c>
      <c r="AF701" s="85">
        <v>1370</v>
      </c>
      <c r="AG701" s="81">
        <v>43147</v>
      </c>
      <c r="AH701" s="86">
        <v>54686940</v>
      </c>
      <c r="AI701" s="63" t="s">
        <v>1991</v>
      </c>
      <c r="AJ701" s="63">
        <v>1270</v>
      </c>
      <c r="AK701" s="87">
        <f t="shared" si="73"/>
        <v>0</v>
      </c>
      <c r="AL701" s="86">
        <v>54686940</v>
      </c>
      <c r="AM701" s="86">
        <f t="shared" si="74"/>
        <v>0</v>
      </c>
      <c r="AN701" s="63" t="s">
        <v>1155</v>
      </c>
      <c r="AO701" s="86">
        <f t="shared" si="75"/>
        <v>0</v>
      </c>
      <c r="AP701" s="63"/>
      <c r="AQ701" s="63"/>
      <c r="AR701" s="63"/>
      <c r="AS701" s="63"/>
      <c r="AT701" s="63"/>
      <c r="AU701" s="220"/>
      <c r="AV701" s="220"/>
      <c r="AW701" s="220"/>
    </row>
    <row r="702" spans="1:49" s="221" customFormat="1" ht="342" x14ac:dyDescent="0.25">
      <c r="A702" s="63">
        <v>288</v>
      </c>
      <c r="B702" s="63" t="str">
        <f t="shared" si="72"/>
        <v>3075-288</v>
      </c>
      <c r="C702" s="76" t="s">
        <v>1141</v>
      </c>
      <c r="D702" s="76" t="s">
        <v>1142</v>
      </c>
      <c r="E702" s="76" t="s">
        <v>1424</v>
      </c>
      <c r="F702" s="76" t="s">
        <v>1175</v>
      </c>
      <c r="G702" s="77" t="s">
        <v>1176</v>
      </c>
      <c r="H702" s="78" t="s">
        <v>1425</v>
      </c>
      <c r="I702" s="76" t="s">
        <v>1147</v>
      </c>
      <c r="J702" s="76" t="s">
        <v>1148</v>
      </c>
      <c r="K702" s="76" t="s">
        <v>439</v>
      </c>
      <c r="L702" s="63" t="s">
        <v>1149</v>
      </c>
      <c r="M702" s="63" t="s">
        <v>58</v>
      </c>
      <c r="N702" s="63" t="s">
        <v>59</v>
      </c>
      <c r="O702" s="76" t="s">
        <v>1213</v>
      </c>
      <c r="P702" s="63" t="s">
        <v>1992</v>
      </c>
      <c r="Q702" s="83">
        <v>54686940</v>
      </c>
      <c r="R702" s="98">
        <v>1</v>
      </c>
      <c r="S702" s="80">
        <v>54686940</v>
      </c>
      <c r="T702" s="63" t="s">
        <v>1171</v>
      </c>
      <c r="U702" s="63" t="s">
        <v>1171</v>
      </c>
      <c r="V702" s="81" t="s">
        <v>493</v>
      </c>
      <c r="W702" s="82" t="s">
        <v>439</v>
      </c>
      <c r="X702" s="99" t="s">
        <v>1993</v>
      </c>
      <c r="Y702" s="81">
        <v>43131</v>
      </c>
      <c r="Z702" s="83">
        <v>54686940</v>
      </c>
      <c r="AA702" s="84" t="s">
        <v>1742</v>
      </c>
      <c r="AB702" s="85">
        <v>625</v>
      </c>
      <c r="AC702" s="81">
        <v>43132</v>
      </c>
      <c r="AD702" s="86">
        <v>54686940</v>
      </c>
      <c r="AE702" s="87">
        <f t="shared" si="71"/>
        <v>0</v>
      </c>
      <c r="AF702" s="85">
        <v>1339</v>
      </c>
      <c r="AG702" s="81">
        <v>43144</v>
      </c>
      <c r="AH702" s="86">
        <v>54686940</v>
      </c>
      <c r="AI702" s="63" t="s">
        <v>1994</v>
      </c>
      <c r="AJ702" s="63">
        <v>1105</v>
      </c>
      <c r="AK702" s="87">
        <f t="shared" si="73"/>
        <v>0</v>
      </c>
      <c r="AL702" s="86">
        <v>54686940</v>
      </c>
      <c r="AM702" s="86">
        <f t="shared" si="74"/>
        <v>0</v>
      </c>
      <c r="AN702" s="63" t="s">
        <v>1155</v>
      </c>
      <c r="AO702" s="86">
        <f t="shared" si="75"/>
        <v>0</v>
      </c>
      <c r="AP702" s="63"/>
      <c r="AQ702" s="63"/>
      <c r="AR702" s="63"/>
      <c r="AS702" s="63"/>
      <c r="AT702" s="63"/>
      <c r="AU702" s="220"/>
      <c r="AV702" s="220"/>
      <c r="AW702" s="220"/>
    </row>
    <row r="703" spans="1:49" s="221" customFormat="1" ht="342" x14ac:dyDescent="0.25">
      <c r="A703" s="63">
        <v>289</v>
      </c>
      <c r="B703" s="63" t="str">
        <f t="shared" si="72"/>
        <v>3075-289</v>
      </c>
      <c r="C703" s="76" t="s">
        <v>1141</v>
      </c>
      <c r="D703" s="76" t="s">
        <v>1142</v>
      </c>
      <c r="E703" s="76" t="s">
        <v>1424</v>
      </c>
      <c r="F703" s="76" t="s">
        <v>1175</v>
      </c>
      <c r="G703" s="77" t="s">
        <v>1176</v>
      </c>
      <c r="H703" s="78" t="s">
        <v>1425</v>
      </c>
      <c r="I703" s="76" t="s">
        <v>1147</v>
      </c>
      <c r="J703" s="76" t="s">
        <v>1148</v>
      </c>
      <c r="K703" s="76" t="s">
        <v>439</v>
      </c>
      <c r="L703" s="63" t="s">
        <v>1149</v>
      </c>
      <c r="M703" s="63" t="s">
        <v>58</v>
      </c>
      <c r="N703" s="63" t="s">
        <v>59</v>
      </c>
      <c r="O703" s="76" t="s">
        <v>1213</v>
      </c>
      <c r="P703" s="63" t="s">
        <v>1995</v>
      </c>
      <c r="Q703" s="83">
        <v>54686940</v>
      </c>
      <c r="R703" s="98">
        <v>1</v>
      </c>
      <c r="S703" s="80">
        <v>54686940</v>
      </c>
      <c r="T703" s="63" t="s">
        <v>1171</v>
      </c>
      <c r="U703" s="63" t="s">
        <v>1171</v>
      </c>
      <c r="V703" s="81" t="s">
        <v>493</v>
      </c>
      <c r="W703" s="82" t="s">
        <v>439</v>
      </c>
      <c r="X703" s="99" t="s">
        <v>1996</v>
      </c>
      <c r="Y703" s="81">
        <v>43131</v>
      </c>
      <c r="Z703" s="83">
        <v>54686940</v>
      </c>
      <c r="AA703" s="84" t="s">
        <v>1742</v>
      </c>
      <c r="AB703" s="85">
        <v>596</v>
      </c>
      <c r="AC703" s="81">
        <v>43132</v>
      </c>
      <c r="AD703" s="86">
        <v>54686940</v>
      </c>
      <c r="AE703" s="87">
        <f t="shared" si="71"/>
        <v>0</v>
      </c>
      <c r="AF703" s="85">
        <v>1337</v>
      </c>
      <c r="AG703" s="81">
        <v>43144</v>
      </c>
      <c r="AH703" s="86">
        <v>54686940</v>
      </c>
      <c r="AI703" s="63" t="s">
        <v>1997</v>
      </c>
      <c r="AJ703" s="63">
        <v>1101</v>
      </c>
      <c r="AK703" s="87">
        <f t="shared" si="73"/>
        <v>0</v>
      </c>
      <c r="AL703" s="86">
        <v>54686940</v>
      </c>
      <c r="AM703" s="86">
        <f t="shared" si="74"/>
        <v>0</v>
      </c>
      <c r="AN703" s="63" t="s">
        <v>1155</v>
      </c>
      <c r="AO703" s="86">
        <f t="shared" si="75"/>
        <v>0</v>
      </c>
      <c r="AP703" s="63"/>
      <c r="AQ703" s="63"/>
      <c r="AR703" s="63"/>
      <c r="AS703" s="63"/>
      <c r="AT703" s="63"/>
      <c r="AU703" s="220"/>
      <c r="AV703" s="220"/>
      <c r="AW703" s="220"/>
    </row>
    <row r="704" spans="1:49" s="221" customFormat="1" ht="342" x14ac:dyDescent="0.25">
      <c r="A704" s="63">
        <v>290</v>
      </c>
      <c r="B704" s="63" t="str">
        <f t="shared" si="72"/>
        <v>3075-290</v>
      </c>
      <c r="C704" s="76" t="s">
        <v>1141</v>
      </c>
      <c r="D704" s="76" t="s">
        <v>1142</v>
      </c>
      <c r="E704" s="76" t="s">
        <v>1424</v>
      </c>
      <c r="F704" s="76" t="s">
        <v>1175</v>
      </c>
      <c r="G704" s="77" t="s">
        <v>1176</v>
      </c>
      <c r="H704" s="78" t="s">
        <v>1425</v>
      </c>
      <c r="I704" s="76" t="s">
        <v>1147</v>
      </c>
      <c r="J704" s="76" t="s">
        <v>1148</v>
      </c>
      <c r="K704" s="76" t="s">
        <v>439</v>
      </c>
      <c r="L704" s="63" t="s">
        <v>1149</v>
      </c>
      <c r="M704" s="63" t="s">
        <v>58</v>
      </c>
      <c r="N704" s="63" t="s">
        <v>59</v>
      </c>
      <c r="O704" s="76" t="s">
        <v>1213</v>
      </c>
      <c r="P704" s="63" t="s">
        <v>1998</v>
      </c>
      <c r="Q704" s="83">
        <v>54686940</v>
      </c>
      <c r="R704" s="98">
        <v>1</v>
      </c>
      <c r="S704" s="80">
        <v>54686940</v>
      </c>
      <c r="T704" s="63" t="s">
        <v>1171</v>
      </c>
      <c r="U704" s="63" t="s">
        <v>1171</v>
      </c>
      <c r="V704" s="81" t="s">
        <v>493</v>
      </c>
      <c r="W704" s="82" t="s">
        <v>439</v>
      </c>
      <c r="X704" s="99" t="s">
        <v>1999</v>
      </c>
      <c r="Y704" s="81">
        <v>43131</v>
      </c>
      <c r="Z704" s="83">
        <v>54686940</v>
      </c>
      <c r="AA704" s="84" t="s">
        <v>1742</v>
      </c>
      <c r="AB704" s="85">
        <v>597</v>
      </c>
      <c r="AC704" s="81">
        <v>43132</v>
      </c>
      <c r="AD704" s="86">
        <v>54686940</v>
      </c>
      <c r="AE704" s="87">
        <f t="shared" si="71"/>
        <v>0</v>
      </c>
      <c r="AF704" s="85">
        <v>1372</v>
      </c>
      <c r="AG704" s="81">
        <v>43147</v>
      </c>
      <c r="AH704" s="86">
        <v>54686940</v>
      </c>
      <c r="AI704" s="63" t="s">
        <v>2000</v>
      </c>
      <c r="AJ704" s="63">
        <v>1271</v>
      </c>
      <c r="AK704" s="87">
        <f t="shared" si="73"/>
        <v>0</v>
      </c>
      <c r="AL704" s="86">
        <v>54686940</v>
      </c>
      <c r="AM704" s="86">
        <f t="shared" si="74"/>
        <v>0</v>
      </c>
      <c r="AN704" s="63" t="s">
        <v>1155</v>
      </c>
      <c r="AO704" s="86">
        <f t="shared" si="75"/>
        <v>0</v>
      </c>
      <c r="AP704" s="63"/>
      <c r="AQ704" s="63"/>
      <c r="AR704" s="63"/>
      <c r="AS704" s="63"/>
      <c r="AT704" s="63"/>
      <c r="AU704" s="220"/>
      <c r="AV704" s="220"/>
      <c r="AW704" s="220"/>
    </row>
    <row r="705" spans="1:49" s="221" customFormat="1" ht="342" x14ac:dyDescent="0.25">
      <c r="A705" s="63">
        <v>291</v>
      </c>
      <c r="B705" s="63" t="str">
        <f t="shared" si="72"/>
        <v>3075-291</v>
      </c>
      <c r="C705" s="76" t="s">
        <v>1141</v>
      </c>
      <c r="D705" s="76" t="s">
        <v>1142</v>
      </c>
      <c r="E705" s="76" t="s">
        <v>1424</v>
      </c>
      <c r="F705" s="76" t="s">
        <v>1175</v>
      </c>
      <c r="G705" s="77" t="s">
        <v>1176</v>
      </c>
      <c r="H705" s="78" t="s">
        <v>1425</v>
      </c>
      <c r="I705" s="76" t="s">
        <v>1147</v>
      </c>
      <c r="J705" s="76" t="s">
        <v>1148</v>
      </c>
      <c r="K705" s="76" t="s">
        <v>439</v>
      </c>
      <c r="L705" s="63" t="s">
        <v>1149</v>
      </c>
      <c r="M705" s="63" t="s">
        <v>58</v>
      </c>
      <c r="N705" s="63" t="s">
        <v>59</v>
      </c>
      <c r="O705" s="76" t="s">
        <v>1213</v>
      </c>
      <c r="P705" s="63" t="s">
        <v>2001</v>
      </c>
      <c r="Q705" s="83">
        <v>54686940</v>
      </c>
      <c r="R705" s="98">
        <v>1</v>
      </c>
      <c r="S705" s="80">
        <v>0</v>
      </c>
      <c r="T705" s="63"/>
      <c r="U705" s="63"/>
      <c r="V705" s="81"/>
      <c r="W705" s="82"/>
      <c r="X705" s="99" t="s">
        <v>2002</v>
      </c>
      <c r="Y705" s="81">
        <v>43131</v>
      </c>
      <c r="Z705" s="83">
        <f>54686940-54686940</f>
        <v>0</v>
      </c>
      <c r="AA705" s="84" t="s">
        <v>1742</v>
      </c>
      <c r="AB705" s="85"/>
      <c r="AC705" s="81"/>
      <c r="AD705" s="86"/>
      <c r="AE705" s="87">
        <v>0</v>
      </c>
      <c r="AF705" s="85"/>
      <c r="AG705" s="81"/>
      <c r="AH705" s="86"/>
      <c r="AI705" s="63"/>
      <c r="AJ705" s="63"/>
      <c r="AK705" s="87">
        <f t="shared" si="73"/>
        <v>0</v>
      </c>
      <c r="AL705" s="86"/>
      <c r="AM705" s="86">
        <f t="shared" si="74"/>
        <v>0</v>
      </c>
      <c r="AN705" s="63" t="s">
        <v>1155</v>
      </c>
      <c r="AO705" s="86">
        <f t="shared" si="75"/>
        <v>0</v>
      </c>
      <c r="AP705" s="63" t="s">
        <v>2003</v>
      </c>
      <c r="AQ705" s="63"/>
      <c r="AR705" s="63" t="s">
        <v>1157</v>
      </c>
      <c r="AS705" s="63"/>
      <c r="AT705" s="63"/>
      <c r="AU705" s="220"/>
      <c r="AV705" s="220"/>
      <c r="AW705" s="220"/>
    </row>
    <row r="706" spans="1:49" s="221" customFormat="1" ht="342" x14ac:dyDescent="0.25">
      <c r="A706" s="63">
        <v>292</v>
      </c>
      <c r="B706" s="63" t="str">
        <f t="shared" si="72"/>
        <v>3075-292</v>
      </c>
      <c r="C706" s="76" t="s">
        <v>1141</v>
      </c>
      <c r="D706" s="76" t="s">
        <v>1142</v>
      </c>
      <c r="E706" s="76" t="s">
        <v>1424</v>
      </c>
      <c r="F706" s="76" t="s">
        <v>1175</v>
      </c>
      <c r="G706" s="77" t="s">
        <v>1176</v>
      </c>
      <c r="H706" s="78" t="s">
        <v>1425</v>
      </c>
      <c r="I706" s="76" t="s">
        <v>1147</v>
      </c>
      <c r="J706" s="76" t="s">
        <v>1148</v>
      </c>
      <c r="K706" s="76" t="s">
        <v>439</v>
      </c>
      <c r="L706" s="63" t="s">
        <v>1149</v>
      </c>
      <c r="M706" s="63" t="s">
        <v>58</v>
      </c>
      <c r="N706" s="63" t="s">
        <v>59</v>
      </c>
      <c r="O706" s="76" t="s">
        <v>1213</v>
      </c>
      <c r="P706" s="63" t="s">
        <v>2004</v>
      </c>
      <c r="Q706" s="83">
        <v>54686940</v>
      </c>
      <c r="R706" s="98">
        <v>1</v>
      </c>
      <c r="S706" s="80">
        <v>54686940</v>
      </c>
      <c r="T706" s="63" t="s">
        <v>1171</v>
      </c>
      <c r="U706" s="63" t="s">
        <v>1171</v>
      </c>
      <c r="V706" s="81" t="s">
        <v>724</v>
      </c>
      <c r="W706" s="82" t="s">
        <v>439</v>
      </c>
      <c r="X706" s="99" t="s">
        <v>2005</v>
      </c>
      <c r="Y706" s="81">
        <v>43131</v>
      </c>
      <c r="Z706" s="83">
        <v>54686940</v>
      </c>
      <c r="AA706" s="84" t="s">
        <v>1742</v>
      </c>
      <c r="AB706" s="85">
        <v>599</v>
      </c>
      <c r="AC706" s="81">
        <v>43132</v>
      </c>
      <c r="AD706" s="86">
        <v>54686940</v>
      </c>
      <c r="AE706" s="87">
        <f t="shared" ref="AE706:AE768" si="76">S706-Z706</f>
        <v>0</v>
      </c>
      <c r="AF706" s="85">
        <v>1485</v>
      </c>
      <c r="AG706" s="81">
        <v>43160</v>
      </c>
      <c r="AH706" s="86">
        <v>54686940</v>
      </c>
      <c r="AI706" s="63" t="s">
        <v>2006</v>
      </c>
      <c r="AJ706" s="63">
        <v>1460</v>
      </c>
      <c r="AK706" s="87">
        <f t="shared" si="73"/>
        <v>0</v>
      </c>
      <c r="AL706" s="86">
        <v>54686940</v>
      </c>
      <c r="AM706" s="86">
        <f t="shared" si="74"/>
        <v>0</v>
      </c>
      <c r="AN706" s="63" t="s">
        <v>1155</v>
      </c>
      <c r="AO706" s="86">
        <f t="shared" si="75"/>
        <v>0</v>
      </c>
      <c r="AP706" s="63"/>
      <c r="AQ706" s="63"/>
      <c r="AR706" s="63"/>
      <c r="AS706" s="63"/>
      <c r="AT706" s="63"/>
      <c r="AU706" s="220"/>
      <c r="AV706" s="220"/>
      <c r="AW706" s="220"/>
    </row>
    <row r="707" spans="1:49" s="221" customFormat="1" ht="342" x14ac:dyDescent="0.25">
      <c r="A707" s="63">
        <v>293</v>
      </c>
      <c r="B707" s="63" t="str">
        <f t="shared" si="72"/>
        <v>3075-293</v>
      </c>
      <c r="C707" s="76" t="s">
        <v>1141</v>
      </c>
      <c r="D707" s="76" t="s">
        <v>1142</v>
      </c>
      <c r="E707" s="76" t="s">
        <v>1424</v>
      </c>
      <c r="F707" s="76" t="s">
        <v>1175</v>
      </c>
      <c r="G707" s="77" t="s">
        <v>1176</v>
      </c>
      <c r="H707" s="78" t="s">
        <v>1425</v>
      </c>
      <c r="I707" s="76" t="s">
        <v>1147</v>
      </c>
      <c r="J707" s="76" t="s">
        <v>1148</v>
      </c>
      <c r="K707" s="76" t="s">
        <v>439</v>
      </c>
      <c r="L707" s="63" t="s">
        <v>1149</v>
      </c>
      <c r="M707" s="63" t="s">
        <v>58</v>
      </c>
      <c r="N707" s="63" t="s">
        <v>59</v>
      </c>
      <c r="O707" s="76" t="s">
        <v>1213</v>
      </c>
      <c r="P707" s="63" t="s">
        <v>2007</v>
      </c>
      <c r="Q707" s="83">
        <v>54686940</v>
      </c>
      <c r="R707" s="98">
        <v>1</v>
      </c>
      <c r="S707" s="80">
        <v>54686940</v>
      </c>
      <c r="T707" s="63" t="s">
        <v>1171</v>
      </c>
      <c r="U707" s="63" t="s">
        <v>1171</v>
      </c>
      <c r="V707" s="81" t="s">
        <v>724</v>
      </c>
      <c r="W707" s="82" t="s">
        <v>439</v>
      </c>
      <c r="X707" s="99" t="s">
        <v>2008</v>
      </c>
      <c r="Y707" s="81">
        <v>43131</v>
      </c>
      <c r="Z707" s="83">
        <v>54686940</v>
      </c>
      <c r="AA707" s="84" t="s">
        <v>1742</v>
      </c>
      <c r="AB707" s="85">
        <v>600</v>
      </c>
      <c r="AC707" s="81">
        <v>43132</v>
      </c>
      <c r="AD707" s="86">
        <v>54686940</v>
      </c>
      <c r="AE707" s="87">
        <f t="shared" si="76"/>
        <v>0</v>
      </c>
      <c r="AF707" s="85">
        <v>1483</v>
      </c>
      <c r="AG707" s="81">
        <v>43160</v>
      </c>
      <c r="AH707" s="86">
        <v>54686940</v>
      </c>
      <c r="AI707" s="63" t="s">
        <v>2009</v>
      </c>
      <c r="AJ707" s="63">
        <v>1461</v>
      </c>
      <c r="AK707" s="87">
        <f t="shared" si="73"/>
        <v>0</v>
      </c>
      <c r="AL707" s="86">
        <v>54686940</v>
      </c>
      <c r="AM707" s="86">
        <f t="shared" si="74"/>
        <v>0</v>
      </c>
      <c r="AN707" s="63" t="s">
        <v>1155</v>
      </c>
      <c r="AO707" s="86">
        <f t="shared" si="75"/>
        <v>0</v>
      </c>
      <c r="AP707" s="63"/>
      <c r="AQ707" s="63"/>
      <c r="AR707" s="63"/>
      <c r="AS707" s="63"/>
      <c r="AT707" s="63"/>
      <c r="AU707" s="220"/>
      <c r="AV707" s="220"/>
      <c r="AW707" s="220"/>
    </row>
    <row r="708" spans="1:49" s="221" customFormat="1" ht="156.75" x14ac:dyDescent="0.25">
      <c r="A708" s="63">
        <v>294</v>
      </c>
      <c r="B708" s="63" t="str">
        <f t="shared" si="72"/>
        <v>3075-294</v>
      </c>
      <c r="C708" s="76" t="s">
        <v>1141</v>
      </c>
      <c r="D708" s="76" t="s">
        <v>1142</v>
      </c>
      <c r="E708" s="76" t="s">
        <v>1165</v>
      </c>
      <c r="F708" s="76" t="s">
        <v>1166</v>
      </c>
      <c r="G708" s="77" t="s">
        <v>1167</v>
      </c>
      <c r="H708" s="78" t="s">
        <v>1168</v>
      </c>
      <c r="I708" s="76" t="s">
        <v>1147</v>
      </c>
      <c r="J708" s="76" t="s">
        <v>1148</v>
      </c>
      <c r="K708" s="76" t="s">
        <v>439</v>
      </c>
      <c r="L708" s="63" t="s">
        <v>1149</v>
      </c>
      <c r="M708" s="63" t="s">
        <v>58</v>
      </c>
      <c r="N708" s="63" t="s">
        <v>59</v>
      </c>
      <c r="O708" s="76" t="s">
        <v>1169</v>
      </c>
      <c r="P708" s="63" t="s">
        <v>2010</v>
      </c>
      <c r="Q708" s="79">
        <v>22950000</v>
      </c>
      <c r="R708" s="63">
        <v>1</v>
      </c>
      <c r="S708" s="80">
        <v>22950000</v>
      </c>
      <c r="T708" s="63" t="s">
        <v>1171</v>
      </c>
      <c r="U708" s="63" t="s">
        <v>1171</v>
      </c>
      <c r="V708" s="81" t="s">
        <v>411</v>
      </c>
      <c r="W708" s="82" t="s">
        <v>439</v>
      </c>
      <c r="X708" s="99" t="s">
        <v>2011</v>
      </c>
      <c r="Y708" s="81">
        <v>43131</v>
      </c>
      <c r="Z708" s="83">
        <v>22950000</v>
      </c>
      <c r="AA708" s="84" t="s">
        <v>1782</v>
      </c>
      <c r="AB708" s="85">
        <v>602</v>
      </c>
      <c r="AC708" s="81">
        <v>43132</v>
      </c>
      <c r="AD708" s="86">
        <v>22950000</v>
      </c>
      <c r="AE708" s="87">
        <f t="shared" si="76"/>
        <v>0</v>
      </c>
      <c r="AF708" s="85">
        <v>1781</v>
      </c>
      <c r="AG708" s="81">
        <v>43202</v>
      </c>
      <c r="AH708" s="86">
        <v>22950000</v>
      </c>
      <c r="AI708" s="63" t="s">
        <v>2012</v>
      </c>
      <c r="AJ708" s="63">
        <v>1856</v>
      </c>
      <c r="AK708" s="87">
        <f t="shared" si="73"/>
        <v>0</v>
      </c>
      <c r="AL708" s="86">
        <v>0</v>
      </c>
      <c r="AM708" s="86">
        <f t="shared" si="74"/>
        <v>22950000</v>
      </c>
      <c r="AN708" s="63" t="s">
        <v>1155</v>
      </c>
      <c r="AO708" s="86">
        <f t="shared" si="75"/>
        <v>0</v>
      </c>
      <c r="AP708" s="63"/>
      <c r="AQ708" s="63"/>
      <c r="AR708" s="63"/>
      <c r="AS708" s="63"/>
      <c r="AT708" s="63"/>
      <c r="AU708" s="220"/>
      <c r="AV708" s="220"/>
      <c r="AW708" s="220"/>
    </row>
    <row r="709" spans="1:49" s="221" customFormat="1" ht="128.25" x14ac:dyDescent="0.25">
      <c r="A709" s="63">
        <v>295</v>
      </c>
      <c r="B709" s="63" t="str">
        <f t="shared" si="72"/>
        <v>3075-295</v>
      </c>
      <c r="C709" s="76" t="s">
        <v>1141</v>
      </c>
      <c r="D709" s="76" t="s">
        <v>1142</v>
      </c>
      <c r="E709" s="76" t="s">
        <v>1165</v>
      </c>
      <c r="F709" s="76" t="s">
        <v>1166</v>
      </c>
      <c r="G709" s="77" t="s">
        <v>1167</v>
      </c>
      <c r="H709" s="78" t="s">
        <v>1168</v>
      </c>
      <c r="I709" s="76" t="s">
        <v>1147</v>
      </c>
      <c r="J709" s="76" t="s">
        <v>1148</v>
      </c>
      <c r="K709" s="76" t="s">
        <v>439</v>
      </c>
      <c r="L709" s="63" t="s">
        <v>1149</v>
      </c>
      <c r="M709" s="63" t="s">
        <v>58</v>
      </c>
      <c r="N709" s="63" t="s">
        <v>59</v>
      </c>
      <c r="O709" s="76" t="s">
        <v>1169</v>
      </c>
      <c r="P709" s="63" t="s">
        <v>2013</v>
      </c>
      <c r="Q709" s="79">
        <v>59034400</v>
      </c>
      <c r="R709" s="63">
        <v>1</v>
      </c>
      <c r="S709" s="80">
        <v>59034400</v>
      </c>
      <c r="T709" s="63" t="s">
        <v>1171</v>
      </c>
      <c r="U709" s="63" t="s">
        <v>1171</v>
      </c>
      <c r="V709" s="81" t="s">
        <v>1208</v>
      </c>
      <c r="W709" s="82" t="s">
        <v>439</v>
      </c>
      <c r="X709" s="99" t="s">
        <v>2014</v>
      </c>
      <c r="Y709" s="81">
        <v>43131</v>
      </c>
      <c r="Z709" s="83">
        <v>59034400</v>
      </c>
      <c r="AA709" s="84" t="s">
        <v>1782</v>
      </c>
      <c r="AB709" s="85">
        <v>604</v>
      </c>
      <c r="AC709" s="81">
        <v>43132</v>
      </c>
      <c r="AD709" s="86">
        <v>59034400</v>
      </c>
      <c r="AE709" s="87">
        <f t="shared" si="76"/>
        <v>0</v>
      </c>
      <c r="AF709" s="85">
        <v>1993</v>
      </c>
      <c r="AG709" s="81">
        <v>43256</v>
      </c>
      <c r="AH709" s="86">
        <v>59034400</v>
      </c>
      <c r="AI709" s="63" t="s">
        <v>2015</v>
      </c>
      <c r="AJ709" s="63">
        <v>2191</v>
      </c>
      <c r="AK709" s="87">
        <f t="shared" si="73"/>
        <v>0</v>
      </c>
      <c r="AL709" s="86">
        <v>59034400</v>
      </c>
      <c r="AM709" s="86">
        <f t="shared" si="74"/>
        <v>0</v>
      </c>
      <c r="AN709" s="63" t="s">
        <v>1155</v>
      </c>
      <c r="AO709" s="86">
        <f t="shared" si="75"/>
        <v>0</v>
      </c>
      <c r="AP709" s="63"/>
      <c r="AQ709" s="63"/>
      <c r="AR709" s="63"/>
      <c r="AS709" s="63"/>
      <c r="AT709" s="63"/>
      <c r="AU709" s="220"/>
      <c r="AV709" s="220"/>
      <c r="AW709" s="220"/>
    </row>
    <row r="710" spans="1:49" s="221" customFormat="1" ht="142.5" x14ac:dyDescent="0.25">
      <c r="A710" s="63">
        <v>296</v>
      </c>
      <c r="B710" s="63" t="str">
        <f t="shared" si="72"/>
        <v>3075-296</v>
      </c>
      <c r="C710" s="76" t="s">
        <v>1141</v>
      </c>
      <c r="D710" s="76" t="s">
        <v>1142</v>
      </c>
      <c r="E710" s="76" t="s">
        <v>1165</v>
      </c>
      <c r="F710" s="76" t="s">
        <v>1166</v>
      </c>
      <c r="G710" s="77" t="s">
        <v>1167</v>
      </c>
      <c r="H710" s="78" t="s">
        <v>1168</v>
      </c>
      <c r="I710" s="76" t="s">
        <v>1147</v>
      </c>
      <c r="J710" s="76" t="s">
        <v>1148</v>
      </c>
      <c r="K710" s="76" t="s">
        <v>439</v>
      </c>
      <c r="L710" s="63" t="s">
        <v>1149</v>
      </c>
      <c r="M710" s="63" t="s">
        <v>58</v>
      </c>
      <c r="N710" s="63" t="s">
        <v>59</v>
      </c>
      <c r="O710" s="76" t="s">
        <v>1169</v>
      </c>
      <c r="P710" s="63" t="s">
        <v>2016</v>
      </c>
      <c r="Q710" s="79">
        <v>81785300</v>
      </c>
      <c r="R710" s="63">
        <v>1</v>
      </c>
      <c r="S710" s="80">
        <v>81785300</v>
      </c>
      <c r="T710" s="63" t="s">
        <v>1171</v>
      </c>
      <c r="U710" s="63" t="s">
        <v>1171</v>
      </c>
      <c r="V710" s="81" t="s">
        <v>411</v>
      </c>
      <c r="W710" s="82" t="s">
        <v>439</v>
      </c>
      <c r="X710" s="99" t="s">
        <v>2017</v>
      </c>
      <c r="Y710" s="81">
        <v>43131</v>
      </c>
      <c r="Z710" s="83">
        <v>81785300</v>
      </c>
      <c r="AA710" s="84" t="s">
        <v>1782</v>
      </c>
      <c r="AB710" s="85">
        <v>607</v>
      </c>
      <c r="AC710" s="81">
        <v>43132</v>
      </c>
      <c r="AD710" s="86">
        <v>81785300</v>
      </c>
      <c r="AE710" s="87">
        <f t="shared" si="76"/>
        <v>0</v>
      </c>
      <c r="AF710" s="85">
        <v>1782</v>
      </c>
      <c r="AG710" s="81">
        <v>43202</v>
      </c>
      <c r="AH710" s="86">
        <v>81785300</v>
      </c>
      <c r="AI710" s="63" t="s">
        <v>2018</v>
      </c>
      <c r="AJ710" s="63">
        <v>1857</v>
      </c>
      <c r="AK710" s="87">
        <f t="shared" si="73"/>
        <v>0</v>
      </c>
      <c r="AL710" s="86">
        <v>24535590</v>
      </c>
      <c r="AM710" s="86">
        <f t="shared" si="74"/>
        <v>57249710</v>
      </c>
      <c r="AN710" s="63" t="s">
        <v>1155</v>
      </c>
      <c r="AO710" s="86">
        <f t="shared" si="75"/>
        <v>0</v>
      </c>
      <c r="AP710" s="63"/>
      <c r="AQ710" s="63"/>
      <c r="AR710" s="63"/>
      <c r="AS710" s="63"/>
      <c r="AT710" s="63"/>
      <c r="AU710" s="220"/>
      <c r="AV710" s="220"/>
      <c r="AW710" s="220"/>
    </row>
    <row r="711" spans="1:49" s="221" customFormat="1" ht="142.5" x14ac:dyDescent="0.25">
      <c r="A711" s="63">
        <v>297</v>
      </c>
      <c r="B711" s="63" t="str">
        <f t="shared" si="72"/>
        <v>3075-297</v>
      </c>
      <c r="C711" s="76" t="s">
        <v>1141</v>
      </c>
      <c r="D711" s="76" t="s">
        <v>1142</v>
      </c>
      <c r="E711" s="76" t="s">
        <v>1165</v>
      </c>
      <c r="F711" s="76" t="s">
        <v>1166</v>
      </c>
      <c r="G711" s="77" t="s">
        <v>1167</v>
      </c>
      <c r="H711" s="78" t="s">
        <v>1168</v>
      </c>
      <c r="I711" s="76" t="s">
        <v>1147</v>
      </c>
      <c r="J711" s="76" t="s">
        <v>1148</v>
      </c>
      <c r="K711" s="76" t="s">
        <v>439</v>
      </c>
      <c r="L711" s="63" t="s">
        <v>1149</v>
      </c>
      <c r="M711" s="63" t="s">
        <v>58</v>
      </c>
      <c r="N711" s="63" t="s">
        <v>59</v>
      </c>
      <c r="O711" s="76" t="s">
        <v>1169</v>
      </c>
      <c r="P711" s="63" t="s">
        <v>2019</v>
      </c>
      <c r="Q711" s="79">
        <v>64571600</v>
      </c>
      <c r="R711" s="63">
        <v>1</v>
      </c>
      <c r="S711" s="80">
        <v>64571600</v>
      </c>
      <c r="T711" s="63" t="s">
        <v>1171</v>
      </c>
      <c r="U711" s="63" t="s">
        <v>1171</v>
      </c>
      <c r="V711" s="81" t="s">
        <v>1023</v>
      </c>
      <c r="W711" s="82" t="s">
        <v>439</v>
      </c>
      <c r="X711" s="99" t="s">
        <v>2020</v>
      </c>
      <c r="Y711" s="81">
        <v>43131</v>
      </c>
      <c r="Z711" s="83">
        <v>64571600</v>
      </c>
      <c r="AA711" s="84" t="s">
        <v>1782</v>
      </c>
      <c r="AB711" s="85">
        <v>609</v>
      </c>
      <c r="AC711" s="81">
        <v>43132</v>
      </c>
      <c r="AD711" s="86">
        <v>64571600</v>
      </c>
      <c r="AE711" s="87">
        <f t="shared" si="76"/>
        <v>0</v>
      </c>
      <c r="AF711" s="85">
        <v>1957</v>
      </c>
      <c r="AG711" s="81">
        <v>43245</v>
      </c>
      <c r="AH711" s="86">
        <v>64571600</v>
      </c>
      <c r="AI711" s="63" t="s">
        <v>2021</v>
      </c>
      <c r="AJ711" s="63">
        <v>2119</v>
      </c>
      <c r="AK711" s="87">
        <f t="shared" si="73"/>
        <v>0</v>
      </c>
      <c r="AL711" s="86">
        <v>0</v>
      </c>
      <c r="AM711" s="86">
        <f t="shared" si="74"/>
        <v>64571600</v>
      </c>
      <c r="AN711" s="63" t="s">
        <v>1155</v>
      </c>
      <c r="AO711" s="86">
        <f t="shared" si="75"/>
        <v>0</v>
      </c>
      <c r="AP711" s="63"/>
      <c r="AQ711" s="63"/>
      <c r="AR711" s="63"/>
      <c r="AS711" s="63"/>
      <c r="AT711" s="63"/>
      <c r="AU711" s="220"/>
      <c r="AV711" s="220"/>
      <c r="AW711" s="220"/>
    </row>
    <row r="712" spans="1:49" s="221" customFormat="1" ht="171" x14ac:dyDescent="0.25">
      <c r="A712" s="63">
        <v>298</v>
      </c>
      <c r="B712" s="63" t="str">
        <f t="shared" si="72"/>
        <v>3075-298</v>
      </c>
      <c r="C712" s="76" t="s">
        <v>1141</v>
      </c>
      <c r="D712" s="76" t="s">
        <v>1142</v>
      </c>
      <c r="E712" s="76" t="s">
        <v>1174</v>
      </c>
      <c r="F712" s="76" t="s">
        <v>1175</v>
      </c>
      <c r="G712" s="77" t="s">
        <v>1176</v>
      </c>
      <c r="H712" s="78" t="s">
        <v>1177</v>
      </c>
      <c r="I712" s="76" t="s">
        <v>1147</v>
      </c>
      <c r="J712" s="76" t="s">
        <v>1178</v>
      </c>
      <c r="K712" s="76" t="s">
        <v>439</v>
      </c>
      <c r="L712" s="63" t="s">
        <v>1149</v>
      </c>
      <c r="M712" s="63" t="s">
        <v>58</v>
      </c>
      <c r="N712" s="63" t="s">
        <v>59</v>
      </c>
      <c r="O712" s="76" t="s">
        <v>1169</v>
      </c>
      <c r="P712" s="76" t="s">
        <v>2022</v>
      </c>
      <c r="Q712" s="79">
        <v>30749982</v>
      </c>
      <c r="R712" s="63">
        <v>1</v>
      </c>
      <c r="S712" s="80">
        <v>30749982</v>
      </c>
      <c r="T712" s="63" t="s">
        <v>1171</v>
      </c>
      <c r="U712" s="63" t="s">
        <v>1171</v>
      </c>
      <c r="V712" s="81" t="s">
        <v>724</v>
      </c>
      <c r="W712" s="82" t="s">
        <v>439</v>
      </c>
      <c r="X712" s="99" t="s">
        <v>2023</v>
      </c>
      <c r="Y712" s="81">
        <v>43131</v>
      </c>
      <c r="Z712" s="83">
        <v>30749982</v>
      </c>
      <c r="AA712" s="84" t="s">
        <v>2024</v>
      </c>
      <c r="AB712" s="85">
        <v>614</v>
      </c>
      <c r="AC712" s="81">
        <v>43132</v>
      </c>
      <c r="AD712" s="86">
        <v>30749982</v>
      </c>
      <c r="AE712" s="87">
        <f t="shared" si="76"/>
        <v>0</v>
      </c>
      <c r="AF712" s="85">
        <v>1621</v>
      </c>
      <c r="AG712" s="81">
        <v>43182</v>
      </c>
      <c r="AH712" s="86">
        <v>30749982</v>
      </c>
      <c r="AI712" s="63" t="s">
        <v>2025</v>
      </c>
      <c r="AJ712" s="63">
        <v>1541</v>
      </c>
      <c r="AK712" s="87">
        <f t="shared" si="73"/>
        <v>0</v>
      </c>
      <c r="AL712" s="86">
        <v>30749982</v>
      </c>
      <c r="AM712" s="86">
        <f t="shared" si="74"/>
        <v>0</v>
      </c>
      <c r="AN712" s="63" t="s">
        <v>1155</v>
      </c>
      <c r="AO712" s="86">
        <f t="shared" si="75"/>
        <v>0</v>
      </c>
      <c r="AP712" s="63"/>
      <c r="AQ712" s="63"/>
      <c r="AR712" s="63"/>
      <c r="AS712" s="63"/>
      <c r="AT712" s="63"/>
      <c r="AU712" s="220"/>
      <c r="AV712" s="220"/>
      <c r="AW712" s="220"/>
    </row>
    <row r="713" spans="1:49" s="221" customFormat="1" ht="342" x14ac:dyDescent="0.25">
      <c r="A713" s="63">
        <v>299</v>
      </c>
      <c r="B713" s="63" t="str">
        <f t="shared" si="72"/>
        <v>3075-299</v>
      </c>
      <c r="C713" s="76" t="s">
        <v>1141</v>
      </c>
      <c r="D713" s="76" t="s">
        <v>1142</v>
      </c>
      <c r="E713" s="76" t="s">
        <v>1424</v>
      </c>
      <c r="F713" s="76" t="s">
        <v>1175</v>
      </c>
      <c r="G713" s="77" t="s">
        <v>1176</v>
      </c>
      <c r="H713" s="78" t="s">
        <v>1425</v>
      </c>
      <c r="I713" s="76" t="s">
        <v>1147</v>
      </c>
      <c r="J713" s="76" t="s">
        <v>1148</v>
      </c>
      <c r="K713" s="76" t="s">
        <v>439</v>
      </c>
      <c r="L713" s="63" t="s">
        <v>1149</v>
      </c>
      <c r="M713" s="63" t="s">
        <v>58</v>
      </c>
      <c r="N713" s="63" t="s">
        <v>59</v>
      </c>
      <c r="O713" s="76" t="s">
        <v>1213</v>
      </c>
      <c r="P713" s="63" t="s">
        <v>2026</v>
      </c>
      <c r="Q713" s="83">
        <v>54686940</v>
      </c>
      <c r="R713" s="98">
        <v>1</v>
      </c>
      <c r="S713" s="80">
        <v>54686940</v>
      </c>
      <c r="T713" s="63" t="s">
        <v>1171</v>
      </c>
      <c r="U713" s="63" t="s">
        <v>1171</v>
      </c>
      <c r="V713" s="81" t="s">
        <v>724</v>
      </c>
      <c r="W713" s="82" t="s">
        <v>439</v>
      </c>
      <c r="X713" s="99" t="s">
        <v>2027</v>
      </c>
      <c r="Y713" s="81">
        <v>43133</v>
      </c>
      <c r="Z713" s="83">
        <v>54686940</v>
      </c>
      <c r="AA713" s="84" t="s">
        <v>1742</v>
      </c>
      <c r="AB713" s="85">
        <v>635</v>
      </c>
      <c r="AC713" s="81">
        <v>43139</v>
      </c>
      <c r="AD713" s="86">
        <v>54686940</v>
      </c>
      <c r="AE713" s="87">
        <f t="shared" si="76"/>
        <v>0</v>
      </c>
      <c r="AF713" s="85">
        <v>1480</v>
      </c>
      <c r="AG713" s="81">
        <v>43160</v>
      </c>
      <c r="AH713" s="86">
        <v>54686940</v>
      </c>
      <c r="AI713" s="63" t="s">
        <v>2028</v>
      </c>
      <c r="AJ713" s="63">
        <v>1414</v>
      </c>
      <c r="AK713" s="87">
        <f t="shared" si="73"/>
        <v>0</v>
      </c>
      <c r="AL713" s="86">
        <v>54686940</v>
      </c>
      <c r="AM713" s="86">
        <f t="shared" si="74"/>
        <v>0</v>
      </c>
      <c r="AN713" s="63" t="s">
        <v>1155</v>
      </c>
      <c r="AO713" s="86">
        <f t="shared" si="75"/>
        <v>0</v>
      </c>
      <c r="AP713" s="63"/>
      <c r="AQ713" s="63"/>
      <c r="AR713" s="63"/>
      <c r="AS713" s="63"/>
      <c r="AT713" s="63"/>
      <c r="AU713" s="220"/>
      <c r="AV713" s="220"/>
      <c r="AW713" s="220"/>
    </row>
    <row r="714" spans="1:49" s="221" customFormat="1" ht="342" x14ac:dyDescent="0.25">
      <c r="A714" s="63">
        <v>300</v>
      </c>
      <c r="B714" s="63" t="str">
        <f t="shared" si="72"/>
        <v>3075-300</v>
      </c>
      <c r="C714" s="76" t="s">
        <v>1141</v>
      </c>
      <c r="D714" s="76" t="s">
        <v>1142</v>
      </c>
      <c r="E714" s="76" t="s">
        <v>1424</v>
      </c>
      <c r="F714" s="76" t="s">
        <v>1175</v>
      </c>
      <c r="G714" s="77" t="s">
        <v>1176</v>
      </c>
      <c r="H714" s="78" t="s">
        <v>1425</v>
      </c>
      <c r="I714" s="76" t="s">
        <v>1147</v>
      </c>
      <c r="J714" s="76" t="s">
        <v>1148</v>
      </c>
      <c r="K714" s="76" t="s">
        <v>439</v>
      </c>
      <c r="L714" s="63" t="s">
        <v>1149</v>
      </c>
      <c r="M714" s="63" t="s">
        <v>58</v>
      </c>
      <c r="N714" s="63" t="s">
        <v>59</v>
      </c>
      <c r="O714" s="76" t="s">
        <v>1213</v>
      </c>
      <c r="P714" s="63" t="s">
        <v>2029</v>
      </c>
      <c r="Q714" s="83">
        <v>54686940</v>
      </c>
      <c r="R714" s="98">
        <v>1</v>
      </c>
      <c r="S714" s="80">
        <v>54686940</v>
      </c>
      <c r="T714" s="63" t="s">
        <v>1171</v>
      </c>
      <c r="U714" s="63" t="s">
        <v>1171</v>
      </c>
      <c r="V714" s="81" t="s">
        <v>724</v>
      </c>
      <c r="W714" s="82" t="s">
        <v>439</v>
      </c>
      <c r="X714" s="99" t="s">
        <v>2030</v>
      </c>
      <c r="Y714" s="81">
        <v>43133</v>
      </c>
      <c r="Z714" s="83">
        <v>54686940</v>
      </c>
      <c r="AA714" s="84" t="s">
        <v>1742</v>
      </c>
      <c r="AB714" s="85">
        <v>633</v>
      </c>
      <c r="AC714" s="81">
        <v>43138</v>
      </c>
      <c r="AD714" s="86">
        <v>54686940</v>
      </c>
      <c r="AE714" s="87">
        <f t="shared" si="76"/>
        <v>0</v>
      </c>
      <c r="AF714" s="85">
        <v>1479</v>
      </c>
      <c r="AG714" s="81">
        <v>43160</v>
      </c>
      <c r="AH714" s="86">
        <v>54686940</v>
      </c>
      <c r="AI714" s="63" t="s">
        <v>2031</v>
      </c>
      <c r="AJ714" s="63">
        <v>1417</v>
      </c>
      <c r="AK714" s="87">
        <f t="shared" si="73"/>
        <v>0</v>
      </c>
      <c r="AL714" s="86">
        <v>54686940</v>
      </c>
      <c r="AM714" s="86">
        <f t="shared" si="74"/>
        <v>0</v>
      </c>
      <c r="AN714" s="63" t="s">
        <v>1155</v>
      </c>
      <c r="AO714" s="86">
        <f t="shared" si="75"/>
        <v>0</v>
      </c>
      <c r="AP714" s="63"/>
      <c r="AQ714" s="63"/>
      <c r="AR714" s="63"/>
      <c r="AS714" s="63"/>
      <c r="AT714" s="63"/>
      <c r="AU714" s="220"/>
      <c r="AV714" s="220"/>
      <c r="AW714" s="220"/>
    </row>
    <row r="715" spans="1:49" s="221" customFormat="1" ht="342" x14ac:dyDescent="0.25">
      <c r="A715" s="63">
        <v>301</v>
      </c>
      <c r="B715" s="63" t="str">
        <f t="shared" si="72"/>
        <v>3075-301</v>
      </c>
      <c r="C715" s="76" t="s">
        <v>1141</v>
      </c>
      <c r="D715" s="76" t="s">
        <v>1142</v>
      </c>
      <c r="E715" s="76" t="s">
        <v>1424</v>
      </c>
      <c r="F715" s="76" t="s">
        <v>1175</v>
      </c>
      <c r="G715" s="77" t="s">
        <v>1176</v>
      </c>
      <c r="H715" s="78" t="s">
        <v>1425</v>
      </c>
      <c r="I715" s="76" t="s">
        <v>1147</v>
      </c>
      <c r="J715" s="76" t="s">
        <v>1148</v>
      </c>
      <c r="K715" s="76" t="s">
        <v>439</v>
      </c>
      <c r="L715" s="63" t="s">
        <v>1149</v>
      </c>
      <c r="M715" s="63" t="s">
        <v>58</v>
      </c>
      <c r="N715" s="63" t="s">
        <v>59</v>
      </c>
      <c r="O715" s="76" t="s">
        <v>1213</v>
      </c>
      <c r="P715" s="63" t="s">
        <v>2032</v>
      </c>
      <c r="Q715" s="83">
        <v>54686940</v>
      </c>
      <c r="R715" s="98">
        <v>1</v>
      </c>
      <c r="S715" s="80">
        <v>54686940</v>
      </c>
      <c r="T715" s="63" t="s">
        <v>1171</v>
      </c>
      <c r="U715" s="63" t="s">
        <v>1171</v>
      </c>
      <c r="V715" s="81" t="s">
        <v>493</v>
      </c>
      <c r="W715" s="82" t="s">
        <v>439</v>
      </c>
      <c r="X715" s="99" t="s">
        <v>2033</v>
      </c>
      <c r="Y715" s="81">
        <v>43133</v>
      </c>
      <c r="Z715" s="83">
        <v>54686940</v>
      </c>
      <c r="AA715" s="84" t="s">
        <v>1742</v>
      </c>
      <c r="AB715" s="85">
        <v>631</v>
      </c>
      <c r="AC715" s="81">
        <v>43137</v>
      </c>
      <c r="AD715" s="86">
        <v>54686940</v>
      </c>
      <c r="AE715" s="87">
        <f t="shared" si="76"/>
        <v>0</v>
      </c>
      <c r="AF715" s="85">
        <v>1377</v>
      </c>
      <c r="AG715" s="81">
        <v>43147</v>
      </c>
      <c r="AH715" s="86">
        <v>54686940</v>
      </c>
      <c r="AI715" s="63" t="s">
        <v>2034</v>
      </c>
      <c r="AJ715" s="63">
        <v>1281</v>
      </c>
      <c r="AK715" s="87">
        <f t="shared" si="73"/>
        <v>0</v>
      </c>
      <c r="AL715" s="86">
        <v>54686940</v>
      </c>
      <c r="AM715" s="86">
        <f t="shared" si="74"/>
        <v>0</v>
      </c>
      <c r="AN715" s="63" t="s">
        <v>1155</v>
      </c>
      <c r="AO715" s="86">
        <f t="shared" si="75"/>
        <v>0</v>
      </c>
      <c r="AP715" s="63"/>
      <c r="AQ715" s="63"/>
      <c r="AR715" s="63"/>
      <c r="AS715" s="63"/>
      <c r="AT715" s="63"/>
      <c r="AU715" s="220"/>
      <c r="AV715" s="220"/>
      <c r="AW715" s="220"/>
    </row>
    <row r="716" spans="1:49" s="221" customFormat="1" ht="342" x14ac:dyDescent="0.25">
      <c r="A716" s="63">
        <v>302</v>
      </c>
      <c r="B716" s="63" t="str">
        <f t="shared" si="72"/>
        <v>3075-302</v>
      </c>
      <c r="C716" s="76" t="s">
        <v>1141</v>
      </c>
      <c r="D716" s="76" t="s">
        <v>1142</v>
      </c>
      <c r="E716" s="76" t="s">
        <v>1424</v>
      </c>
      <c r="F716" s="76" t="s">
        <v>1175</v>
      </c>
      <c r="G716" s="77" t="s">
        <v>1176</v>
      </c>
      <c r="H716" s="78" t="s">
        <v>1425</v>
      </c>
      <c r="I716" s="76" t="s">
        <v>1147</v>
      </c>
      <c r="J716" s="76" t="s">
        <v>1148</v>
      </c>
      <c r="K716" s="76" t="s">
        <v>439</v>
      </c>
      <c r="L716" s="63" t="s">
        <v>1149</v>
      </c>
      <c r="M716" s="63" t="s">
        <v>58</v>
      </c>
      <c r="N716" s="63" t="s">
        <v>59</v>
      </c>
      <c r="O716" s="76" t="s">
        <v>1213</v>
      </c>
      <c r="P716" s="63" t="s">
        <v>2035</v>
      </c>
      <c r="Q716" s="83">
        <v>54686940</v>
      </c>
      <c r="R716" s="98">
        <v>1</v>
      </c>
      <c r="S716" s="80">
        <v>54686940</v>
      </c>
      <c r="T716" s="63" t="s">
        <v>1171</v>
      </c>
      <c r="U716" s="63" t="s">
        <v>1171</v>
      </c>
      <c r="V716" s="81" t="s">
        <v>493</v>
      </c>
      <c r="W716" s="82" t="s">
        <v>439</v>
      </c>
      <c r="X716" s="99" t="s">
        <v>2036</v>
      </c>
      <c r="Y716" s="81">
        <v>43133</v>
      </c>
      <c r="Z716" s="83">
        <v>54686940</v>
      </c>
      <c r="AA716" s="84" t="s">
        <v>1742</v>
      </c>
      <c r="AB716" s="85">
        <v>634</v>
      </c>
      <c r="AC716" s="81">
        <v>43138</v>
      </c>
      <c r="AD716" s="86">
        <v>54686940</v>
      </c>
      <c r="AE716" s="87">
        <f t="shared" si="76"/>
        <v>0</v>
      </c>
      <c r="AF716" s="85">
        <v>1376</v>
      </c>
      <c r="AG716" s="81">
        <v>43147</v>
      </c>
      <c r="AH716" s="86">
        <v>54686940</v>
      </c>
      <c r="AI716" s="63" t="s">
        <v>2037</v>
      </c>
      <c r="AJ716" s="63">
        <v>1282</v>
      </c>
      <c r="AK716" s="87">
        <f t="shared" si="73"/>
        <v>0</v>
      </c>
      <c r="AL716" s="86">
        <v>54686940</v>
      </c>
      <c r="AM716" s="86">
        <f t="shared" si="74"/>
        <v>0</v>
      </c>
      <c r="AN716" s="63" t="s">
        <v>1155</v>
      </c>
      <c r="AO716" s="86">
        <f t="shared" si="75"/>
        <v>0</v>
      </c>
      <c r="AP716" s="63"/>
      <c r="AQ716" s="63"/>
      <c r="AR716" s="63"/>
      <c r="AS716" s="63"/>
      <c r="AT716" s="63"/>
      <c r="AU716" s="220"/>
      <c r="AV716" s="220"/>
      <c r="AW716" s="220"/>
    </row>
    <row r="717" spans="1:49" s="221" customFormat="1" ht="342" x14ac:dyDescent="0.25">
      <c r="A717" s="63">
        <v>303</v>
      </c>
      <c r="B717" s="63" t="str">
        <f t="shared" si="72"/>
        <v>3075-303</v>
      </c>
      <c r="C717" s="76" t="s">
        <v>1141</v>
      </c>
      <c r="D717" s="76" t="s">
        <v>1142</v>
      </c>
      <c r="E717" s="76" t="s">
        <v>1424</v>
      </c>
      <c r="F717" s="76" t="s">
        <v>1175</v>
      </c>
      <c r="G717" s="77" t="s">
        <v>1176</v>
      </c>
      <c r="H717" s="78" t="s">
        <v>1425</v>
      </c>
      <c r="I717" s="76" t="s">
        <v>1147</v>
      </c>
      <c r="J717" s="76" t="s">
        <v>1148</v>
      </c>
      <c r="K717" s="76" t="s">
        <v>439</v>
      </c>
      <c r="L717" s="63" t="s">
        <v>1149</v>
      </c>
      <c r="M717" s="63" t="s">
        <v>58</v>
      </c>
      <c r="N717" s="63" t="s">
        <v>59</v>
      </c>
      <c r="O717" s="76" t="s">
        <v>1213</v>
      </c>
      <c r="P717" s="63" t="s">
        <v>2038</v>
      </c>
      <c r="Q717" s="83">
        <v>54686940</v>
      </c>
      <c r="R717" s="98">
        <v>1</v>
      </c>
      <c r="S717" s="80">
        <v>54686940</v>
      </c>
      <c r="T717" s="63" t="s">
        <v>1171</v>
      </c>
      <c r="U717" s="63" t="s">
        <v>1171</v>
      </c>
      <c r="V717" s="81" t="s">
        <v>724</v>
      </c>
      <c r="W717" s="82" t="s">
        <v>439</v>
      </c>
      <c r="X717" s="99" t="s">
        <v>2039</v>
      </c>
      <c r="Y717" s="81">
        <v>43138</v>
      </c>
      <c r="Z717" s="86">
        <v>54686940</v>
      </c>
      <c r="AA717" s="84" t="s">
        <v>1742</v>
      </c>
      <c r="AB717" s="85">
        <v>641</v>
      </c>
      <c r="AC717" s="81">
        <v>43140</v>
      </c>
      <c r="AD717" s="86">
        <v>54686940</v>
      </c>
      <c r="AE717" s="87">
        <f t="shared" si="76"/>
        <v>0</v>
      </c>
      <c r="AF717" s="85">
        <v>1582</v>
      </c>
      <c r="AG717" s="81">
        <v>43174</v>
      </c>
      <c r="AH717" s="86">
        <v>54686940</v>
      </c>
      <c r="AI717" s="63" t="s">
        <v>2040</v>
      </c>
      <c r="AJ717" s="63">
        <v>1509</v>
      </c>
      <c r="AK717" s="87">
        <f t="shared" si="73"/>
        <v>0</v>
      </c>
      <c r="AL717" s="86">
        <v>54686940</v>
      </c>
      <c r="AM717" s="86">
        <f t="shared" si="74"/>
        <v>0</v>
      </c>
      <c r="AN717" s="63" t="s">
        <v>1155</v>
      </c>
      <c r="AO717" s="86">
        <f t="shared" si="75"/>
        <v>0</v>
      </c>
      <c r="AP717" s="63"/>
      <c r="AQ717" s="63"/>
      <c r="AR717" s="63"/>
      <c r="AS717" s="63"/>
      <c r="AT717" s="63"/>
      <c r="AU717" s="220"/>
      <c r="AV717" s="220"/>
      <c r="AW717" s="220"/>
    </row>
    <row r="718" spans="1:49" s="221" customFormat="1" ht="342" x14ac:dyDescent="0.25">
      <c r="A718" s="63">
        <v>304</v>
      </c>
      <c r="B718" s="63" t="str">
        <f t="shared" si="72"/>
        <v>3075-304</v>
      </c>
      <c r="C718" s="76" t="s">
        <v>1141</v>
      </c>
      <c r="D718" s="76" t="s">
        <v>1142</v>
      </c>
      <c r="E718" s="76" t="s">
        <v>1424</v>
      </c>
      <c r="F718" s="76" t="s">
        <v>1175</v>
      </c>
      <c r="G718" s="77" t="s">
        <v>1176</v>
      </c>
      <c r="H718" s="78" t="s">
        <v>1425</v>
      </c>
      <c r="I718" s="76" t="s">
        <v>1147</v>
      </c>
      <c r="J718" s="76" t="s">
        <v>1148</v>
      </c>
      <c r="K718" s="76" t="s">
        <v>439</v>
      </c>
      <c r="L718" s="63" t="s">
        <v>1149</v>
      </c>
      <c r="M718" s="63" t="s">
        <v>58</v>
      </c>
      <c r="N718" s="63" t="s">
        <v>59</v>
      </c>
      <c r="O718" s="76" t="s">
        <v>1213</v>
      </c>
      <c r="P718" s="63" t="s">
        <v>2041</v>
      </c>
      <c r="Q718" s="83">
        <v>54686940</v>
      </c>
      <c r="R718" s="98">
        <v>1</v>
      </c>
      <c r="S718" s="80">
        <v>54686940</v>
      </c>
      <c r="T718" s="63" t="s">
        <v>1171</v>
      </c>
      <c r="U718" s="63" t="s">
        <v>1171</v>
      </c>
      <c r="V718" s="81" t="s">
        <v>493</v>
      </c>
      <c r="W718" s="82" t="s">
        <v>439</v>
      </c>
      <c r="X718" s="99" t="s">
        <v>2042</v>
      </c>
      <c r="Y718" s="81">
        <v>43138</v>
      </c>
      <c r="Z718" s="86">
        <v>54686940</v>
      </c>
      <c r="AA718" s="84" t="s">
        <v>1742</v>
      </c>
      <c r="AB718" s="85">
        <v>642</v>
      </c>
      <c r="AC718" s="81">
        <v>43140</v>
      </c>
      <c r="AD718" s="86">
        <v>54686940</v>
      </c>
      <c r="AE718" s="87">
        <f t="shared" si="76"/>
        <v>0</v>
      </c>
      <c r="AF718" s="85">
        <v>1381</v>
      </c>
      <c r="AG718" s="81">
        <v>43150</v>
      </c>
      <c r="AH718" s="86">
        <v>54686940</v>
      </c>
      <c r="AI718" s="63" t="s">
        <v>2043</v>
      </c>
      <c r="AJ718" s="63">
        <v>1284</v>
      </c>
      <c r="AK718" s="87">
        <f t="shared" si="73"/>
        <v>0</v>
      </c>
      <c r="AL718" s="86">
        <v>54686940</v>
      </c>
      <c r="AM718" s="86">
        <f t="shared" si="74"/>
        <v>0</v>
      </c>
      <c r="AN718" s="63" t="s">
        <v>1155</v>
      </c>
      <c r="AO718" s="86">
        <f t="shared" si="75"/>
        <v>0</v>
      </c>
      <c r="AP718" s="63"/>
      <c r="AQ718" s="63"/>
      <c r="AR718" s="63"/>
      <c r="AS718" s="63"/>
      <c r="AT718" s="63"/>
      <c r="AU718" s="220"/>
      <c r="AV718" s="220"/>
      <c r="AW718" s="220"/>
    </row>
    <row r="719" spans="1:49" s="221" customFormat="1" ht="342" x14ac:dyDescent="0.25">
      <c r="A719" s="63">
        <v>305</v>
      </c>
      <c r="B719" s="63" t="str">
        <f t="shared" si="72"/>
        <v>3075-305</v>
      </c>
      <c r="C719" s="76" t="s">
        <v>1141</v>
      </c>
      <c r="D719" s="76" t="s">
        <v>1142</v>
      </c>
      <c r="E719" s="76" t="s">
        <v>1424</v>
      </c>
      <c r="F719" s="76" t="s">
        <v>1175</v>
      </c>
      <c r="G719" s="77" t="s">
        <v>1176</v>
      </c>
      <c r="H719" s="78" t="s">
        <v>1425</v>
      </c>
      <c r="I719" s="76" t="s">
        <v>1147</v>
      </c>
      <c r="J719" s="76" t="s">
        <v>1148</v>
      </c>
      <c r="K719" s="76" t="s">
        <v>439</v>
      </c>
      <c r="L719" s="63" t="s">
        <v>1149</v>
      </c>
      <c r="M719" s="63" t="s">
        <v>58</v>
      </c>
      <c r="N719" s="63" t="s">
        <v>59</v>
      </c>
      <c r="O719" s="76" t="s">
        <v>1213</v>
      </c>
      <c r="P719" s="63" t="s">
        <v>2044</v>
      </c>
      <c r="Q719" s="83">
        <v>54686940</v>
      </c>
      <c r="R719" s="98">
        <v>1</v>
      </c>
      <c r="S719" s="80">
        <v>54686940</v>
      </c>
      <c r="T719" s="63" t="s">
        <v>1171</v>
      </c>
      <c r="U719" s="63" t="s">
        <v>1171</v>
      </c>
      <c r="V719" s="81" t="s">
        <v>493</v>
      </c>
      <c r="W719" s="82" t="s">
        <v>439</v>
      </c>
      <c r="X719" s="99" t="s">
        <v>2045</v>
      </c>
      <c r="Y719" s="81">
        <v>43138</v>
      </c>
      <c r="Z719" s="86">
        <v>54686940</v>
      </c>
      <c r="AA719" s="84" t="s">
        <v>1742</v>
      </c>
      <c r="AB719" s="85">
        <v>637</v>
      </c>
      <c r="AC719" s="81">
        <v>43139</v>
      </c>
      <c r="AD719" s="86">
        <v>54686940</v>
      </c>
      <c r="AE719" s="87">
        <f t="shared" si="76"/>
        <v>0</v>
      </c>
      <c r="AF719" s="85">
        <v>1375</v>
      </c>
      <c r="AG719" s="81">
        <v>43147</v>
      </c>
      <c r="AH719" s="86">
        <v>54686940</v>
      </c>
      <c r="AI719" s="63" t="s">
        <v>2046</v>
      </c>
      <c r="AJ719" s="63">
        <v>1283</v>
      </c>
      <c r="AK719" s="87">
        <f t="shared" si="73"/>
        <v>0</v>
      </c>
      <c r="AL719" s="86">
        <v>54686940</v>
      </c>
      <c r="AM719" s="86">
        <f t="shared" si="74"/>
        <v>0</v>
      </c>
      <c r="AN719" s="63" t="s">
        <v>1155</v>
      </c>
      <c r="AO719" s="86">
        <f t="shared" si="75"/>
        <v>0</v>
      </c>
      <c r="AP719" s="63"/>
      <c r="AQ719" s="63"/>
      <c r="AR719" s="63"/>
      <c r="AS719" s="63"/>
      <c r="AT719" s="63"/>
      <c r="AU719" s="220"/>
      <c r="AV719" s="220"/>
      <c r="AW719" s="220"/>
    </row>
    <row r="720" spans="1:49" s="221" customFormat="1" ht="342" x14ac:dyDescent="0.25">
      <c r="A720" s="63">
        <v>306</v>
      </c>
      <c r="B720" s="63" t="str">
        <f t="shared" si="72"/>
        <v>3075-306</v>
      </c>
      <c r="C720" s="76" t="s">
        <v>1141</v>
      </c>
      <c r="D720" s="76" t="s">
        <v>1142</v>
      </c>
      <c r="E720" s="76" t="s">
        <v>1424</v>
      </c>
      <c r="F720" s="76" t="s">
        <v>1175</v>
      </c>
      <c r="G720" s="77" t="s">
        <v>1176</v>
      </c>
      <c r="H720" s="78" t="s">
        <v>1425</v>
      </c>
      <c r="I720" s="76" t="s">
        <v>1147</v>
      </c>
      <c r="J720" s="76" t="s">
        <v>1148</v>
      </c>
      <c r="K720" s="76" t="s">
        <v>439</v>
      </c>
      <c r="L720" s="63" t="s">
        <v>1149</v>
      </c>
      <c r="M720" s="63" t="s">
        <v>58</v>
      </c>
      <c r="N720" s="63" t="s">
        <v>59</v>
      </c>
      <c r="O720" s="76" t="s">
        <v>1213</v>
      </c>
      <c r="P720" s="63" t="s">
        <v>2047</v>
      </c>
      <c r="Q720" s="83">
        <v>54686940</v>
      </c>
      <c r="R720" s="98">
        <v>1</v>
      </c>
      <c r="S720" s="80">
        <v>54686940</v>
      </c>
      <c r="T720" s="63" t="s">
        <v>1171</v>
      </c>
      <c r="U720" s="63" t="s">
        <v>1171</v>
      </c>
      <c r="V720" s="81" t="s">
        <v>724</v>
      </c>
      <c r="W720" s="82" t="s">
        <v>439</v>
      </c>
      <c r="X720" s="99" t="s">
        <v>2048</v>
      </c>
      <c r="Y720" s="81">
        <v>43138</v>
      </c>
      <c r="Z720" s="86">
        <v>54686940</v>
      </c>
      <c r="AA720" s="84" t="s">
        <v>1742</v>
      </c>
      <c r="AB720" s="85">
        <v>636</v>
      </c>
      <c r="AC720" s="81">
        <v>43139</v>
      </c>
      <c r="AD720" s="86">
        <v>54686940</v>
      </c>
      <c r="AE720" s="87">
        <f t="shared" si="76"/>
        <v>0</v>
      </c>
      <c r="AF720" s="85">
        <v>1481</v>
      </c>
      <c r="AG720" s="81">
        <v>43160</v>
      </c>
      <c r="AH720" s="86">
        <v>54686940</v>
      </c>
      <c r="AI720" s="63" t="s">
        <v>2049</v>
      </c>
      <c r="AJ720" s="63">
        <v>1418</v>
      </c>
      <c r="AK720" s="87">
        <f t="shared" si="73"/>
        <v>0</v>
      </c>
      <c r="AL720" s="86">
        <v>54686940</v>
      </c>
      <c r="AM720" s="86">
        <f t="shared" si="74"/>
        <v>0</v>
      </c>
      <c r="AN720" s="63" t="s">
        <v>1155</v>
      </c>
      <c r="AO720" s="86">
        <f t="shared" si="75"/>
        <v>0</v>
      </c>
      <c r="AP720" s="63"/>
      <c r="AQ720" s="63"/>
      <c r="AR720" s="63"/>
      <c r="AS720" s="63"/>
      <c r="AT720" s="63"/>
      <c r="AU720" s="220"/>
      <c r="AV720" s="220"/>
      <c r="AW720" s="220"/>
    </row>
    <row r="721" spans="1:49" s="221" customFormat="1" ht="342" x14ac:dyDescent="0.25">
      <c r="A721" s="63">
        <v>307</v>
      </c>
      <c r="B721" s="63" t="str">
        <f t="shared" si="72"/>
        <v>3075-307</v>
      </c>
      <c r="C721" s="76" t="s">
        <v>1141</v>
      </c>
      <c r="D721" s="76" t="s">
        <v>1142</v>
      </c>
      <c r="E721" s="76" t="s">
        <v>1424</v>
      </c>
      <c r="F721" s="76" t="s">
        <v>1175</v>
      </c>
      <c r="G721" s="77" t="s">
        <v>1176</v>
      </c>
      <c r="H721" s="78" t="s">
        <v>1425</v>
      </c>
      <c r="I721" s="76" t="s">
        <v>1147</v>
      </c>
      <c r="J721" s="76" t="s">
        <v>1148</v>
      </c>
      <c r="K721" s="76" t="s">
        <v>439</v>
      </c>
      <c r="L721" s="63" t="s">
        <v>1149</v>
      </c>
      <c r="M721" s="63" t="s">
        <v>58</v>
      </c>
      <c r="N721" s="63" t="s">
        <v>59</v>
      </c>
      <c r="O721" s="76" t="s">
        <v>1213</v>
      </c>
      <c r="P721" s="63" t="s">
        <v>2050</v>
      </c>
      <c r="Q721" s="83">
        <v>54686940</v>
      </c>
      <c r="R721" s="98">
        <v>1</v>
      </c>
      <c r="S721" s="80">
        <v>54686940</v>
      </c>
      <c r="T721" s="63" t="s">
        <v>1171</v>
      </c>
      <c r="U721" s="63" t="s">
        <v>1171</v>
      </c>
      <c r="V721" s="81" t="s">
        <v>724</v>
      </c>
      <c r="W721" s="82" t="s">
        <v>439</v>
      </c>
      <c r="X721" s="99" t="s">
        <v>2051</v>
      </c>
      <c r="Y721" s="81">
        <v>43138</v>
      </c>
      <c r="Z721" s="86">
        <v>54686940</v>
      </c>
      <c r="AA721" s="84" t="s">
        <v>1742</v>
      </c>
      <c r="AB721" s="85">
        <v>638</v>
      </c>
      <c r="AC721" s="81">
        <v>43139</v>
      </c>
      <c r="AD721" s="86">
        <v>54686940</v>
      </c>
      <c r="AE721" s="87">
        <f t="shared" si="76"/>
        <v>0</v>
      </c>
      <c r="AF721" s="85">
        <v>1583</v>
      </c>
      <c r="AG721" s="81">
        <v>43174</v>
      </c>
      <c r="AH721" s="86">
        <v>54686940</v>
      </c>
      <c r="AI721" s="63" t="s">
        <v>2052</v>
      </c>
      <c r="AJ721" s="63">
        <v>1510</v>
      </c>
      <c r="AK721" s="87">
        <f t="shared" si="73"/>
        <v>0</v>
      </c>
      <c r="AL721" s="86">
        <v>54686940</v>
      </c>
      <c r="AM721" s="86">
        <f t="shared" si="74"/>
        <v>0</v>
      </c>
      <c r="AN721" s="63" t="s">
        <v>1155</v>
      </c>
      <c r="AO721" s="86">
        <f t="shared" si="75"/>
        <v>0</v>
      </c>
      <c r="AP721" s="63"/>
      <c r="AQ721" s="63"/>
      <c r="AR721" s="63"/>
      <c r="AS721" s="63"/>
      <c r="AT721" s="63"/>
      <c r="AU721" s="220"/>
      <c r="AV721" s="220"/>
      <c r="AW721" s="220"/>
    </row>
    <row r="722" spans="1:49" s="221" customFormat="1" ht="171" x14ac:dyDescent="0.25">
      <c r="A722" s="63">
        <v>308</v>
      </c>
      <c r="B722" s="63" t="str">
        <f t="shared" si="72"/>
        <v>3075-308</v>
      </c>
      <c r="C722" s="76" t="s">
        <v>1141</v>
      </c>
      <c r="D722" s="76" t="s">
        <v>1142</v>
      </c>
      <c r="E722" s="76" t="s">
        <v>1143</v>
      </c>
      <c r="F722" s="76" t="s">
        <v>1166</v>
      </c>
      <c r="G722" s="88" t="s">
        <v>2053</v>
      </c>
      <c r="H722" s="92" t="s">
        <v>2054</v>
      </c>
      <c r="I722" s="76" t="s">
        <v>1147</v>
      </c>
      <c r="J722" s="76" t="s">
        <v>1148</v>
      </c>
      <c r="K722" s="93" t="s">
        <v>439</v>
      </c>
      <c r="L722" s="63" t="s">
        <v>1149</v>
      </c>
      <c r="M722" s="63" t="s">
        <v>58</v>
      </c>
      <c r="N722" s="63" t="s">
        <v>59</v>
      </c>
      <c r="O722" s="76" t="s">
        <v>1199</v>
      </c>
      <c r="P722" s="76" t="s">
        <v>2055</v>
      </c>
      <c r="Q722" s="83">
        <v>614764</v>
      </c>
      <c r="R722" s="63">
        <v>1</v>
      </c>
      <c r="S722" s="80">
        <v>614764</v>
      </c>
      <c r="T722" s="63" t="s">
        <v>1171</v>
      </c>
      <c r="U722" s="63" t="s">
        <v>1171</v>
      </c>
      <c r="V722" s="81" t="s">
        <v>411</v>
      </c>
      <c r="W722" s="82">
        <v>1</v>
      </c>
      <c r="X722" s="99" t="s">
        <v>2056</v>
      </c>
      <c r="Y722" s="81">
        <v>43138</v>
      </c>
      <c r="Z722" s="86">
        <v>614764</v>
      </c>
      <c r="AA722" s="84" t="s">
        <v>2057</v>
      </c>
      <c r="AB722" s="85">
        <v>643</v>
      </c>
      <c r="AC722" s="81">
        <v>43140</v>
      </c>
      <c r="AD722" s="86">
        <v>614764</v>
      </c>
      <c r="AE722" s="87">
        <f t="shared" si="76"/>
        <v>0</v>
      </c>
      <c r="AF722" s="85">
        <v>1779</v>
      </c>
      <c r="AG722" s="81">
        <v>43202</v>
      </c>
      <c r="AH722" s="86">
        <v>614764</v>
      </c>
      <c r="AI722" s="63" t="s">
        <v>2058</v>
      </c>
      <c r="AJ722" s="63">
        <v>1286</v>
      </c>
      <c r="AK722" s="87">
        <f t="shared" si="73"/>
        <v>0</v>
      </c>
      <c r="AL722" s="86">
        <v>614764</v>
      </c>
      <c r="AM722" s="86">
        <f t="shared" si="74"/>
        <v>0</v>
      </c>
      <c r="AN722" s="63" t="s">
        <v>1155</v>
      </c>
      <c r="AO722" s="86">
        <f t="shared" si="75"/>
        <v>0</v>
      </c>
      <c r="AP722" s="63"/>
      <c r="AQ722" s="63"/>
      <c r="AR722" s="63"/>
      <c r="AS722" s="63"/>
      <c r="AT722" s="63"/>
      <c r="AU722" s="220"/>
      <c r="AV722" s="220"/>
      <c r="AW722" s="220"/>
    </row>
    <row r="723" spans="1:49" s="221" customFormat="1" ht="342" x14ac:dyDescent="0.25">
      <c r="A723" s="63">
        <v>309</v>
      </c>
      <c r="B723" s="63" t="str">
        <f t="shared" si="72"/>
        <v>3075-309</v>
      </c>
      <c r="C723" s="76" t="s">
        <v>1141</v>
      </c>
      <c r="D723" s="76" t="s">
        <v>1142</v>
      </c>
      <c r="E723" s="76" t="s">
        <v>1424</v>
      </c>
      <c r="F723" s="76" t="s">
        <v>1175</v>
      </c>
      <c r="G723" s="77" t="s">
        <v>1176</v>
      </c>
      <c r="H723" s="78" t="s">
        <v>1425</v>
      </c>
      <c r="I723" s="76" t="s">
        <v>1147</v>
      </c>
      <c r="J723" s="76" t="s">
        <v>1148</v>
      </c>
      <c r="K723" s="76" t="s">
        <v>439</v>
      </c>
      <c r="L723" s="63" t="s">
        <v>1149</v>
      </c>
      <c r="M723" s="63" t="s">
        <v>58</v>
      </c>
      <c r="N723" s="63" t="s">
        <v>59</v>
      </c>
      <c r="O723" s="76" t="s">
        <v>1213</v>
      </c>
      <c r="P723" s="63" t="s">
        <v>2059</v>
      </c>
      <c r="Q723" s="83">
        <v>54886940</v>
      </c>
      <c r="R723" s="98">
        <v>1</v>
      </c>
      <c r="S723" s="80">
        <v>54686940</v>
      </c>
      <c r="T723" s="63" t="s">
        <v>1171</v>
      </c>
      <c r="U723" s="63" t="s">
        <v>1171</v>
      </c>
      <c r="V723" s="81" t="s">
        <v>493</v>
      </c>
      <c r="W723" s="82" t="s">
        <v>439</v>
      </c>
      <c r="X723" s="99" t="s">
        <v>2060</v>
      </c>
      <c r="Y723" s="81">
        <v>43140</v>
      </c>
      <c r="Z723" s="83">
        <v>54686940</v>
      </c>
      <c r="AA723" s="84" t="s">
        <v>1742</v>
      </c>
      <c r="AB723" s="85">
        <v>646</v>
      </c>
      <c r="AC723" s="81">
        <v>43144</v>
      </c>
      <c r="AD723" s="86">
        <v>54686940</v>
      </c>
      <c r="AE723" s="87">
        <f t="shared" si="76"/>
        <v>0</v>
      </c>
      <c r="AF723" s="85">
        <v>1461</v>
      </c>
      <c r="AG723" s="81">
        <v>43154</v>
      </c>
      <c r="AH723" s="86">
        <v>54686940</v>
      </c>
      <c r="AI723" s="63" t="s">
        <v>2061</v>
      </c>
      <c r="AJ723" s="63">
        <v>1356</v>
      </c>
      <c r="AK723" s="87">
        <f t="shared" si="73"/>
        <v>0</v>
      </c>
      <c r="AL723" s="86">
        <v>54686940</v>
      </c>
      <c r="AM723" s="86">
        <f t="shared" si="74"/>
        <v>0</v>
      </c>
      <c r="AN723" s="63" t="s">
        <v>1155</v>
      </c>
      <c r="AO723" s="86">
        <f t="shared" si="75"/>
        <v>0</v>
      </c>
      <c r="AP723" s="63"/>
      <c r="AQ723" s="63"/>
      <c r="AR723" s="63"/>
      <c r="AS723" s="63"/>
      <c r="AT723" s="63"/>
      <c r="AU723" s="220"/>
      <c r="AV723" s="220"/>
      <c r="AW723" s="220"/>
    </row>
    <row r="724" spans="1:49" s="221" customFormat="1" ht="342" x14ac:dyDescent="0.25">
      <c r="A724" s="63">
        <v>310</v>
      </c>
      <c r="B724" s="63" t="str">
        <f t="shared" si="72"/>
        <v>3075-310</v>
      </c>
      <c r="C724" s="76" t="s">
        <v>1141</v>
      </c>
      <c r="D724" s="76" t="s">
        <v>1142</v>
      </c>
      <c r="E724" s="76" t="s">
        <v>1424</v>
      </c>
      <c r="F724" s="76" t="s">
        <v>1175</v>
      </c>
      <c r="G724" s="77" t="s">
        <v>1176</v>
      </c>
      <c r="H724" s="78" t="s">
        <v>1425</v>
      </c>
      <c r="I724" s="76" t="s">
        <v>1147</v>
      </c>
      <c r="J724" s="76" t="s">
        <v>1148</v>
      </c>
      <c r="K724" s="76" t="s">
        <v>439</v>
      </c>
      <c r="L724" s="63" t="s">
        <v>1149</v>
      </c>
      <c r="M724" s="63" t="s">
        <v>58</v>
      </c>
      <c r="N724" s="63" t="s">
        <v>59</v>
      </c>
      <c r="O724" s="76" t="s">
        <v>1213</v>
      </c>
      <c r="P724" s="63" t="s">
        <v>2062</v>
      </c>
      <c r="Q724" s="83">
        <v>54886940</v>
      </c>
      <c r="R724" s="98">
        <v>1</v>
      </c>
      <c r="S724" s="80">
        <v>54686940</v>
      </c>
      <c r="T724" s="63" t="s">
        <v>1171</v>
      </c>
      <c r="U724" s="63" t="s">
        <v>1171</v>
      </c>
      <c r="V724" s="81" t="s">
        <v>724</v>
      </c>
      <c r="W724" s="82" t="s">
        <v>439</v>
      </c>
      <c r="X724" s="99" t="s">
        <v>2063</v>
      </c>
      <c r="Y724" s="81">
        <v>43140</v>
      </c>
      <c r="Z724" s="83">
        <v>54686940</v>
      </c>
      <c r="AA724" s="84" t="s">
        <v>1742</v>
      </c>
      <c r="AB724" s="85">
        <v>647</v>
      </c>
      <c r="AC724" s="81">
        <v>43144</v>
      </c>
      <c r="AD724" s="86">
        <v>54686940</v>
      </c>
      <c r="AE724" s="87">
        <f t="shared" si="76"/>
        <v>0</v>
      </c>
      <c r="AF724" s="85">
        <v>1478</v>
      </c>
      <c r="AG724" s="81">
        <v>43160</v>
      </c>
      <c r="AH724" s="86">
        <v>54686940</v>
      </c>
      <c r="AI724" s="63" t="s">
        <v>2064</v>
      </c>
      <c r="AJ724" s="63">
        <v>1413</v>
      </c>
      <c r="AK724" s="87">
        <f t="shared" si="73"/>
        <v>0</v>
      </c>
      <c r="AL724" s="86">
        <v>54686940</v>
      </c>
      <c r="AM724" s="86">
        <f t="shared" si="74"/>
        <v>0</v>
      </c>
      <c r="AN724" s="63" t="s">
        <v>1155</v>
      </c>
      <c r="AO724" s="86">
        <f t="shared" si="75"/>
        <v>0</v>
      </c>
      <c r="AP724" s="63"/>
      <c r="AQ724" s="63"/>
      <c r="AR724" s="63"/>
      <c r="AS724" s="63"/>
      <c r="AT724" s="63"/>
      <c r="AU724" s="220"/>
      <c r="AV724" s="220"/>
      <c r="AW724" s="220"/>
    </row>
    <row r="725" spans="1:49" s="221" customFormat="1" ht="342" x14ac:dyDescent="0.25">
      <c r="A725" s="63">
        <v>311</v>
      </c>
      <c r="B725" s="63" t="str">
        <f t="shared" si="72"/>
        <v>3075-311</v>
      </c>
      <c r="C725" s="76" t="s">
        <v>1141</v>
      </c>
      <c r="D725" s="76" t="s">
        <v>1142</v>
      </c>
      <c r="E725" s="76" t="s">
        <v>1424</v>
      </c>
      <c r="F725" s="76" t="s">
        <v>1175</v>
      </c>
      <c r="G725" s="77" t="s">
        <v>1176</v>
      </c>
      <c r="H725" s="78" t="s">
        <v>1425</v>
      </c>
      <c r="I725" s="76" t="s">
        <v>1147</v>
      </c>
      <c r="J725" s="76" t="s">
        <v>1148</v>
      </c>
      <c r="K725" s="76" t="s">
        <v>439</v>
      </c>
      <c r="L725" s="63" t="s">
        <v>1149</v>
      </c>
      <c r="M725" s="63" t="s">
        <v>58</v>
      </c>
      <c r="N725" s="63" t="s">
        <v>59</v>
      </c>
      <c r="O725" s="76" t="s">
        <v>1213</v>
      </c>
      <c r="P725" s="63" t="s">
        <v>2065</v>
      </c>
      <c r="Q725" s="83">
        <v>54886940</v>
      </c>
      <c r="R725" s="98">
        <v>1</v>
      </c>
      <c r="S725" s="80">
        <v>54686940</v>
      </c>
      <c r="T725" s="63" t="s">
        <v>1171</v>
      </c>
      <c r="U725" s="63" t="s">
        <v>1171</v>
      </c>
      <c r="V725" s="81" t="s">
        <v>1023</v>
      </c>
      <c r="W725" s="82" t="s">
        <v>439</v>
      </c>
      <c r="X725" s="99" t="s">
        <v>2066</v>
      </c>
      <c r="Y725" s="81">
        <v>43140</v>
      </c>
      <c r="Z725" s="83">
        <v>54686940</v>
      </c>
      <c r="AA725" s="84" t="s">
        <v>1742</v>
      </c>
      <c r="AB725" s="85">
        <v>645</v>
      </c>
      <c r="AC725" s="81">
        <v>43144</v>
      </c>
      <c r="AD725" s="86">
        <v>54686940</v>
      </c>
      <c r="AE725" s="87">
        <f t="shared" si="76"/>
        <v>0</v>
      </c>
      <c r="AF725" s="85">
        <v>1852</v>
      </c>
      <c r="AG725" s="81">
        <v>43223</v>
      </c>
      <c r="AH725" s="86">
        <v>54686940</v>
      </c>
      <c r="AI725" s="63" t="s">
        <v>2067</v>
      </c>
      <c r="AJ725" s="63">
        <v>1960</v>
      </c>
      <c r="AK725" s="87">
        <f t="shared" si="73"/>
        <v>0</v>
      </c>
      <c r="AL725" s="86">
        <v>54686940</v>
      </c>
      <c r="AM725" s="86">
        <f t="shared" si="74"/>
        <v>0</v>
      </c>
      <c r="AN725" s="63" t="s">
        <v>1155</v>
      </c>
      <c r="AO725" s="86">
        <f t="shared" si="75"/>
        <v>0</v>
      </c>
      <c r="AP725" s="63"/>
      <c r="AQ725" s="63"/>
      <c r="AR725" s="63"/>
      <c r="AS725" s="63"/>
      <c r="AT725" s="63"/>
      <c r="AU725" s="220"/>
      <c r="AV725" s="220"/>
      <c r="AW725" s="220"/>
    </row>
    <row r="726" spans="1:49" s="221" customFormat="1" ht="156.75" x14ac:dyDescent="0.25">
      <c r="A726" s="63">
        <v>312</v>
      </c>
      <c r="B726" s="63" t="str">
        <f t="shared" si="72"/>
        <v>3075-312</v>
      </c>
      <c r="C726" s="76" t="s">
        <v>1141</v>
      </c>
      <c r="D726" s="76" t="s">
        <v>1142</v>
      </c>
      <c r="E726" s="76" t="s">
        <v>1174</v>
      </c>
      <c r="F726" s="76" t="s">
        <v>1175</v>
      </c>
      <c r="G726" s="77" t="s">
        <v>1176</v>
      </c>
      <c r="H726" s="78" t="s">
        <v>1177</v>
      </c>
      <c r="I726" s="76" t="s">
        <v>1147</v>
      </c>
      <c r="J726" s="76" t="s">
        <v>1178</v>
      </c>
      <c r="K726" s="76" t="s">
        <v>439</v>
      </c>
      <c r="L726" s="63" t="s">
        <v>1149</v>
      </c>
      <c r="M726" s="63" t="s">
        <v>58</v>
      </c>
      <c r="N726" s="63" t="s">
        <v>59</v>
      </c>
      <c r="O726" s="76" t="s">
        <v>1169</v>
      </c>
      <c r="P726" s="76" t="s">
        <v>2068</v>
      </c>
      <c r="Q726" s="79">
        <v>39062100</v>
      </c>
      <c r="R726" s="63">
        <v>1</v>
      </c>
      <c r="S726" s="80">
        <v>39062100</v>
      </c>
      <c r="T726" s="63" t="s">
        <v>1171</v>
      </c>
      <c r="U726" s="63" t="s">
        <v>1171</v>
      </c>
      <c r="V726" s="81" t="s">
        <v>724</v>
      </c>
      <c r="W726" s="82" t="s">
        <v>439</v>
      </c>
      <c r="X726" s="99" t="s">
        <v>2069</v>
      </c>
      <c r="Y726" s="81">
        <v>43140</v>
      </c>
      <c r="Z726" s="83">
        <v>39062100</v>
      </c>
      <c r="AA726" s="84" t="s">
        <v>2024</v>
      </c>
      <c r="AB726" s="85">
        <v>644</v>
      </c>
      <c r="AC726" s="81">
        <v>43144</v>
      </c>
      <c r="AD726" s="86">
        <v>39062100</v>
      </c>
      <c r="AE726" s="87">
        <f t="shared" si="76"/>
        <v>0</v>
      </c>
      <c r="AF726" s="85">
        <v>1581</v>
      </c>
      <c r="AG726" s="81">
        <v>43174</v>
      </c>
      <c r="AH726" s="86">
        <v>39062100</v>
      </c>
      <c r="AI726" s="63" t="s">
        <v>2070</v>
      </c>
      <c r="AJ726" s="63">
        <v>1540</v>
      </c>
      <c r="AK726" s="87">
        <f t="shared" si="73"/>
        <v>0</v>
      </c>
      <c r="AL726" s="86">
        <v>0</v>
      </c>
      <c r="AM726" s="86">
        <f t="shared" si="74"/>
        <v>39062100</v>
      </c>
      <c r="AN726" s="63" t="s">
        <v>1155</v>
      </c>
      <c r="AO726" s="86">
        <f t="shared" si="75"/>
        <v>0</v>
      </c>
      <c r="AP726" s="63"/>
      <c r="AQ726" s="63"/>
      <c r="AR726" s="63"/>
      <c r="AS726" s="63"/>
      <c r="AT726" s="63"/>
      <c r="AU726" s="220"/>
      <c r="AV726" s="220"/>
      <c r="AW726" s="220"/>
    </row>
    <row r="727" spans="1:49" s="221" customFormat="1" ht="342" x14ac:dyDescent="0.25">
      <c r="A727" s="63">
        <v>313</v>
      </c>
      <c r="B727" s="63" t="str">
        <f t="shared" si="72"/>
        <v>3075-313</v>
      </c>
      <c r="C727" s="76" t="s">
        <v>1141</v>
      </c>
      <c r="D727" s="76" t="s">
        <v>1142</v>
      </c>
      <c r="E727" s="76" t="s">
        <v>1424</v>
      </c>
      <c r="F727" s="76" t="s">
        <v>1175</v>
      </c>
      <c r="G727" s="77" t="s">
        <v>1176</v>
      </c>
      <c r="H727" s="78" t="s">
        <v>1425</v>
      </c>
      <c r="I727" s="76" t="s">
        <v>1147</v>
      </c>
      <c r="J727" s="76" t="s">
        <v>1148</v>
      </c>
      <c r="K727" s="76" t="s">
        <v>439</v>
      </c>
      <c r="L727" s="63" t="s">
        <v>1149</v>
      </c>
      <c r="M727" s="63" t="s">
        <v>58</v>
      </c>
      <c r="N727" s="63" t="s">
        <v>59</v>
      </c>
      <c r="O727" s="76" t="s">
        <v>1213</v>
      </c>
      <c r="P727" s="63" t="s">
        <v>2071</v>
      </c>
      <c r="Q727" s="83">
        <v>54686940</v>
      </c>
      <c r="R727" s="98">
        <v>1</v>
      </c>
      <c r="S727" s="80">
        <v>54686940</v>
      </c>
      <c r="T727" s="63" t="s">
        <v>1171</v>
      </c>
      <c r="U727" s="63" t="s">
        <v>1171</v>
      </c>
      <c r="V727" s="81" t="s">
        <v>411</v>
      </c>
      <c r="W727" s="82" t="s">
        <v>439</v>
      </c>
      <c r="X727" s="99" t="s">
        <v>2072</v>
      </c>
      <c r="Y727" s="81">
        <v>43147</v>
      </c>
      <c r="Z727" s="83">
        <v>54686940</v>
      </c>
      <c r="AA727" s="84" t="s">
        <v>1742</v>
      </c>
      <c r="AB727" s="85">
        <v>650</v>
      </c>
      <c r="AC727" s="81">
        <v>43150</v>
      </c>
      <c r="AD727" s="86">
        <v>54686940</v>
      </c>
      <c r="AE727" s="87">
        <f t="shared" si="76"/>
        <v>0</v>
      </c>
      <c r="AF727" s="85">
        <v>1737</v>
      </c>
      <c r="AG727" s="81">
        <v>43196</v>
      </c>
      <c r="AH727" s="86">
        <v>54686940</v>
      </c>
      <c r="AI727" s="63" t="s">
        <v>2073</v>
      </c>
      <c r="AJ727" s="63">
        <v>1748</v>
      </c>
      <c r="AK727" s="87">
        <f t="shared" si="73"/>
        <v>0</v>
      </c>
      <c r="AL727" s="86">
        <v>54686940</v>
      </c>
      <c r="AM727" s="86">
        <f t="shared" si="74"/>
        <v>0</v>
      </c>
      <c r="AN727" s="63" t="s">
        <v>1155</v>
      </c>
      <c r="AO727" s="86">
        <f t="shared" si="75"/>
        <v>0</v>
      </c>
      <c r="AP727" s="63"/>
      <c r="AQ727" s="63"/>
      <c r="AR727" s="63"/>
      <c r="AS727" s="63"/>
      <c r="AT727" s="63"/>
      <c r="AU727" s="220"/>
      <c r="AV727" s="220"/>
      <c r="AW727" s="220"/>
    </row>
    <row r="728" spans="1:49" s="221" customFormat="1" ht="342" x14ac:dyDescent="0.25">
      <c r="A728" s="63">
        <v>314</v>
      </c>
      <c r="B728" s="63" t="str">
        <f t="shared" si="72"/>
        <v>3075-314</v>
      </c>
      <c r="C728" s="76" t="s">
        <v>1141</v>
      </c>
      <c r="D728" s="76" t="s">
        <v>1142</v>
      </c>
      <c r="E728" s="76" t="s">
        <v>1424</v>
      </c>
      <c r="F728" s="76" t="s">
        <v>1175</v>
      </c>
      <c r="G728" s="77" t="s">
        <v>1176</v>
      </c>
      <c r="H728" s="78" t="s">
        <v>1425</v>
      </c>
      <c r="I728" s="76" t="s">
        <v>1147</v>
      </c>
      <c r="J728" s="76" t="s">
        <v>1148</v>
      </c>
      <c r="K728" s="76" t="s">
        <v>439</v>
      </c>
      <c r="L728" s="63" t="s">
        <v>1149</v>
      </c>
      <c r="M728" s="63" t="s">
        <v>58</v>
      </c>
      <c r="N728" s="63" t="s">
        <v>59</v>
      </c>
      <c r="O728" s="76" t="s">
        <v>1213</v>
      </c>
      <c r="P728" s="63" t="s">
        <v>2074</v>
      </c>
      <c r="Q728" s="83">
        <v>54686940</v>
      </c>
      <c r="R728" s="98">
        <v>1</v>
      </c>
      <c r="S728" s="80">
        <v>54686940</v>
      </c>
      <c r="T728" s="63" t="s">
        <v>1171</v>
      </c>
      <c r="U728" s="63" t="s">
        <v>1171</v>
      </c>
      <c r="V728" s="81" t="s">
        <v>724</v>
      </c>
      <c r="W728" s="82" t="s">
        <v>439</v>
      </c>
      <c r="X728" s="99" t="s">
        <v>2075</v>
      </c>
      <c r="Y728" s="81">
        <v>43147</v>
      </c>
      <c r="Z728" s="83">
        <v>54686940</v>
      </c>
      <c r="AA728" s="84" t="s">
        <v>1742</v>
      </c>
      <c r="AB728" s="85">
        <v>657</v>
      </c>
      <c r="AC728" s="81">
        <v>43153</v>
      </c>
      <c r="AD728" s="86">
        <v>54686940</v>
      </c>
      <c r="AE728" s="87">
        <f t="shared" si="76"/>
        <v>0</v>
      </c>
      <c r="AF728" s="85">
        <v>1577</v>
      </c>
      <c r="AG728" s="81">
        <v>43174</v>
      </c>
      <c r="AH728" s="86">
        <v>54686940</v>
      </c>
      <c r="AI728" s="63" t="s">
        <v>2076</v>
      </c>
      <c r="AJ728" s="63">
        <v>1511</v>
      </c>
      <c r="AK728" s="87">
        <f t="shared" si="73"/>
        <v>0</v>
      </c>
      <c r="AL728" s="86">
        <v>0</v>
      </c>
      <c r="AM728" s="86">
        <f t="shared" si="74"/>
        <v>54686940</v>
      </c>
      <c r="AN728" s="63" t="s">
        <v>1155</v>
      </c>
      <c r="AO728" s="86">
        <f t="shared" si="75"/>
        <v>0</v>
      </c>
      <c r="AP728" s="63"/>
      <c r="AQ728" s="63"/>
      <c r="AR728" s="63"/>
      <c r="AS728" s="63"/>
      <c r="AT728" s="63"/>
      <c r="AU728" s="220"/>
      <c r="AV728" s="220"/>
      <c r="AW728" s="220"/>
    </row>
    <row r="729" spans="1:49" s="221" customFormat="1" ht="342" x14ac:dyDescent="0.25">
      <c r="A729" s="63">
        <v>315</v>
      </c>
      <c r="B729" s="63" t="str">
        <f t="shared" si="72"/>
        <v>3075-315</v>
      </c>
      <c r="C729" s="76" t="s">
        <v>1141</v>
      </c>
      <c r="D729" s="76" t="s">
        <v>1142</v>
      </c>
      <c r="E729" s="76" t="s">
        <v>1424</v>
      </c>
      <c r="F729" s="76" t="s">
        <v>1175</v>
      </c>
      <c r="G729" s="77" t="s">
        <v>1176</v>
      </c>
      <c r="H729" s="78" t="s">
        <v>1425</v>
      </c>
      <c r="I729" s="76" t="s">
        <v>1147</v>
      </c>
      <c r="J729" s="76" t="s">
        <v>1148</v>
      </c>
      <c r="K729" s="76" t="s">
        <v>439</v>
      </c>
      <c r="L729" s="63" t="s">
        <v>1149</v>
      </c>
      <c r="M729" s="63" t="s">
        <v>58</v>
      </c>
      <c r="N729" s="63" t="s">
        <v>59</v>
      </c>
      <c r="O729" s="76" t="s">
        <v>1213</v>
      </c>
      <c r="P729" s="63" t="s">
        <v>2077</v>
      </c>
      <c r="Q729" s="83">
        <v>54686940</v>
      </c>
      <c r="R729" s="98">
        <v>1</v>
      </c>
      <c r="S729" s="80">
        <v>54686940</v>
      </c>
      <c r="T729" s="63" t="s">
        <v>1171</v>
      </c>
      <c r="U729" s="63" t="s">
        <v>1171</v>
      </c>
      <c r="V729" s="81" t="s">
        <v>724</v>
      </c>
      <c r="W729" s="82" t="s">
        <v>439</v>
      </c>
      <c r="X729" s="99" t="s">
        <v>2078</v>
      </c>
      <c r="Y729" s="81">
        <v>43147</v>
      </c>
      <c r="Z729" s="83">
        <v>54686940</v>
      </c>
      <c r="AA729" s="84" t="s">
        <v>1742</v>
      </c>
      <c r="AB729" s="85">
        <v>651</v>
      </c>
      <c r="AC729" s="81">
        <v>43150</v>
      </c>
      <c r="AD729" s="86">
        <v>54686940</v>
      </c>
      <c r="AE729" s="87">
        <f t="shared" si="76"/>
        <v>0</v>
      </c>
      <c r="AF729" s="85">
        <v>1578</v>
      </c>
      <c r="AG729" s="81">
        <v>43174</v>
      </c>
      <c r="AH729" s="86">
        <v>54686940</v>
      </c>
      <c r="AI729" s="63" t="s">
        <v>2079</v>
      </c>
      <c r="AJ729" s="63">
        <v>1512</v>
      </c>
      <c r="AK729" s="87">
        <f t="shared" si="73"/>
        <v>0</v>
      </c>
      <c r="AL729" s="86">
        <v>54686940</v>
      </c>
      <c r="AM729" s="86">
        <f t="shared" si="74"/>
        <v>0</v>
      </c>
      <c r="AN729" s="63" t="s">
        <v>1155</v>
      </c>
      <c r="AO729" s="86">
        <f t="shared" si="75"/>
        <v>0</v>
      </c>
      <c r="AP729" s="63"/>
      <c r="AQ729" s="63"/>
      <c r="AR729" s="63"/>
      <c r="AS729" s="63"/>
      <c r="AT729" s="63"/>
      <c r="AU729" s="220"/>
      <c r="AV729" s="220"/>
      <c r="AW729" s="220"/>
    </row>
    <row r="730" spans="1:49" s="221" customFormat="1" ht="342" x14ac:dyDescent="0.25">
      <c r="A730" s="63">
        <v>316</v>
      </c>
      <c r="B730" s="63" t="str">
        <f t="shared" si="72"/>
        <v>3075-316</v>
      </c>
      <c r="C730" s="76" t="s">
        <v>1141</v>
      </c>
      <c r="D730" s="76" t="s">
        <v>1142</v>
      </c>
      <c r="E730" s="76" t="s">
        <v>1424</v>
      </c>
      <c r="F730" s="76" t="s">
        <v>1175</v>
      </c>
      <c r="G730" s="77" t="s">
        <v>1176</v>
      </c>
      <c r="H730" s="78" t="s">
        <v>1425</v>
      </c>
      <c r="I730" s="76" t="s">
        <v>1147</v>
      </c>
      <c r="J730" s="76" t="s">
        <v>1148</v>
      </c>
      <c r="K730" s="76" t="s">
        <v>439</v>
      </c>
      <c r="L730" s="63" t="s">
        <v>1149</v>
      </c>
      <c r="M730" s="63" t="s">
        <v>58</v>
      </c>
      <c r="N730" s="63" t="s">
        <v>59</v>
      </c>
      <c r="O730" s="76" t="s">
        <v>1213</v>
      </c>
      <c r="P730" s="63" t="s">
        <v>2080</v>
      </c>
      <c r="Q730" s="83">
        <v>54686940</v>
      </c>
      <c r="R730" s="98">
        <v>1</v>
      </c>
      <c r="S730" s="80">
        <v>54686940</v>
      </c>
      <c r="T730" s="63" t="s">
        <v>1171</v>
      </c>
      <c r="U730" s="63" t="s">
        <v>1171</v>
      </c>
      <c r="V730" s="81" t="s">
        <v>724</v>
      </c>
      <c r="W730" s="82" t="s">
        <v>439</v>
      </c>
      <c r="X730" s="99" t="s">
        <v>2081</v>
      </c>
      <c r="Y730" s="81">
        <v>43147</v>
      </c>
      <c r="Z730" s="83">
        <v>54686940</v>
      </c>
      <c r="AA730" s="84" t="s">
        <v>1742</v>
      </c>
      <c r="AB730" s="85">
        <v>652</v>
      </c>
      <c r="AC730" s="81">
        <v>43150</v>
      </c>
      <c r="AD730" s="86">
        <v>54686940</v>
      </c>
      <c r="AE730" s="87">
        <f t="shared" si="76"/>
        <v>0</v>
      </c>
      <c r="AF730" s="85">
        <v>1579</v>
      </c>
      <c r="AG730" s="81">
        <v>43174</v>
      </c>
      <c r="AH730" s="86">
        <v>54686940</v>
      </c>
      <c r="AI730" s="63" t="s">
        <v>2082</v>
      </c>
      <c r="AJ730" s="63">
        <v>1513</v>
      </c>
      <c r="AK730" s="87">
        <f t="shared" si="73"/>
        <v>0</v>
      </c>
      <c r="AL730" s="86">
        <v>54686940</v>
      </c>
      <c r="AM730" s="86">
        <f t="shared" si="74"/>
        <v>0</v>
      </c>
      <c r="AN730" s="63" t="s">
        <v>1155</v>
      </c>
      <c r="AO730" s="86">
        <f t="shared" si="75"/>
        <v>0</v>
      </c>
      <c r="AP730" s="63"/>
      <c r="AQ730" s="63"/>
      <c r="AR730" s="63"/>
      <c r="AS730" s="63"/>
      <c r="AT730" s="63"/>
      <c r="AU730" s="220"/>
      <c r="AV730" s="220"/>
      <c r="AW730" s="220"/>
    </row>
    <row r="731" spans="1:49" s="221" customFormat="1" ht="171" x14ac:dyDescent="0.25">
      <c r="A731" s="63">
        <v>317</v>
      </c>
      <c r="B731" s="63" t="str">
        <f t="shared" si="72"/>
        <v>3075-317</v>
      </c>
      <c r="C731" s="76" t="s">
        <v>1141</v>
      </c>
      <c r="D731" s="76" t="s">
        <v>1142</v>
      </c>
      <c r="E731" s="76" t="s">
        <v>1197</v>
      </c>
      <c r="F731" s="76" t="s">
        <v>1175</v>
      </c>
      <c r="G731" s="77" t="s">
        <v>1176</v>
      </c>
      <c r="H731" s="78" t="s">
        <v>1198</v>
      </c>
      <c r="I731" s="76" t="s">
        <v>1147</v>
      </c>
      <c r="J731" s="76" t="s">
        <v>1148</v>
      </c>
      <c r="K731" s="76" t="s">
        <v>439</v>
      </c>
      <c r="L731" s="63" t="s">
        <v>1149</v>
      </c>
      <c r="M731" s="63" t="s">
        <v>58</v>
      </c>
      <c r="N731" s="63" t="s">
        <v>59</v>
      </c>
      <c r="O731" s="76" t="s">
        <v>1199</v>
      </c>
      <c r="P731" s="76" t="s">
        <v>1200</v>
      </c>
      <c r="Q731" s="79">
        <v>2031457538</v>
      </c>
      <c r="R731" s="63">
        <v>1</v>
      </c>
      <c r="S731" s="80">
        <v>2031457538</v>
      </c>
      <c r="T731" s="63" t="s">
        <v>1171</v>
      </c>
      <c r="U731" s="63" t="s">
        <v>1171</v>
      </c>
      <c r="V731" s="81" t="s">
        <v>1208</v>
      </c>
      <c r="W731" s="82" t="s">
        <v>439</v>
      </c>
      <c r="X731" s="99" t="s">
        <v>2083</v>
      </c>
      <c r="Y731" s="81">
        <v>43147</v>
      </c>
      <c r="Z731" s="83">
        <v>2031457538</v>
      </c>
      <c r="AA731" s="84" t="s">
        <v>2084</v>
      </c>
      <c r="AB731" s="85">
        <v>649</v>
      </c>
      <c r="AC731" s="81">
        <v>43150</v>
      </c>
      <c r="AD731" s="86">
        <v>2031457538</v>
      </c>
      <c r="AE731" s="87">
        <f t="shared" si="76"/>
        <v>0</v>
      </c>
      <c r="AF731" s="85" t="s">
        <v>1202</v>
      </c>
      <c r="AG731" s="81" t="s">
        <v>1202</v>
      </c>
      <c r="AH731" s="86">
        <v>2019436119</v>
      </c>
      <c r="AI731" s="63" t="s">
        <v>1202</v>
      </c>
      <c r="AJ731" s="63" t="s">
        <v>1202</v>
      </c>
      <c r="AK731" s="87">
        <f t="shared" si="73"/>
        <v>12021419</v>
      </c>
      <c r="AL731" s="86">
        <v>1030779301</v>
      </c>
      <c r="AM731" s="86">
        <f t="shared" si="74"/>
        <v>988656818</v>
      </c>
      <c r="AN731" s="63" t="s">
        <v>1155</v>
      </c>
      <c r="AO731" s="86">
        <f t="shared" si="75"/>
        <v>12021419</v>
      </c>
      <c r="AP731" s="63"/>
      <c r="AQ731" s="63"/>
      <c r="AR731" s="63"/>
      <c r="AS731" s="63"/>
      <c r="AT731" s="63"/>
      <c r="AU731" s="220"/>
      <c r="AV731" s="220"/>
      <c r="AW731" s="220"/>
    </row>
    <row r="732" spans="1:49" s="221" customFormat="1" ht="342" x14ac:dyDescent="0.25">
      <c r="A732" s="63">
        <v>318</v>
      </c>
      <c r="B732" s="63" t="str">
        <f t="shared" si="72"/>
        <v>3075-318</v>
      </c>
      <c r="C732" s="76" t="s">
        <v>1141</v>
      </c>
      <c r="D732" s="76" t="s">
        <v>1142</v>
      </c>
      <c r="E732" s="76" t="s">
        <v>1424</v>
      </c>
      <c r="F732" s="76" t="s">
        <v>1175</v>
      </c>
      <c r="G732" s="77" t="s">
        <v>1176</v>
      </c>
      <c r="H732" s="78" t="s">
        <v>1425</v>
      </c>
      <c r="I732" s="76" t="s">
        <v>1147</v>
      </c>
      <c r="J732" s="76" t="s">
        <v>1148</v>
      </c>
      <c r="K732" s="76" t="s">
        <v>439</v>
      </c>
      <c r="L732" s="63" t="s">
        <v>1149</v>
      </c>
      <c r="M732" s="63" t="s">
        <v>58</v>
      </c>
      <c r="N732" s="63" t="s">
        <v>59</v>
      </c>
      <c r="O732" s="76" t="s">
        <v>1213</v>
      </c>
      <c r="P732" s="63" t="s">
        <v>2085</v>
      </c>
      <c r="Q732" s="83">
        <v>54686940</v>
      </c>
      <c r="R732" s="98">
        <v>1</v>
      </c>
      <c r="S732" s="80">
        <v>54686940</v>
      </c>
      <c r="T732" s="63" t="s">
        <v>1171</v>
      </c>
      <c r="U732" s="63" t="s">
        <v>1171</v>
      </c>
      <c r="V732" s="81" t="s">
        <v>724</v>
      </c>
      <c r="W732" s="82" t="s">
        <v>439</v>
      </c>
      <c r="X732" s="99" t="s">
        <v>2086</v>
      </c>
      <c r="Y732" s="81">
        <v>43151</v>
      </c>
      <c r="Z732" s="83">
        <v>54686940</v>
      </c>
      <c r="AA732" s="84" t="s">
        <v>1742</v>
      </c>
      <c r="AB732" s="85">
        <v>656</v>
      </c>
      <c r="AC732" s="81">
        <v>43151</v>
      </c>
      <c r="AD732" s="86">
        <v>54686940</v>
      </c>
      <c r="AE732" s="87">
        <f t="shared" si="76"/>
        <v>0</v>
      </c>
      <c r="AF732" s="85">
        <v>1482</v>
      </c>
      <c r="AG732" s="81">
        <v>43160</v>
      </c>
      <c r="AH732" s="86">
        <v>54686940</v>
      </c>
      <c r="AI732" s="63" t="s">
        <v>2087</v>
      </c>
      <c r="AJ732" s="63">
        <v>1462</v>
      </c>
      <c r="AK732" s="87">
        <f t="shared" si="73"/>
        <v>0</v>
      </c>
      <c r="AL732" s="86">
        <v>54686940</v>
      </c>
      <c r="AM732" s="86">
        <f t="shared" si="74"/>
        <v>0</v>
      </c>
      <c r="AN732" s="63" t="s">
        <v>1155</v>
      </c>
      <c r="AO732" s="86">
        <f t="shared" si="75"/>
        <v>0</v>
      </c>
      <c r="AP732" s="63"/>
      <c r="AQ732" s="63"/>
      <c r="AR732" s="63"/>
      <c r="AS732" s="63"/>
      <c r="AT732" s="63"/>
      <c r="AU732" s="220"/>
      <c r="AV732" s="220"/>
      <c r="AW732" s="220"/>
    </row>
    <row r="733" spans="1:49" s="221" customFormat="1" ht="342" x14ac:dyDescent="0.25">
      <c r="A733" s="63">
        <v>319</v>
      </c>
      <c r="B733" s="63" t="str">
        <f t="shared" si="72"/>
        <v>3075-319</v>
      </c>
      <c r="C733" s="76" t="s">
        <v>1141</v>
      </c>
      <c r="D733" s="76" t="s">
        <v>1142</v>
      </c>
      <c r="E733" s="76" t="s">
        <v>1424</v>
      </c>
      <c r="F733" s="76" t="s">
        <v>1175</v>
      </c>
      <c r="G733" s="77" t="s">
        <v>1176</v>
      </c>
      <c r="H733" s="78" t="s">
        <v>1425</v>
      </c>
      <c r="I733" s="76" t="s">
        <v>1147</v>
      </c>
      <c r="J733" s="76" t="s">
        <v>1148</v>
      </c>
      <c r="K733" s="76" t="s">
        <v>439</v>
      </c>
      <c r="L733" s="63" t="s">
        <v>1149</v>
      </c>
      <c r="M733" s="63" t="s">
        <v>58</v>
      </c>
      <c r="N733" s="63" t="s">
        <v>59</v>
      </c>
      <c r="O733" s="76" t="s">
        <v>1213</v>
      </c>
      <c r="P733" s="63" t="s">
        <v>2088</v>
      </c>
      <c r="Q733" s="83">
        <v>54686940</v>
      </c>
      <c r="R733" s="98">
        <v>1</v>
      </c>
      <c r="S733" s="80">
        <v>54686940</v>
      </c>
      <c r="T733" s="63" t="s">
        <v>1171</v>
      </c>
      <c r="U733" s="63" t="s">
        <v>1171</v>
      </c>
      <c r="V733" s="81" t="s">
        <v>724</v>
      </c>
      <c r="W733" s="82" t="s">
        <v>439</v>
      </c>
      <c r="X733" s="99" t="s">
        <v>2089</v>
      </c>
      <c r="Y733" s="81">
        <v>43152</v>
      </c>
      <c r="Z733" s="83">
        <v>54686940</v>
      </c>
      <c r="AA733" s="84" t="s">
        <v>1742</v>
      </c>
      <c r="AB733" s="85">
        <v>658</v>
      </c>
      <c r="AC733" s="81">
        <v>43154</v>
      </c>
      <c r="AD733" s="86">
        <v>54686940</v>
      </c>
      <c r="AE733" s="87">
        <f t="shared" si="76"/>
        <v>0</v>
      </c>
      <c r="AF733" s="85">
        <v>1610</v>
      </c>
      <c r="AG733" s="81">
        <v>43180</v>
      </c>
      <c r="AH733" s="86">
        <v>54686940</v>
      </c>
      <c r="AI733" s="63" t="s">
        <v>2090</v>
      </c>
      <c r="AJ733" s="63">
        <v>1608</v>
      </c>
      <c r="AK733" s="87">
        <f t="shared" si="73"/>
        <v>0</v>
      </c>
      <c r="AL733" s="86">
        <v>54686940</v>
      </c>
      <c r="AM733" s="86">
        <f t="shared" si="74"/>
        <v>0</v>
      </c>
      <c r="AN733" s="63" t="s">
        <v>1155</v>
      </c>
      <c r="AO733" s="86">
        <f t="shared" si="75"/>
        <v>0</v>
      </c>
      <c r="AP733" s="63"/>
      <c r="AQ733" s="63"/>
      <c r="AR733" s="63"/>
      <c r="AS733" s="63"/>
      <c r="AT733" s="63"/>
      <c r="AU733" s="220"/>
      <c r="AV733" s="220"/>
      <c r="AW733" s="220"/>
    </row>
    <row r="734" spans="1:49" s="221" customFormat="1" ht="342" x14ac:dyDescent="0.25">
      <c r="A734" s="63">
        <v>320</v>
      </c>
      <c r="B734" s="63" t="str">
        <f t="shared" si="72"/>
        <v>3075-320</v>
      </c>
      <c r="C734" s="76" t="s">
        <v>1141</v>
      </c>
      <c r="D734" s="76" t="s">
        <v>1142</v>
      </c>
      <c r="E734" s="76" t="s">
        <v>1424</v>
      </c>
      <c r="F734" s="76" t="s">
        <v>1175</v>
      </c>
      <c r="G734" s="77" t="s">
        <v>1176</v>
      </c>
      <c r="H734" s="78" t="s">
        <v>1425</v>
      </c>
      <c r="I734" s="76" t="s">
        <v>1147</v>
      </c>
      <c r="J734" s="76" t="s">
        <v>1148</v>
      </c>
      <c r="K734" s="76" t="s">
        <v>439</v>
      </c>
      <c r="L734" s="63" t="s">
        <v>1149</v>
      </c>
      <c r="M734" s="63" t="s">
        <v>58</v>
      </c>
      <c r="N734" s="63" t="s">
        <v>59</v>
      </c>
      <c r="O734" s="76" t="s">
        <v>1213</v>
      </c>
      <c r="P734" s="63" t="s">
        <v>2091</v>
      </c>
      <c r="Q734" s="83">
        <v>54686940</v>
      </c>
      <c r="R734" s="98">
        <v>1</v>
      </c>
      <c r="S734" s="80">
        <v>54686940</v>
      </c>
      <c r="T734" s="63" t="s">
        <v>1171</v>
      </c>
      <c r="U734" s="63" t="s">
        <v>1171</v>
      </c>
      <c r="V734" s="81" t="s">
        <v>724</v>
      </c>
      <c r="W734" s="82" t="s">
        <v>439</v>
      </c>
      <c r="X734" s="99" t="s">
        <v>2092</v>
      </c>
      <c r="Y734" s="81">
        <v>43152</v>
      </c>
      <c r="Z734" s="83">
        <v>54686940</v>
      </c>
      <c r="AA734" s="84" t="s">
        <v>1742</v>
      </c>
      <c r="AB734" s="85">
        <v>660</v>
      </c>
      <c r="AC734" s="81">
        <v>43154</v>
      </c>
      <c r="AD734" s="86">
        <v>54686940</v>
      </c>
      <c r="AE734" s="87">
        <f t="shared" si="76"/>
        <v>0</v>
      </c>
      <c r="AF734" s="85">
        <v>1611</v>
      </c>
      <c r="AG734" s="81">
        <v>43180</v>
      </c>
      <c r="AH734" s="86">
        <v>54686940</v>
      </c>
      <c r="AI734" s="63" t="s">
        <v>2093</v>
      </c>
      <c r="AJ734" s="63">
        <v>1609</v>
      </c>
      <c r="AK734" s="87">
        <f t="shared" si="73"/>
        <v>0</v>
      </c>
      <c r="AL734" s="86">
        <v>54686940</v>
      </c>
      <c r="AM734" s="86">
        <f t="shared" si="74"/>
        <v>0</v>
      </c>
      <c r="AN734" s="63" t="s">
        <v>1155</v>
      </c>
      <c r="AO734" s="86">
        <f t="shared" si="75"/>
        <v>0</v>
      </c>
      <c r="AP734" s="63"/>
      <c r="AQ734" s="63"/>
      <c r="AR734" s="63"/>
      <c r="AS734" s="63"/>
      <c r="AT734" s="63"/>
      <c r="AU734" s="220"/>
      <c r="AV734" s="220"/>
      <c r="AW734" s="220"/>
    </row>
    <row r="735" spans="1:49" s="221" customFormat="1" ht="342" x14ac:dyDescent="0.25">
      <c r="A735" s="63">
        <v>321</v>
      </c>
      <c r="B735" s="63" t="str">
        <f t="shared" ref="B735:B798" si="77">CONCATENATE("3075","-",A735)</f>
        <v>3075-321</v>
      </c>
      <c r="C735" s="76" t="s">
        <v>1141</v>
      </c>
      <c r="D735" s="76" t="s">
        <v>1142</v>
      </c>
      <c r="E735" s="76" t="s">
        <v>1424</v>
      </c>
      <c r="F735" s="76" t="s">
        <v>1175</v>
      </c>
      <c r="G735" s="77" t="s">
        <v>1176</v>
      </c>
      <c r="H735" s="78" t="s">
        <v>1425</v>
      </c>
      <c r="I735" s="76" t="s">
        <v>1147</v>
      </c>
      <c r="J735" s="76" t="s">
        <v>1148</v>
      </c>
      <c r="K735" s="76" t="s">
        <v>439</v>
      </c>
      <c r="L735" s="63" t="s">
        <v>1149</v>
      </c>
      <c r="M735" s="63" t="s">
        <v>58</v>
      </c>
      <c r="N735" s="63" t="s">
        <v>59</v>
      </c>
      <c r="O735" s="76" t="s">
        <v>1213</v>
      </c>
      <c r="P735" s="63" t="s">
        <v>2094</v>
      </c>
      <c r="Q735" s="83">
        <v>54686940</v>
      </c>
      <c r="R735" s="98">
        <v>1</v>
      </c>
      <c r="S735" s="80">
        <v>54686940</v>
      </c>
      <c r="T735" s="63" t="s">
        <v>1171</v>
      </c>
      <c r="U735" s="63" t="s">
        <v>1171</v>
      </c>
      <c r="V735" s="81" t="s">
        <v>724</v>
      </c>
      <c r="W735" s="82" t="s">
        <v>439</v>
      </c>
      <c r="X735" s="99" t="s">
        <v>2095</v>
      </c>
      <c r="Y735" s="81">
        <v>43159</v>
      </c>
      <c r="Z735" s="83">
        <v>54686940</v>
      </c>
      <c r="AA735" s="84" t="s">
        <v>1742</v>
      </c>
      <c r="AB735" s="85">
        <v>668</v>
      </c>
      <c r="AC735" s="81">
        <v>43160</v>
      </c>
      <c r="AD735" s="86">
        <v>54686940</v>
      </c>
      <c r="AE735" s="87">
        <f t="shared" si="76"/>
        <v>0</v>
      </c>
      <c r="AF735" s="85">
        <v>1640</v>
      </c>
      <c r="AG735" s="81">
        <v>43182</v>
      </c>
      <c r="AH735" s="86">
        <v>54686940</v>
      </c>
      <c r="AI735" s="63" t="s">
        <v>2096</v>
      </c>
      <c r="AJ735" s="63">
        <v>1631</v>
      </c>
      <c r="AK735" s="87">
        <f t="shared" ref="AK735:AK798" si="78">AD735-AH735</f>
        <v>0</v>
      </c>
      <c r="AL735" s="86">
        <v>54686940</v>
      </c>
      <c r="AM735" s="86">
        <f t="shared" ref="AM735:AM798" si="79">AH735-AL735</f>
        <v>0</v>
      </c>
      <c r="AN735" s="63" t="s">
        <v>1155</v>
      </c>
      <c r="AO735" s="86">
        <f t="shared" ref="AO735:AO798" si="80">S735-AH735</f>
        <v>0</v>
      </c>
      <c r="AP735" s="63"/>
      <c r="AQ735" s="63"/>
      <c r="AR735" s="63"/>
      <c r="AS735" s="63"/>
      <c r="AT735" s="63"/>
      <c r="AU735" s="220"/>
      <c r="AV735" s="220"/>
      <c r="AW735" s="220"/>
    </row>
    <row r="736" spans="1:49" s="221" customFormat="1" ht="342" x14ac:dyDescent="0.25">
      <c r="A736" s="63">
        <v>322</v>
      </c>
      <c r="B736" s="63" t="str">
        <f t="shared" si="77"/>
        <v>3075-322</v>
      </c>
      <c r="C736" s="76" t="s">
        <v>1141</v>
      </c>
      <c r="D736" s="76" t="s">
        <v>1142</v>
      </c>
      <c r="E736" s="76" t="s">
        <v>1424</v>
      </c>
      <c r="F736" s="76" t="s">
        <v>1175</v>
      </c>
      <c r="G736" s="77" t="s">
        <v>1176</v>
      </c>
      <c r="H736" s="78" t="s">
        <v>1425</v>
      </c>
      <c r="I736" s="76" t="s">
        <v>1147</v>
      </c>
      <c r="J736" s="76" t="s">
        <v>1148</v>
      </c>
      <c r="K736" s="76" t="s">
        <v>439</v>
      </c>
      <c r="L736" s="63" t="s">
        <v>1149</v>
      </c>
      <c r="M736" s="63" t="s">
        <v>58</v>
      </c>
      <c r="N736" s="63" t="s">
        <v>59</v>
      </c>
      <c r="O736" s="76" t="s">
        <v>1213</v>
      </c>
      <c r="P736" s="63" t="s">
        <v>2097</v>
      </c>
      <c r="Q736" s="83">
        <v>54686940</v>
      </c>
      <c r="R736" s="98">
        <v>1</v>
      </c>
      <c r="S736" s="80">
        <v>54686940</v>
      </c>
      <c r="T736" s="63" t="s">
        <v>1171</v>
      </c>
      <c r="U736" s="63" t="s">
        <v>1171</v>
      </c>
      <c r="V736" s="81" t="s">
        <v>411</v>
      </c>
      <c r="W736" s="82" t="s">
        <v>439</v>
      </c>
      <c r="X736" s="99" t="s">
        <v>2098</v>
      </c>
      <c r="Y736" s="81">
        <v>43159</v>
      </c>
      <c r="Z736" s="83">
        <v>54686940</v>
      </c>
      <c r="AA736" s="84" t="s">
        <v>1742</v>
      </c>
      <c r="AB736" s="85">
        <v>666</v>
      </c>
      <c r="AC736" s="81">
        <v>43160</v>
      </c>
      <c r="AD736" s="86">
        <v>54686940</v>
      </c>
      <c r="AE736" s="87">
        <f t="shared" si="76"/>
        <v>0</v>
      </c>
      <c r="AF736" s="85">
        <v>1764</v>
      </c>
      <c r="AG736" s="81">
        <v>43201</v>
      </c>
      <c r="AH736" s="86">
        <v>54686940</v>
      </c>
      <c r="AI736" s="63" t="s">
        <v>2099</v>
      </c>
      <c r="AJ736" s="63">
        <v>1774</v>
      </c>
      <c r="AK736" s="87">
        <f t="shared" si="78"/>
        <v>0</v>
      </c>
      <c r="AL736" s="86">
        <v>54686940</v>
      </c>
      <c r="AM736" s="86">
        <f t="shared" si="79"/>
        <v>0</v>
      </c>
      <c r="AN736" s="63" t="s">
        <v>1155</v>
      </c>
      <c r="AO736" s="86">
        <f t="shared" si="80"/>
        <v>0</v>
      </c>
      <c r="AP736" s="63"/>
      <c r="AQ736" s="63"/>
      <c r="AR736" s="63"/>
      <c r="AS736" s="63"/>
      <c r="AT736" s="63"/>
      <c r="AU736" s="220"/>
      <c r="AV736" s="220"/>
      <c r="AW736" s="220"/>
    </row>
    <row r="737" spans="1:49" s="221" customFormat="1" ht="342" x14ac:dyDescent="0.25">
      <c r="A737" s="63">
        <v>323</v>
      </c>
      <c r="B737" s="63" t="str">
        <f t="shared" si="77"/>
        <v>3075-323</v>
      </c>
      <c r="C737" s="76" t="s">
        <v>1141</v>
      </c>
      <c r="D737" s="76" t="s">
        <v>1142</v>
      </c>
      <c r="E737" s="76" t="s">
        <v>1424</v>
      </c>
      <c r="F737" s="76" t="s">
        <v>1175</v>
      </c>
      <c r="G737" s="77" t="s">
        <v>1176</v>
      </c>
      <c r="H737" s="78" t="s">
        <v>1425</v>
      </c>
      <c r="I737" s="76" t="s">
        <v>1147</v>
      </c>
      <c r="J737" s="76" t="s">
        <v>1148</v>
      </c>
      <c r="K737" s="76" t="s">
        <v>439</v>
      </c>
      <c r="L737" s="63" t="s">
        <v>1149</v>
      </c>
      <c r="M737" s="63" t="s">
        <v>58</v>
      </c>
      <c r="N737" s="63" t="s">
        <v>59</v>
      </c>
      <c r="O737" s="76" t="s">
        <v>1213</v>
      </c>
      <c r="P737" s="63" t="s">
        <v>2100</v>
      </c>
      <c r="Q737" s="83">
        <v>54686940</v>
      </c>
      <c r="R737" s="98">
        <v>1</v>
      </c>
      <c r="S737" s="80">
        <v>54686940</v>
      </c>
      <c r="T737" s="63" t="s">
        <v>1171</v>
      </c>
      <c r="U737" s="63" t="s">
        <v>1171</v>
      </c>
      <c r="V737" s="81" t="s">
        <v>411</v>
      </c>
      <c r="W737" s="82" t="s">
        <v>439</v>
      </c>
      <c r="X737" s="99" t="s">
        <v>2101</v>
      </c>
      <c r="Y737" s="81">
        <v>43159</v>
      </c>
      <c r="Z737" s="83">
        <v>54686940</v>
      </c>
      <c r="AA737" s="84" t="s">
        <v>1742</v>
      </c>
      <c r="AB737" s="85">
        <v>670</v>
      </c>
      <c r="AC737" s="81">
        <v>43161</v>
      </c>
      <c r="AD737" s="86">
        <v>54686940</v>
      </c>
      <c r="AE737" s="87">
        <f t="shared" si="76"/>
        <v>0</v>
      </c>
      <c r="AF737" s="85">
        <v>1807</v>
      </c>
      <c r="AG737" s="81">
        <v>43207</v>
      </c>
      <c r="AH737" s="86">
        <v>54686940</v>
      </c>
      <c r="AI737" s="63" t="s">
        <v>2102</v>
      </c>
      <c r="AJ737" s="63">
        <v>1865</v>
      </c>
      <c r="AK737" s="87">
        <f t="shared" si="78"/>
        <v>0</v>
      </c>
      <c r="AL737" s="86">
        <v>54686940</v>
      </c>
      <c r="AM737" s="86">
        <f t="shared" si="79"/>
        <v>0</v>
      </c>
      <c r="AN737" s="63" t="s">
        <v>1155</v>
      </c>
      <c r="AO737" s="86">
        <f t="shared" si="80"/>
        <v>0</v>
      </c>
      <c r="AP737" s="63"/>
      <c r="AQ737" s="63"/>
      <c r="AR737" s="63"/>
      <c r="AS737" s="63"/>
      <c r="AT737" s="63"/>
      <c r="AU737" s="220"/>
      <c r="AV737" s="220"/>
      <c r="AW737" s="220"/>
    </row>
    <row r="738" spans="1:49" s="221" customFormat="1" ht="342" x14ac:dyDescent="0.25">
      <c r="A738" s="63">
        <v>324</v>
      </c>
      <c r="B738" s="63" t="str">
        <f t="shared" si="77"/>
        <v>3075-324</v>
      </c>
      <c r="C738" s="76" t="s">
        <v>1141</v>
      </c>
      <c r="D738" s="76" t="s">
        <v>1142</v>
      </c>
      <c r="E738" s="76" t="s">
        <v>1424</v>
      </c>
      <c r="F738" s="76" t="s">
        <v>1175</v>
      </c>
      <c r="G738" s="77" t="s">
        <v>1176</v>
      </c>
      <c r="H738" s="78" t="s">
        <v>1425</v>
      </c>
      <c r="I738" s="76" t="s">
        <v>1147</v>
      </c>
      <c r="J738" s="76" t="s">
        <v>1148</v>
      </c>
      <c r="K738" s="76" t="s">
        <v>439</v>
      </c>
      <c r="L738" s="63" t="s">
        <v>1149</v>
      </c>
      <c r="M738" s="63" t="s">
        <v>58</v>
      </c>
      <c r="N738" s="63" t="s">
        <v>59</v>
      </c>
      <c r="O738" s="76" t="s">
        <v>1213</v>
      </c>
      <c r="P738" s="63" t="s">
        <v>2103</v>
      </c>
      <c r="Q738" s="83">
        <v>54686940</v>
      </c>
      <c r="R738" s="98">
        <v>1</v>
      </c>
      <c r="S738" s="80">
        <v>54686940</v>
      </c>
      <c r="T738" s="63" t="s">
        <v>1171</v>
      </c>
      <c r="U738" s="63" t="s">
        <v>1171</v>
      </c>
      <c r="V738" s="81" t="s">
        <v>411</v>
      </c>
      <c r="W738" s="82" t="s">
        <v>439</v>
      </c>
      <c r="X738" s="99" t="s">
        <v>2104</v>
      </c>
      <c r="Y738" s="81">
        <v>43159</v>
      </c>
      <c r="Z738" s="83">
        <v>54686940</v>
      </c>
      <c r="AA738" s="84" t="s">
        <v>1742</v>
      </c>
      <c r="AB738" s="85">
        <v>667</v>
      </c>
      <c r="AC738" s="81">
        <v>43160</v>
      </c>
      <c r="AD738" s="86">
        <v>54686940</v>
      </c>
      <c r="AE738" s="87">
        <f t="shared" si="76"/>
        <v>0</v>
      </c>
      <c r="AF738" s="85">
        <v>1768</v>
      </c>
      <c r="AG738" s="81">
        <v>43201</v>
      </c>
      <c r="AH738" s="86">
        <v>54686940</v>
      </c>
      <c r="AI738" s="63" t="s">
        <v>2105</v>
      </c>
      <c r="AJ738" s="63">
        <v>1776</v>
      </c>
      <c r="AK738" s="87">
        <f t="shared" si="78"/>
        <v>0</v>
      </c>
      <c r="AL738" s="86">
        <v>54686940</v>
      </c>
      <c r="AM738" s="86">
        <f t="shared" si="79"/>
        <v>0</v>
      </c>
      <c r="AN738" s="63" t="s">
        <v>1155</v>
      </c>
      <c r="AO738" s="86">
        <f t="shared" si="80"/>
        <v>0</v>
      </c>
      <c r="AP738" s="63"/>
      <c r="AQ738" s="63"/>
      <c r="AR738" s="63"/>
      <c r="AS738" s="63"/>
      <c r="AT738" s="63"/>
      <c r="AU738" s="220"/>
      <c r="AV738" s="220"/>
      <c r="AW738" s="220"/>
    </row>
    <row r="739" spans="1:49" s="221" customFormat="1" ht="409.5" x14ac:dyDescent="0.25">
      <c r="A739" s="63">
        <v>325</v>
      </c>
      <c r="B739" s="63" t="str">
        <f t="shared" si="77"/>
        <v>3075-325</v>
      </c>
      <c r="C739" s="76" t="s">
        <v>1141</v>
      </c>
      <c r="D739" s="76" t="s">
        <v>1142</v>
      </c>
      <c r="E739" s="76" t="s">
        <v>1424</v>
      </c>
      <c r="F739" s="76" t="s">
        <v>1158</v>
      </c>
      <c r="G739" s="77" t="s">
        <v>1159</v>
      </c>
      <c r="H739" s="101" t="s">
        <v>1160</v>
      </c>
      <c r="I739" s="76" t="s">
        <v>1147</v>
      </c>
      <c r="J739" s="76" t="s">
        <v>1148</v>
      </c>
      <c r="K739" s="76">
        <v>801116</v>
      </c>
      <c r="L739" s="63" t="s">
        <v>1149</v>
      </c>
      <c r="M739" s="63" t="s">
        <v>58</v>
      </c>
      <c r="N739" s="63" t="s">
        <v>59</v>
      </c>
      <c r="O739" s="76" t="s">
        <v>1213</v>
      </c>
      <c r="P739" s="63" t="s">
        <v>2106</v>
      </c>
      <c r="Q739" s="83">
        <v>3450000</v>
      </c>
      <c r="R739" s="63">
        <v>1</v>
      </c>
      <c r="S739" s="80">
        <v>10350000</v>
      </c>
      <c r="T739" s="63" t="s">
        <v>888</v>
      </c>
      <c r="U739" s="63" t="s">
        <v>1163</v>
      </c>
      <c r="V739" s="81" t="s">
        <v>724</v>
      </c>
      <c r="W739" s="82">
        <v>3</v>
      </c>
      <c r="X739" s="63" t="s">
        <v>2107</v>
      </c>
      <c r="Y739" s="81">
        <v>43161</v>
      </c>
      <c r="Z739" s="83">
        <v>10350000</v>
      </c>
      <c r="AA739" s="84" t="s">
        <v>1676</v>
      </c>
      <c r="AB739" s="85">
        <v>676</v>
      </c>
      <c r="AC739" s="81">
        <v>43164</v>
      </c>
      <c r="AD739" s="86">
        <v>10350000</v>
      </c>
      <c r="AE739" s="86">
        <f t="shared" si="76"/>
        <v>0</v>
      </c>
      <c r="AF739" s="85">
        <v>1612</v>
      </c>
      <c r="AG739" s="81">
        <v>43181</v>
      </c>
      <c r="AH739" s="86">
        <v>10350000</v>
      </c>
      <c r="AI739" s="63" t="s">
        <v>2108</v>
      </c>
      <c r="AJ739" s="63">
        <v>561</v>
      </c>
      <c r="AK739" s="87">
        <f t="shared" si="78"/>
        <v>0</v>
      </c>
      <c r="AL739" s="86">
        <v>10350000</v>
      </c>
      <c r="AM739" s="86">
        <f t="shared" si="79"/>
        <v>0</v>
      </c>
      <c r="AN739" s="63" t="s">
        <v>1155</v>
      </c>
      <c r="AO739" s="86">
        <f t="shared" si="80"/>
        <v>0</v>
      </c>
      <c r="AP739" s="63"/>
      <c r="AQ739" s="81">
        <v>43160</v>
      </c>
      <c r="AR739" s="63" t="s">
        <v>2109</v>
      </c>
      <c r="AS739" s="81">
        <v>43161</v>
      </c>
      <c r="AT739" s="63" t="s">
        <v>1453</v>
      </c>
      <c r="AU739" s="220"/>
      <c r="AV739" s="220"/>
      <c r="AW739" s="220"/>
    </row>
    <row r="740" spans="1:49" s="221" customFormat="1" ht="199.5" x14ac:dyDescent="0.25">
      <c r="A740" s="63">
        <v>326</v>
      </c>
      <c r="B740" s="63" t="str">
        <f t="shared" si="77"/>
        <v>3075-326</v>
      </c>
      <c r="C740" s="76" t="s">
        <v>1141</v>
      </c>
      <c r="D740" s="76" t="s">
        <v>1142</v>
      </c>
      <c r="E740" s="76" t="s">
        <v>1174</v>
      </c>
      <c r="F740" s="76" t="s">
        <v>1175</v>
      </c>
      <c r="G740" s="77" t="s">
        <v>1176</v>
      </c>
      <c r="H740" s="78" t="s">
        <v>1177</v>
      </c>
      <c r="I740" s="76" t="s">
        <v>1147</v>
      </c>
      <c r="J740" s="76" t="s">
        <v>1178</v>
      </c>
      <c r="K740" s="76" t="s">
        <v>439</v>
      </c>
      <c r="L740" s="63" t="s">
        <v>1149</v>
      </c>
      <c r="M740" s="63" t="s">
        <v>58</v>
      </c>
      <c r="N740" s="63" t="s">
        <v>59</v>
      </c>
      <c r="O740" s="76" t="s">
        <v>1169</v>
      </c>
      <c r="P740" s="76" t="s">
        <v>2110</v>
      </c>
      <c r="Q740" s="79">
        <v>39062100</v>
      </c>
      <c r="R740" s="63">
        <v>1</v>
      </c>
      <c r="S740" s="80">
        <v>39062100</v>
      </c>
      <c r="T740" s="63" t="s">
        <v>1171</v>
      </c>
      <c r="U740" s="63" t="s">
        <v>1171</v>
      </c>
      <c r="V740" s="81" t="s">
        <v>724</v>
      </c>
      <c r="W740" s="82" t="s">
        <v>439</v>
      </c>
      <c r="X740" s="90" t="s">
        <v>2111</v>
      </c>
      <c r="Y740" s="81">
        <v>43161</v>
      </c>
      <c r="Z740" s="86">
        <v>39062100</v>
      </c>
      <c r="AA740" s="84" t="s">
        <v>2024</v>
      </c>
      <c r="AB740" s="85">
        <v>682</v>
      </c>
      <c r="AC740" s="81">
        <v>43164</v>
      </c>
      <c r="AD740" s="86">
        <v>39062100</v>
      </c>
      <c r="AE740" s="87">
        <f t="shared" si="76"/>
        <v>0</v>
      </c>
      <c r="AF740" s="85">
        <v>1661</v>
      </c>
      <c r="AG740" s="81">
        <v>43186</v>
      </c>
      <c r="AH740" s="86">
        <v>39062100</v>
      </c>
      <c r="AI740" s="63" t="s">
        <v>2112</v>
      </c>
      <c r="AJ740" s="63">
        <v>1627</v>
      </c>
      <c r="AK740" s="87">
        <f t="shared" si="78"/>
        <v>0</v>
      </c>
      <c r="AL740" s="86">
        <v>39062100</v>
      </c>
      <c r="AM740" s="86">
        <f t="shared" si="79"/>
        <v>0</v>
      </c>
      <c r="AN740" s="63" t="s">
        <v>1155</v>
      </c>
      <c r="AO740" s="86">
        <f t="shared" si="80"/>
        <v>0</v>
      </c>
      <c r="AP740" s="63"/>
      <c r="AQ740" s="81">
        <v>43160</v>
      </c>
      <c r="AR740" s="63" t="s">
        <v>2109</v>
      </c>
      <c r="AS740" s="81">
        <v>43161</v>
      </c>
      <c r="AT740" s="63" t="s">
        <v>2110</v>
      </c>
      <c r="AU740" s="220"/>
      <c r="AV740" s="220"/>
      <c r="AW740" s="220"/>
    </row>
    <row r="741" spans="1:49" s="221" customFormat="1" ht="256.5" x14ac:dyDescent="0.25">
      <c r="A741" s="63">
        <v>327</v>
      </c>
      <c r="B741" s="63" t="str">
        <f t="shared" si="77"/>
        <v>3075-327</v>
      </c>
      <c r="C741" s="76" t="s">
        <v>1141</v>
      </c>
      <c r="D741" s="76" t="s">
        <v>1142</v>
      </c>
      <c r="E741" s="76" t="s">
        <v>1174</v>
      </c>
      <c r="F741" s="76" t="s">
        <v>1175</v>
      </c>
      <c r="G741" s="77" t="s">
        <v>1176</v>
      </c>
      <c r="H741" s="78" t="s">
        <v>1177</v>
      </c>
      <c r="I741" s="76" t="s">
        <v>1147</v>
      </c>
      <c r="J741" s="76" t="s">
        <v>1178</v>
      </c>
      <c r="K741" s="76" t="s">
        <v>439</v>
      </c>
      <c r="L741" s="63" t="s">
        <v>1149</v>
      </c>
      <c r="M741" s="63" t="s">
        <v>58</v>
      </c>
      <c r="N741" s="63" t="s">
        <v>59</v>
      </c>
      <c r="O741" s="76" t="s">
        <v>1169</v>
      </c>
      <c r="P741" s="76" t="s">
        <v>2113</v>
      </c>
      <c r="Q741" s="79">
        <v>39062100</v>
      </c>
      <c r="R741" s="63">
        <v>1</v>
      </c>
      <c r="S741" s="80">
        <v>39062100</v>
      </c>
      <c r="T741" s="63" t="s">
        <v>1171</v>
      </c>
      <c r="U741" s="63" t="s">
        <v>1171</v>
      </c>
      <c r="V741" s="81" t="s">
        <v>411</v>
      </c>
      <c r="W741" s="82" t="s">
        <v>439</v>
      </c>
      <c r="X741" s="63" t="s">
        <v>2114</v>
      </c>
      <c r="Y741" s="81">
        <v>43161</v>
      </c>
      <c r="Z741" s="86">
        <v>39062100</v>
      </c>
      <c r="AA741" s="84" t="s">
        <v>2024</v>
      </c>
      <c r="AB741" s="85">
        <v>674</v>
      </c>
      <c r="AC741" s="81">
        <v>43164</v>
      </c>
      <c r="AD741" s="86">
        <v>39062100</v>
      </c>
      <c r="AE741" s="87">
        <f t="shared" si="76"/>
        <v>0</v>
      </c>
      <c r="AF741" s="85">
        <v>1718</v>
      </c>
      <c r="AG741" s="81">
        <v>43195</v>
      </c>
      <c r="AH741" s="86">
        <v>39062100</v>
      </c>
      <c r="AI741" s="63" t="s">
        <v>2115</v>
      </c>
      <c r="AJ741" s="63">
        <v>1690</v>
      </c>
      <c r="AK741" s="87">
        <f t="shared" si="78"/>
        <v>0</v>
      </c>
      <c r="AL741" s="86">
        <v>0</v>
      </c>
      <c r="AM741" s="86">
        <f t="shared" si="79"/>
        <v>39062100</v>
      </c>
      <c r="AN741" s="63" t="s">
        <v>1155</v>
      </c>
      <c r="AO741" s="86">
        <f t="shared" si="80"/>
        <v>0</v>
      </c>
      <c r="AP741" s="63"/>
      <c r="AQ741" s="81">
        <v>43160</v>
      </c>
      <c r="AR741" s="63" t="s">
        <v>2109</v>
      </c>
      <c r="AS741" s="81">
        <v>43161</v>
      </c>
      <c r="AT741" s="63" t="str">
        <f>P741</f>
        <v>VUR de la actual vigencia. Decreto 255 de 2013. LOCALIDAD: CIUDAD BOLIVAR; BARRIO: SAUCES HORTALIZAS (HORTALIZAS); ID:2012-19-14175</v>
      </c>
      <c r="AU741" s="220"/>
      <c r="AV741" s="220"/>
      <c r="AW741" s="220"/>
    </row>
    <row r="742" spans="1:49" s="221" customFormat="1" ht="399" x14ac:dyDescent="0.25">
      <c r="A742" s="63">
        <v>328</v>
      </c>
      <c r="B742" s="63" t="str">
        <f t="shared" si="77"/>
        <v>3075-328</v>
      </c>
      <c r="C742" s="76" t="s">
        <v>1141</v>
      </c>
      <c r="D742" s="76" t="s">
        <v>1142</v>
      </c>
      <c r="E742" s="76" t="s">
        <v>1174</v>
      </c>
      <c r="F742" s="76" t="s">
        <v>1175</v>
      </c>
      <c r="G742" s="77" t="s">
        <v>1176</v>
      </c>
      <c r="H742" s="78" t="s">
        <v>1177</v>
      </c>
      <c r="I742" s="76" t="s">
        <v>1147</v>
      </c>
      <c r="J742" s="76" t="s">
        <v>1178</v>
      </c>
      <c r="K742" s="76" t="s">
        <v>439</v>
      </c>
      <c r="L742" s="63" t="s">
        <v>1149</v>
      </c>
      <c r="M742" s="63" t="s">
        <v>58</v>
      </c>
      <c r="N742" s="63" t="s">
        <v>59</v>
      </c>
      <c r="O742" s="76" t="s">
        <v>1169</v>
      </c>
      <c r="P742" s="76" t="s">
        <v>2116</v>
      </c>
      <c r="Q742" s="79">
        <v>5100000</v>
      </c>
      <c r="R742" s="63">
        <v>1</v>
      </c>
      <c r="S742" s="80">
        <v>5100000</v>
      </c>
      <c r="T742" s="63" t="s">
        <v>1171</v>
      </c>
      <c r="U742" s="63" t="s">
        <v>1171</v>
      </c>
      <c r="V742" s="81" t="s">
        <v>1208</v>
      </c>
      <c r="W742" s="82" t="s">
        <v>439</v>
      </c>
      <c r="X742" s="90" t="s">
        <v>2117</v>
      </c>
      <c r="Y742" s="81">
        <v>43161</v>
      </c>
      <c r="Z742" s="83">
        <v>5100000</v>
      </c>
      <c r="AA742" s="84" t="s">
        <v>2024</v>
      </c>
      <c r="AB742" s="85">
        <v>765</v>
      </c>
      <c r="AC742" s="81">
        <v>43164</v>
      </c>
      <c r="AD742" s="86">
        <v>4672700</v>
      </c>
      <c r="AE742" s="87">
        <f t="shared" si="76"/>
        <v>0</v>
      </c>
      <c r="AF742" s="85">
        <v>2409</v>
      </c>
      <c r="AG742" s="81">
        <v>43280</v>
      </c>
      <c r="AH742" s="86">
        <v>4672700</v>
      </c>
      <c r="AI742" s="63" t="s">
        <v>2118</v>
      </c>
      <c r="AJ742" s="63">
        <v>2819</v>
      </c>
      <c r="AK742" s="87">
        <f t="shared" si="78"/>
        <v>0</v>
      </c>
      <c r="AL742" s="86">
        <v>4672700</v>
      </c>
      <c r="AM742" s="86">
        <f t="shared" si="79"/>
        <v>0</v>
      </c>
      <c r="AN742" s="63" t="s">
        <v>1155</v>
      </c>
      <c r="AO742" s="86">
        <f t="shared" si="80"/>
        <v>427300</v>
      </c>
      <c r="AP742" s="63"/>
      <c r="AQ742" s="81">
        <v>43160</v>
      </c>
      <c r="AR742" s="63" t="s">
        <v>2109</v>
      </c>
      <c r="AS742" s="81">
        <v>43161</v>
      </c>
      <c r="AT742" s="63" t="str">
        <f>P742</f>
        <v>Reajuste de VUR para completar el cierre financiero de la vivienda de reposición escogida por el beneficiario en el proyecto Torres de San Miguel. LOCALIDAD: CIUDAD BOLIVAR; BARRIO: MIRADOR DE LA ESTANCIA I; ID:2012-ALES-231</v>
      </c>
      <c r="AU742" s="220"/>
      <c r="AV742" s="220"/>
      <c r="AW742" s="220"/>
    </row>
    <row r="743" spans="1:49" s="221" customFormat="1" ht="342" x14ac:dyDescent="0.25">
      <c r="A743" s="63">
        <v>329</v>
      </c>
      <c r="B743" s="63" t="str">
        <f t="shared" si="77"/>
        <v>3075-329</v>
      </c>
      <c r="C743" s="76" t="s">
        <v>1141</v>
      </c>
      <c r="D743" s="76" t="s">
        <v>1142</v>
      </c>
      <c r="E743" s="76" t="s">
        <v>1424</v>
      </c>
      <c r="F743" s="76" t="s">
        <v>1175</v>
      </c>
      <c r="G743" s="77" t="s">
        <v>1176</v>
      </c>
      <c r="H743" s="78" t="s">
        <v>1425</v>
      </c>
      <c r="I743" s="76" t="s">
        <v>1147</v>
      </c>
      <c r="J743" s="76" t="s">
        <v>1148</v>
      </c>
      <c r="K743" s="76" t="s">
        <v>439</v>
      </c>
      <c r="L743" s="63" t="s">
        <v>1149</v>
      </c>
      <c r="M743" s="63" t="s">
        <v>58</v>
      </c>
      <c r="N743" s="63" t="s">
        <v>59</v>
      </c>
      <c r="O743" s="76" t="s">
        <v>1213</v>
      </c>
      <c r="P743" s="63" t="s">
        <v>2119</v>
      </c>
      <c r="Q743" s="83">
        <v>54686940</v>
      </c>
      <c r="R743" s="98">
        <v>1</v>
      </c>
      <c r="S743" s="80">
        <v>54686940</v>
      </c>
      <c r="T743" s="63" t="s">
        <v>1171</v>
      </c>
      <c r="U743" s="63" t="s">
        <v>1171</v>
      </c>
      <c r="V743" s="81" t="s">
        <v>1208</v>
      </c>
      <c r="W743" s="82" t="s">
        <v>439</v>
      </c>
      <c r="X743" s="63" t="s">
        <v>2120</v>
      </c>
      <c r="Y743" s="81">
        <v>43161</v>
      </c>
      <c r="Z743" s="83">
        <v>54686940</v>
      </c>
      <c r="AA743" s="84" t="s">
        <v>1742</v>
      </c>
      <c r="AB743" s="85">
        <v>675</v>
      </c>
      <c r="AC743" s="81">
        <v>43164</v>
      </c>
      <c r="AD743" s="86">
        <v>54686940</v>
      </c>
      <c r="AE743" s="87">
        <f t="shared" si="76"/>
        <v>0</v>
      </c>
      <c r="AF743" s="85">
        <v>2040</v>
      </c>
      <c r="AG743" s="81">
        <v>43271</v>
      </c>
      <c r="AH743" s="86">
        <v>54686940</v>
      </c>
      <c r="AI743" s="63" t="s">
        <v>2121</v>
      </c>
      <c r="AJ743" s="63">
        <v>2296</v>
      </c>
      <c r="AK743" s="87">
        <f t="shared" si="78"/>
        <v>0</v>
      </c>
      <c r="AL743" s="86">
        <v>54686940</v>
      </c>
      <c r="AM743" s="86">
        <f t="shared" si="79"/>
        <v>0</v>
      </c>
      <c r="AN743" s="63" t="s">
        <v>1155</v>
      </c>
      <c r="AO743" s="86">
        <f t="shared" si="80"/>
        <v>0</v>
      </c>
      <c r="AP743" s="63"/>
      <c r="AQ743" s="63"/>
      <c r="AR743" s="63"/>
      <c r="AS743" s="63"/>
      <c r="AT743" s="63"/>
      <c r="AU743" s="220"/>
      <c r="AV743" s="220"/>
      <c r="AW743" s="220"/>
    </row>
    <row r="744" spans="1:49" s="221" customFormat="1" ht="342" x14ac:dyDescent="0.25">
      <c r="A744" s="63">
        <v>330</v>
      </c>
      <c r="B744" s="63" t="str">
        <f t="shared" si="77"/>
        <v>3075-330</v>
      </c>
      <c r="C744" s="76" t="s">
        <v>1141</v>
      </c>
      <c r="D744" s="76" t="s">
        <v>1142</v>
      </c>
      <c r="E744" s="76" t="s">
        <v>1424</v>
      </c>
      <c r="F744" s="76" t="s">
        <v>1175</v>
      </c>
      <c r="G744" s="77" t="s">
        <v>1176</v>
      </c>
      <c r="H744" s="78" t="s">
        <v>1425</v>
      </c>
      <c r="I744" s="76" t="s">
        <v>1147</v>
      </c>
      <c r="J744" s="76" t="s">
        <v>1148</v>
      </c>
      <c r="K744" s="76" t="s">
        <v>439</v>
      </c>
      <c r="L744" s="63" t="s">
        <v>1149</v>
      </c>
      <c r="M744" s="63" t="s">
        <v>58</v>
      </c>
      <c r="N744" s="63" t="s">
        <v>59</v>
      </c>
      <c r="O744" s="76" t="s">
        <v>1213</v>
      </c>
      <c r="P744" s="63" t="s">
        <v>2122</v>
      </c>
      <c r="Q744" s="83">
        <v>54686940</v>
      </c>
      <c r="R744" s="98">
        <v>1</v>
      </c>
      <c r="S744" s="80">
        <v>54686940</v>
      </c>
      <c r="T744" s="63" t="s">
        <v>1171</v>
      </c>
      <c r="U744" s="63" t="s">
        <v>1171</v>
      </c>
      <c r="V744" s="81" t="s">
        <v>724</v>
      </c>
      <c r="W744" s="82" t="s">
        <v>439</v>
      </c>
      <c r="X744" s="90" t="s">
        <v>2123</v>
      </c>
      <c r="Y744" s="81">
        <v>43161</v>
      </c>
      <c r="Z744" s="83">
        <v>54686940</v>
      </c>
      <c r="AA744" s="84" t="s">
        <v>1742</v>
      </c>
      <c r="AB744" s="85">
        <v>678</v>
      </c>
      <c r="AC744" s="81">
        <v>43164</v>
      </c>
      <c r="AD744" s="86">
        <v>54686940</v>
      </c>
      <c r="AE744" s="87">
        <f t="shared" si="76"/>
        <v>0</v>
      </c>
      <c r="AF744" s="85">
        <v>1641</v>
      </c>
      <c r="AG744" s="81">
        <v>43182</v>
      </c>
      <c r="AH744" s="86">
        <v>54686940</v>
      </c>
      <c r="AI744" s="63" t="s">
        <v>2124</v>
      </c>
      <c r="AJ744" s="63">
        <v>1629</v>
      </c>
      <c r="AK744" s="87">
        <f t="shared" si="78"/>
        <v>0</v>
      </c>
      <c r="AL744" s="86">
        <v>54686940</v>
      </c>
      <c r="AM744" s="86">
        <f t="shared" si="79"/>
        <v>0</v>
      </c>
      <c r="AN744" s="63" t="s">
        <v>1155</v>
      </c>
      <c r="AO744" s="86">
        <f t="shared" si="80"/>
        <v>0</v>
      </c>
      <c r="AP744" s="63"/>
      <c r="AQ744" s="63"/>
      <c r="AR744" s="63"/>
      <c r="AS744" s="63"/>
      <c r="AT744" s="63"/>
      <c r="AU744" s="220"/>
      <c r="AV744" s="220"/>
      <c r="AW744" s="220"/>
    </row>
    <row r="745" spans="1:49" s="221" customFormat="1" ht="342" x14ac:dyDescent="0.25">
      <c r="A745" s="63">
        <v>331</v>
      </c>
      <c r="B745" s="63" t="str">
        <f t="shared" si="77"/>
        <v>3075-331</v>
      </c>
      <c r="C745" s="76" t="s">
        <v>1141</v>
      </c>
      <c r="D745" s="76" t="s">
        <v>1142</v>
      </c>
      <c r="E745" s="76" t="s">
        <v>1424</v>
      </c>
      <c r="F745" s="76" t="s">
        <v>1175</v>
      </c>
      <c r="G745" s="77" t="s">
        <v>1176</v>
      </c>
      <c r="H745" s="78" t="s">
        <v>1425</v>
      </c>
      <c r="I745" s="76" t="s">
        <v>1147</v>
      </c>
      <c r="J745" s="76" t="s">
        <v>1148</v>
      </c>
      <c r="K745" s="76" t="s">
        <v>439</v>
      </c>
      <c r="L745" s="63" t="s">
        <v>1149</v>
      </c>
      <c r="M745" s="63" t="s">
        <v>58</v>
      </c>
      <c r="N745" s="63" t="s">
        <v>59</v>
      </c>
      <c r="O745" s="76" t="s">
        <v>1213</v>
      </c>
      <c r="P745" s="63" t="s">
        <v>2125</v>
      </c>
      <c r="Q745" s="83">
        <v>54686940</v>
      </c>
      <c r="R745" s="98">
        <v>1</v>
      </c>
      <c r="S745" s="80">
        <v>54686940</v>
      </c>
      <c r="T745" s="63" t="s">
        <v>1171</v>
      </c>
      <c r="U745" s="63" t="s">
        <v>1171</v>
      </c>
      <c r="V745" s="81" t="s">
        <v>411</v>
      </c>
      <c r="W745" s="82" t="s">
        <v>439</v>
      </c>
      <c r="X745" s="63" t="s">
        <v>2126</v>
      </c>
      <c r="Y745" s="81">
        <v>43161</v>
      </c>
      <c r="Z745" s="83">
        <v>54686940</v>
      </c>
      <c r="AA745" s="84" t="s">
        <v>1742</v>
      </c>
      <c r="AB745" s="85">
        <v>679</v>
      </c>
      <c r="AC745" s="81">
        <v>43164</v>
      </c>
      <c r="AD745" s="86">
        <v>54686940</v>
      </c>
      <c r="AE745" s="87">
        <f t="shared" si="76"/>
        <v>0</v>
      </c>
      <c r="AF745" s="85">
        <v>1763</v>
      </c>
      <c r="AG745" s="81">
        <v>43201</v>
      </c>
      <c r="AH745" s="86">
        <v>54686940</v>
      </c>
      <c r="AI745" s="63" t="s">
        <v>2127</v>
      </c>
      <c r="AJ745" s="63">
        <v>1773</v>
      </c>
      <c r="AK745" s="87">
        <f t="shared" si="78"/>
        <v>0</v>
      </c>
      <c r="AL745" s="86">
        <v>54686940</v>
      </c>
      <c r="AM745" s="86">
        <f t="shared" si="79"/>
        <v>0</v>
      </c>
      <c r="AN745" s="63" t="s">
        <v>1155</v>
      </c>
      <c r="AO745" s="86">
        <f t="shared" si="80"/>
        <v>0</v>
      </c>
      <c r="AP745" s="63"/>
      <c r="AQ745" s="63"/>
      <c r="AR745" s="63"/>
      <c r="AS745" s="63"/>
      <c r="AT745" s="63"/>
      <c r="AU745" s="220"/>
      <c r="AV745" s="220"/>
      <c r="AW745" s="220"/>
    </row>
    <row r="746" spans="1:49" s="221" customFormat="1" ht="213.75" x14ac:dyDescent="0.25">
      <c r="A746" s="63">
        <v>332</v>
      </c>
      <c r="B746" s="63" t="str">
        <f t="shared" si="77"/>
        <v>3075-332</v>
      </c>
      <c r="C746" s="76" t="s">
        <v>1141</v>
      </c>
      <c r="D746" s="76" t="s">
        <v>1142</v>
      </c>
      <c r="E746" s="76" t="s">
        <v>1165</v>
      </c>
      <c r="F746" s="76" t="s">
        <v>1166</v>
      </c>
      <c r="G746" s="77" t="s">
        <v>1167</v>
      </c>
      <c r="H746" s="78" t="s">
        <v>1168</v>
      </c>
      <c r="I746" s="76" t="s">
        <v>1147</v>
      </c>
      <c r="J746" s="76" t="s">
        <v>1148</v>
      </c>
      <c r="K746" s="76" t="s">
        <v>439</v>
      </c>
      <c r="L746" s="63" t="s">
        <v>1149</v>
      </c>
      <c r="M746" s="63" t="s">
        <v>58</v>
      </c>
      <c r="N746" s="63" t="s">
        <v>59</v>
      </c>
      <c r="O746" s="76" t="s">
        <v>1169</v>
      </c>
      <c r="P746" s="63" t="s">
        <v>2128</v>
      </c>
      <c r="Q746" s="79">
        <v>240679600</v>
      </c>
      <c r="R746" s="63">
        <v>1</v>
      </c>
      <c r="S746" s="80">
        <f>300000000-65920800-52944200+12438274+47106326</f>
        <v>240679600</v>
      </c>
      <c r="T746" s="63" t="s">
        <v>1171</v>
      </c>
      <c r="U746" s="63" t="s">
        <v>1171</v>
      </c>
      <c r="V746" s="81" t="s">
        <v>1023</v>
      </c>
      <c r="W746" s="82" t="s">
        <v>439</v>
      </c>
      <c r="X746" s="90" t="s">
        <v>2129</v>
      </c>
      <c r="Y746" s="89">
        <v>43209</v>
      </c>
      <c r="Z746" s="83">
        <v>240679600</v>
      </c>
      <c r="AA746" s="84" t="s">
        <v>2130</v>
      </c>
      <c r="AB746" s="85">
        <v>803</v>
      </c>
      <c r="AC746" s="81">
        <v>43210</v>
      </c>
      <c r="AD746" s="86">
        <v>240679600</v>
      </c>
      <c r="AE746" s="87">
        <f t="shared" si="76"/>
        <v>0</v>
      </c>
      <c r="AF746" s="85">
        <v>1914</v>
      </c>
      <c r="AG746" s="81">
        <v>43237</v>
      </c>
      <c r="AH746" s="86">
        <v>240679600</v>
      </c>
      <c r="AI746" s="63" t="s">
        <v>2131</v>
      </c>
      <c r="AJ746" s="63">
        <v>2070</v>
      </c>
      <c r="AK746" s="87">
        <f t="shared" si="78"/>
        <v>0</v>
      </c>
      <c r="AL746" s="86">
        <v>72203880</v>
      </c>
      <c r="AM746" s="86">
        <f t="shared" si="79"/>
        <v>168475720</v>
      </c>
      <c r="AN746" s="63" t="s">
        <v>1155</v>
      </c>
      <c r="AO746" s="86">
        <f t="shared" si="80"/>
        <v>0</v>
      </c>
      <c r="AP746" s="63" t="s">
        <v>2132</v>
      </c>
      <c r="AQ746" s="81">
        <v>43209</v>
      </c>
      <c r="AR746" s="63" t="s">
        <v>1156</v>
      </c>
      <c r="AS746" s="81">
        <v>43209</v>
      </c>
      <c r="AT746" s="63" t="s">
        <v>2128</v>
      </c>
      <c r="AU746" s="220"/>
      <c r="AV746" s="220"/>
      <c r="AW746" s="220"/>
    </row>
    <row r="747" spans="1:49" s="221" customFormat="1" ht="142.5" x14ac:dyDescent="0.25">
      <c r="A747" s="63">
        <v>333</v>
      </c>
      <c r="B747" s="63" t="str">
        <f t="shared" si="77"/>
        <v>3075-333</v>
      </c>
      <c r="C747" s="76" t="s">
        <v>1141</v>
      </c>
      <c r="D747" s="76" t="s">
        <v>1142</v>
      </c>
      <c r="E747" s="76" t="s">
        <v>1165</v>
      </c>
      <c r="F747" s="76" t="s">
        <v>1166</v>
      </c>
      <c r="G747" s="77" t="s">
        <v>1167</v>
      </c>
      <c r="H747" s="78" t="s">
        <v>1168</v>
      </c>
      <c r="I747" s="76" t="s">
        <v>1147</v>
      </c>
      <c r="J747" s="76" t="s">
        <v>1148</v>
      </c>
      <c r="K747" s="76" t="s">
        <v>439</v>
      </c>
      <c r="L747" s="63" t="s">
        <v>1149</v>
      </c>
      <c r="M747" s="63" t="s">
        <v>58</v>
      </c>
      <c r="N747" s="63" t="s">
        <v>59</v>
      </c>
      <c r="O747" s="76" t="s">
        <v>1169</v>
      </c>
      <c r="P747" s="63" t="s">
        <v>2133</v>
      </c>
      <c r="Q747" s="79">
        <v>300000000</v>
      </c>
      <c r="R747" s="63">
        <v>1</v>
      </c>
      <c r="S747" s="80">
        <f>300000000-47106326-33401186-20501658-38051600-20351100-42139350-16512000-5680380</f>
        <v>76256400</v>
      </c>
      <c r="T747" s="63" t="s">
        <v>1171</v>
      </c>
      <c r="U747" s="63" t="s">
        <v>1171</v>
      </c>
      <c r="V747" s="81" t="s">
        <v>844</v>
      </c>
      <c r="W747" s="82" t="s">
        <v>439</v>
      </c>
      <c r="X747" s="90" t="s">
        <v>2134</v>
      </c>
      <c r="Y747" s="89">
        <v>43273</v>
      </c>
      <c r="Z747" s="83">
        <v>76256400</v>
      </c>
      <c r="AA747" s="84" t="s">
        <v>1782</v>
      </c>
      <c r="AB747" s="85">
        <v>913</v>
      </c>
      <c r="AC747" s="81">
        <v>43276</v>
      </c>
      <c r="AD747" s="86">
        <v>76256400</v>
      </c>
      <c r="AE747" s="87">
        <f t="shared" si="76"/>
        <v>0</v>
      </c>
      <c r="AF747" s="85">
        <v>2464</v>
      </c>
      <c r="AG747" s="81">
        <v>43292</v>
      </c>
      <c r="AH747" s="86">
        <v>76256400</v>
      </c>
      <c r="AI747" s="63" t="s">
        <v>2135</v>
      </c>
      <c r="AJ747" s="63">
        <v>2837</v>
      </c>
      <c r="AK747" s="87">
        <f t="shared" si="78"/>
        <v>0</v>
      </c>
      <c r="AL747" s="86">
        <v>22876920</v>
      </c>
      <c r="AM747" s="86">
        <f t="shared" si="79"/>
        <v>53379480</v>
      </c>
      <c r="AN747" s="63" t="s">
        <v>1155</v>
      </c>
      <c r="AO747" s="86">
        <f t="shared" si="80"/>
        <v>0</v>
      </c>
      <c r="AP747" s="63" t="s">
        <v>2132</v>
      </c>
      <c r="AQ747" s="81">
        <v>43272</v>
      </c>
      <c r="AR747" s="63" t="s">
        <v>1156</v>
      </c>
      <c r="AS747" s="81">
        <v>43273</v>
      </c>
      <c r="AT747" s="63"/>
      <c r="AU747" s="220"/>
      <c r="AV747" s="220"/>
      <c r="AW747" s="220"/>
    </row>
    <row r="748" spans="1:49" s="221" customFormat="1" ht="228" x14ac:dyDescent="0.25">
      <c r="A748" s="63">
        <v>334</v>
      </c>
      <c r="B748" s="63" t="str">
        <f t="shared" si="77"/>
        <v>3075-334</v>
      </c>
      <c r="C748" s="76" t="s">
        <v>1141</v>
      </c>
      <c r="D748" s="76" t="s">
        <v>1142</v>
      </c>
      <c r="E748" s="76" t="s">
        <v>1165</v>
      </c>
      <c r="F748" s="76" t="s">
        <v>1166</v>
      </c>
      <c r="G748" s="77" t="s">
        <v>1167</v>
      </c>
      <c r="H748" s="78" t="s">
        <v>1168</v>
      </c>
      <c r="I748" s="76" t="s">
        <v>1147</v>
      </c>
      <c r="J748" s="76" t="s">
        <v>1148</v>
      </c>
      <c r="K748" s="76" t="s">
        <v>439</v>
      </c>
      <c r="L748" s="63" t="s">
        <v>1149</v>
      </c>
      <c r="M748" s="63" t="s">
        <v>58</v>
      </c>
      <c r="N748" s="63" t="s">
        <v>59</v>
      </c>
      <c r="O748" s="76" t="s">
        <v>1169</v>
      </c>
      <c r="P748" s="63" t="s">
        <v>2136</v>
      </c>
      <c r="Q748" s="79">
        <v>300000000</v>
      </c>
      <c r="R748" s="63">
        <v>1</v>
      </c>
      <c r="S748" s="80">
        <f>300000000-12535620-10962000-45084240-65332300-34750800-23438800-32148000-23177496</f>
        <v>52570744</v>
      </c>
      <c r="T748" s="63"/>
      <c r="U748" s="63" t="s">
        <v>1171</v>
      </c>
      <c r="V748" s="81" t="s">
        <v>830</v>
      </c>
      <c r="W748" s="82" t="s">
        <v>439</v>
      </c>
      <c r="X748" s="90"/>
      <c r="Y748" s="89"/>
      <c r="Z748" s="83"/>
      <c r="AA748" s="84" t="s">
        <v>1782</v>
      </c>
      <c r="AB748" s="85"/>
      <c r="AC748" s="81"/>
      <c r="AD748" s="86"/>
      <c r="AE748" s="87">
        <f t="shared" si="76"/>
        <v>52570744</v>
      </c>
      <c r="AF748" s="85"/>
      <c r="AG748" s="81"/>
      <c r="AH748" s="86"/>
      <c r="AI748" s="63"/>
      <c r="AJ748" s="63"/>
      <c r="AK748" s="87">
        <f t="shared" si="78"/>
        <v>0</v>
      </c>
      <c r="AL748" s="86"/>
      <c r="AM748" s="86">
        <f t="shared" si="79"/>
        <v>0</v>
      </c>
      <c r="AN748" s="63" t="s">
        <v>1155</v>
      </c>
      <c r="AO748" s="86">
        <f t="shared" si="80"/>
        <v>52570744</v>
      </c>
      <c r="AP748" s="63" t="s">
        <v>2132</v>
      </c>
      <c r="AQ748" s="63"/>
      <c r="AR748" s="63" t="s">
        <v>2109</v>
      </c>
      <c r="AS748" s="63"/>
      <c r="AT748" s="63"/>
      <c r="AU748" s="220"/>
      <c r="AV748" s="220"/>
      <c r="AW748" s="220"/>
    </row>
    <row r="749" spans="1:49" s="221" customFormat="1" ht="228" x14ac:dyDescent="0.25">
      <c r="A749" s="63">
        <v>335</v>
      </c>
      <c r="B749" s="63" t="str">
        <f t="shared" si="77"/>
        <v>3075-335</v>
      </c>
      <c r="C749" s="76" t="s">
        <v>1141</v>
      </c>
      <c r="D749" s="76" t="s">
        <v>1142</v>
      </c>
      <c r="E749" s="76" t="s">
        <v>1165</v>
      </c>
      <c r="F749" s="76" t="s">
        <v>1166</v>
      </c>
      <c r="G749" s="77" t="s">
        <v>1167</v>
      </c>
      <c r="H749" s="78" t="s">
        <v>1168</v>
      </c>
      <c r="I749" s="76" t="s">
        <v>1147</v>
      </c>
      <c r="J749" s="76" t="s">
        <v>1148</v>
      </c>
      <c r="K749" s="76" t="s">
        <v>439</v>
      </c>
      <c r="L749" s="63" t="s">
        <v>1149</v>
      </c>
      <c r="M749" s="63" t="s">
        <v>58</v>
      </c>
      <c r="N749" s="63" t="s">
        <v>59</v>
      </c>
      <c r="O749" s="76" t="s">
        <v>1169</v>
      </c>
      <c r="P749" s="63" t="s">
        <v>2136</v>
      </c>
      <c r="Q749" s="79">
        <v>300000000</v>
      </c>
      <c r="R749" s="63">
        <v>1</v>
      </c>
      <c r="S749" s="80">
        <v>300000000</v>
      </c>
      <c r="T749" s="63"/>
      <c r="U749" s="63" t="s">
        <v>1171</v>
      </c>
      <c r="V749" s="81" t="s">
        <v>1164</v>
      </c>
      <c r="W749" s="82" t="s">
        <v>439</v>
      </c>
      <c r="X749" s="90"/>
      <c r="Y749" s="89"/>
      <c r="Z749" s="83"/>
      <c r="AA749" s="84" t="s">
        <v>1782</v>
      </c>
      <c r="AB749" s="85"/>
      <c r="AC749" s="81"/>
      <c r="AD749" s="86"/>
      <c r="AE749" s="87">
        <f t="shared" si="76"/>
        <v>300000000</v>
      </c>
      <c r="AF749" s="85"/>
      <c r="AG749" s="81"/>
      <c r="AH749" s="86"/>
      <c r="AI749" s="63"/>
      <c r="AJ749" s="63"/>
      <c r="AK749" s="87">
        <f t="shared" si="78"/>
        <v>0</v>
      </c>
      <c r="AL749" s="86"/>
      <c r="AM749" s="86">
        <f t="shared" si="79"/>
        <v>0</v>
      </c>
      <c r="AN749" s="63" t="s">
        <v>1155</v>
      </c>
      <c r="AO749" s="86">
        <f t="shared" si="80"/>
        <v>300000000</v>
      </c>
      <c r="AP749" s="63" t="s">
        <v>2132</v>
      </c>
      <c r="AQ749" s="63"/>
      <c r="AR749" s="63" t="s">
        <v>2109</v>
      </c>
      <c r="AS749" s="63"/>
      <c r="AT749" s="63"/>
      <c r="AU749" s="220"/>
      <c r="AV749" s="220"/>
      <c r="AW749" s="220"/>
    </row>
    <row r="750" spans="1:49" s="221" customFormat="1" ht="228" x14ac:dyDescent="0.25">
      <c r="A750" s="63">
        <v>336</v>
      </c>
      <c r="B750" s="63" t="str">
        <f t="shared" si="77"/>
        <v>3075-336</v>
      </c>
      <c r="C750" s="76" t="s">
        <v>1141</v>
      </c>
      <c r="D750" s="76" t="s">
        <v>1142</v>
      </c>
      <c r="E750" s="76" t="s">
        <v>1165</v>
      </c>
      <c r="F750" s="76" t="s">
        <v>1166</v>
      </c>
      <c r="G750" s="77" t="s">
        <v>1167</v>
      </c>
      <c r="H750" s="78" t="s">
        <v>1168</v>
      </c>
      <c r="I750" s="76" t="s">
        <v>1147</v>
      </c>
      <c r="J750" s="76" t="s">
        <v>1148</v>
      </c>
      <c r="K750" s="76" t="s">
        <v>439</v>
      </c>
      <c r="L750" s="63" t="s">
        <v>1149</v>
      </c>
      <c r="M750" s="63" t="s">
        <v>58</v>
      </c>
      <c r="N750" s="63" t="s">
        <v>59</v>
      </c>
      <c r="O750" s="76" t="s">
        <v>1169</v>
      </c>
      <c r="P750" s="63" t="s">
        <v>2136</v>
      </c>
      <c r="Q750" s="79">
        <v>300000000</v>
      </c>
      <c r="R750" s="63">
        <v>1</v>
      </c>
      <c r="S750" s="80">
        <v>300000000</v>
      </c>
      <c r="T750" s="63"/>
      <c r="U750" s="63" t="s">
        <v>1171</v>
      </c>
      <c r="V750" s="81" t="s">
        <v>830</v>
      </c>
      <c r="W750" s="82" t="s">
        <v>439</v>
      </c>
      <c r="X750" s="90"/>
      <c r="Y750" s="89"/>
      <c r="Z750" s="83"/>
      <c r="AA750" s="84" t="s">
        <v>1782</v>
      </c>
      <c r="AB750" s="85"/>
      <c r="AC750" s="81"/>
      <c r="AD750" s="86"/>
      <c r="AE750" s="87">
        <f t="shared" si="76"/>
        <v>300000000</v>
      </c>
      <c r="AF750" s="85"/>
      <c r="AG750" s="81"/>
      <c r="AH750" s="86"/>
      <c r="AI750" s="63"/>
      <c r="AJ750" s="63"/>
      <c r="AK750" s="87">
        <f t="shared" si="78"/>
        <v>0</v>
      </c>
      <c r="AL750" s="86"/>
      <c r="AM750" s="86">
        <f t="shared" si="79"/>
        <v>0</v>
      </c>
      <c r="AN750" s="63" t="s">
        <v>1155</v>
      </c>
      <c r="AO750" s="86">
        <f t="shared" si="80"/>
        <v>300000000</v>
      </c>
      <c r="AP750" s="63" t="s">
        <v>2132</v>
      </c>
      <c r="AQ750" s="63"/>
      <c r="AR750" s="63" t="s">
        <v>2109</v>
      </c>
      <c r="AS750" s="63"/>
      <c r="AT750" s="63"/>
      <c r="AU750" s="220"/>
      <c r="AV750" s="220"/>
      <c r="AW750" s="220"/>
    </row>
    <row r="751" spans="1:49" s="221" customFormat="1" ht="228" x14ac:dyDescent="0.25">
      <c r="A751" s="63">
        <v>337</v>
      </c>
      <c r="B751" s="63" t="str">
        <f t="shared" si="77"/>
        <v>3075-337</v>
      </c>
      <c r="C751" s="76" t="s">
        <v>1141</v>
      </c>
      <c r="D751" s="76" t="s">
        <v>1142</v>
      </c>
      <c r="E751" s="76" t="s">
        <v>1165</v>
      </c>
      <c r="F751" s="76" t="s">
        <v>1166</v>
      </c>
      <c r="G751" s="77" t="s">
        <v>1167</v>
      </c>
      <c r="H751" s="78" t="s">
        <v>1168</v>
      </c>
      <c r="I751" s="76" t="s">
        <v>1147</v>
      </c>
      <c r="J751" s="76" t="s">
        <v>1148</v>
      </c>
      <c r="K751" s="76" t="s">
        <v>439</v>
      </c>
      <c r="L751" s="63" t="s">
        <v>1149</v>
      </c>
      <c r="M751" s="63" t="s">
        <v>58</v>
      </c>
      <c r="N751" s="63" t="s">
        <v>59</v>
      </c>
      <c r="O751" s="76" t="s">
        <v>1169</v>
      </c>
      <c r="P751" s="63" t="s">
        <v>2136</v>
      </c>
      <c r="Q751" s="79">
        <v>300000000</v>
      </c>
      <c r="R751" s="63">
        <v>1</v>
      </c>
      <c r="S751" s="80">
        <f>262497800-21951600</f>
        <v>240546200</v>
      </c>
      <c r="T751" s="63"/>
      <c r="U751" s="63" t="s">
        <v>1171</v>
      </c>
      <c r="V751" s="81" t="s">
        <v>875</v>
      </c>
      <c r="W751" s="82" t="s">
        <v>439</v>
      </c>
      <c r="X751" s="90"/>
      <c r="Y751" s="89"/>
      <c r="Z751" s="83"/>
      <c r="AA751" s="84" t="s">
        <v>1782</v>
      </c>
      <c r="AB751" s="85"/>
      <c r="AC751" s="81"/>
      <c r="AD751" s="86"/>
      <c r="AE751" s="87">
        <f t="shared" si="76"/>
        <v>240546200</v>
      </c>
      <c r="AF751" s="85"/>
      <c r="AG751" s="81"/>
      <c r="AH751" s="86"/>
      <c r="AI751" s="63"/>
      <c r="AJ751" s="63"/>
      <c r="AK751" s="87">
        <f t="shared" si="78"/>
        <v>0</v>
      </c>
      <c r="AL751" s="86"/>
      <c r="AM751" s="86">
        <f t="shared" si="79"/>
        <v>0</v>
      </c>
      <c r="AN751" s="63" t="s">
        <v>1155</v>
      </c>
      <c r="AO751" s="86">
        <f t="shared" si="80"/>
        <v>240546200</v>
      </c>
      <c r="AP751" s="63" t="s">
        <v>2132</v>
      </c>
      <c r="AQ751" s="63"/>
      <c r="AR751" s="63" t="s">
        <v>2109</v>
      </c>
      <c r="AS751" s="63"/>
      <c r="AT751" s="63"/>
      <c r="AU751" s="220"/>
      <c r="AV751" s="220"/>
      <c r="AW751" s="220"/>
    </row>
    <row r="752" spans="1:49" s="221" customFormat="1" ht="156.75" x14ac:dyDescent="0.25">
      <c r="A752" s="63">
        <v>338</v>
      </c>
      <c r="B752" s="63" t="str">
        <f t="shared" si="77"/>
        <v>3075-338</v>
      </c>
      <c r="C752" s="76" t="s">
        <v>1141</v>
      </c>
      <c r="D752" s="76" t="s">
        <v>1142</v>
      </c>
      <c r="E752" s="76" t="s">
        <v>1174</v>
      </c>
      <c r="F752" s="76" t="s">
        <v>1175</v>
      </c>
      <c r="G752" s="77" t="s">
        <v>1176</v>
      </c>
      <c r="H752" s="78" t="s">
        <v>1177</v>
      </c>
      <c r="I752" s="76" t="s">
        <v>1147</v>
      </c>
      <c r="J752" s="76" t="s">
        <v>1178</v>
      </c>
      <c r="K752" s="76" t="s">
        <v>439</v>
      </c>
      <c r="L752" s="63" t="s">
        <v>1149</v>
      </c>
      <c r="M752" s="63" t="s">
        <v>58</v>
      </c>
      <c r="N752" s="63" t="s">
        <v>59</v>
      </c>
      <c r="O752" s="76" t="s">
        <v>1169</v>
      </c>
      <c r="P752" s="76" t="s">
        <v>2137</v>
      </c>
      <c r="Q752" s="79">
        <v>252845918</v>
      </c>
      <c r="R752" s="63">
        <v>1</v>
      </c>
      <c r="S752" s="80">
        <f>325056000-39062100-54686940-39062100-39062100-69536400</f>
        <v>83646360</v>
      </c>
      <c r="T752" s="63"/>
      <c r="U752" s="63" t="s">
        <v>1171</v>
      </c>
      <c r="V752" s="81" t="s">
        <v>875</v>
      </c>
      <c r="W752" s="82" t="s">
        <v>439</v>
      </c>
      <c r="X752" s="90"/>
      <c r="Y752" s="89"/>
      <c r="Z752" s="83"/>
      <c r="AA752" s="84" t="s">
        <v>2024</v>
      </c>
      <c r="AB752" s="85"/>
      <c r="AC752" s="81"/>
      <c r="AD752" s="86"/>
      <c r="AE752" s="87">
        <f t="shared" si="76"/>
        <v>83646360</v>
      </c>
      <c r="AF752" s="85"/>
      <c r="AG752" s="81"/>
      <c r="AH752" s="86"/>
      <c r="AI752" s="63"/>
      <c r="AJ752" s="63"/>
      <c r="AK752" s="87">
        <f t="shared" si="78"/>
        <v>0</v>
      </c>
      <c r="AL752" s="86"/>
      <c r="AM752" s="86">
        <f t="shared" si="79"/>
        <v>0</v>
      </c>
      <c r="AN752" s="63" t="s">
        <v>1155</v>
      </c>
      <c r="AO752" s="86">
        <f t="shared" si="80"/>
        <v>83646360</v>
      </c>
      <c r="AP752" s="63" t="s">
        <v>2132</v>
      </c>
      <c r="AQ752" s="63"/>
      <c r="AR752" s="63" t="s">
        <v>2109</v>
      </c>
      <c r="AS752" s="63"/>
      <c r="AT752" s="63"/>
      <c r="AU752" s="220"/>
      <c r="AV752" s="220"/>
      <c r="AW752" s="220"/>
    </row>
    <row r="753" spans="1:49" s="221" customFormat="1" ht="256.5" x14ac:dyDescent="0.25">
      <c r="A753" s="63">
        <v>339</v>
      </c>
      <c r="B753" s="63" t="str">
        <f t="shared" si="77"/>
        <v>3075-339</v>
      </c>
      <c r="C753" s="76" t="s">
        <v>1141</v>
      </c>
      <c r="D753" s="76" t="s">
        <v>1142</v>
      </c>
      <c r="E753" s="76" t="s">
        <v>1174</v>
      </c>
      <c r="F753" s="76" t="s">
        <v>1175</v>
      </c>
      <c r="G753" s="77" t="s">
        <v>1176</v>
      </c>
      <c r="H753" s="78" t="s">
        <v>1177</v>
      </c>
      <c r="I753" s="76" t="s">
        <v>1147</v>
      </c>
      <c r="J753" s="76" t="s">
        <v>1182</v>
      </c>
      <c r="K753" s="76" t="s">
        <v>439</v>
      </c>
      <c r="L753" s="63" t="s">
        <v>1149</v>
      </c>
      <c r="M753" s="63" t="s">
        <v>58</v>
      </c>
      <c r="N753" s="63" t="s">
        <v>59</v>
      </c>
      <c r="O753" s="76" t="s">
        <v>1169</v>
      </c>
      <c r="P753" s="76" t="s">
        <v>2138</v>
      </c>
      <c r="Q753" s="79">
        <v>0</v>
      </c>
      <c r="R753" s="63">
        <v>1</v>
      </c>
      <c r="S753" s="80">
        <f>322658000-7106185-69667715-39062100-62779330-39062100-34911092-31007378</f>
        <v>39062100</v>
      </c>
      <c r="T753" s="63" t="s">
        <v>1171</v>
      </c>
      <c r="U753" s="63" t="s">
        <v>1171</v>
      </c>
      <c r="V753" s="81" t="s">
        <v>1208</v>
      </c>
      <c r="W753" s="82" t="s">
        <v>439</v>
      </c>
      <c r="X753" s="63" t="s">
        <v>2139</v>
      </c>
      <c r="Y753" s="89">
        <v>43224</v>
      </c>
      <c r="Z753" s="83">
        <v>39062100</v>
      </c>
      <c r="AA753" s="84" t="s">
        <v>2140</v>
      </c>
      <c r="AB753" s="85">
        <v>818</v>
      </c>
      <c r="AC753" s="81">
        <v>43227</v>
      </c>
      <c r="AD753" s="86">
        <v>39062100</v>
      </c>
      <c r="AE753" s="87">
        <f t="shared" si="76"/>
        <v>0</v>
      </c>
      <c r="AF753" s="85">
        <v>2399</v>
      </c>
      <c r="AG753" s="81">
        <v>43280</v>
      </c>
      <c r="AH753" s="86">
        <v>39062100</v>
      </c>
      <c r="AI753" s="63" t="s">
        <v>2141</v>
      </c>
      <c r="AJ753" s="63">
        <v>2771</v>
      </c>
      <c r="AK753" s="87">
        <f t="shared" si="78"/>
        <v>0</v>
      </c>
      <c r="AL753" s="86">
        <v>0</v>
      </c>
      <c r="AM753" s="86">
        <f t="shared" si="79"/>
        <v>39062100</v>
      </c>
      <c r="AN753" s="63" t="s">
        <v>1155</v>
      </c>
      <c r="AO753" s="86">
        <f t="shared" si="80"/>
        <v>0</v>
      </c>
      <c r="AP753" s="63" t="s">
        <v>2132</v>
      </c>
      <c r="AQ753" s="81">
        <v>43224</v>
      </c>
      <c r="AR753" s="63" t="s">
        <v>1156</v>
      </c>
      <c r="AS753" s="81">
        <v>43224</v>
      </c>
      <c r="AT753" s="63"/>
      <c r="AU753" s="220"/>
      <c r="AV753" s="220"/>
      <c r="AW753" s="220"/>
    </row>
    <row r="754" spans="1:49" s="221" customFormat="1" ht="370.5" x14ac:dyDescent="0.25">
      <c r="A754" s="63">
        <v>340</v>
      </c>
      <c r="B754" s="63" t="str">
        <f t="shared" si="77"/>
        <v>3075-340</v>
      </c>
      <c r="C754" s="76" t="s">
        <v>1141</v>
      </c>
      <c r="D754" s="76" t="s">
        <v>1142</v>
      </c>
      <c r="E754" s="76" t="s">
        <v>1174</v>
      </c>
      <c r="F754" s="76" t="s">
        <v>1175</v>
      </c>
      <c r="G754" s="77" t="s">
        <v>1176</v>
      </c>
      <c r="H754" s="78" t="s">
        <v>1177</v>
      </c>
      <c r="I754" s="76" t="s">
        <v>1147</v>
      </c>
      <c r="J754" s="76" t="s">
        <v>1182</v>
      </c>
      <c r="K754" s="76" t="s">
        <v>439</v>
      </c>
      <c r="L754" s="63" t="s">
        <v>1149</v>
      </c>
      <c r="M754" s="63" t="s">
        <v>58</v>
      </c>
      <c r="N754" s="63" t="s">
        <v>59</v>
      </c>
      <c r="O754" s="76" t="s">
        <v>1169</v>
      </c>
      <c r="P754" s="76" t="s">
        <v>2142</v>
      </c>
      <c r="Q754" s="86">
        <v>39062100</v>
      </c>
      <c r="R754" s="63">
        <v>1</v>
      </c>
      <c r="S754" s="80">
        <f>161329000-8054722-39062100-39062100-36087978</f>
        <v>39062100</v>
      </c>
      <c r="T754" s="63" t="s">
        <v>1171</v>
      </c>
      <c r="U754" s="63" t="s">
        <v>1171</v>
      </c>
      <c r="V754" s="81" t="s">
        <v>1208</v>
      </c>
      <c r="W754" s="82" t="s">
        <v>439</v>
      </c>
      <c r="X754" s="63" t="s">
        <v>2143</v>
      </c>
      <c r="Y754" s="89">
        <v>43237</v>
      </c>
      <c r="Z754" s="83">
        <v>39062100</v>
      </c>
      <c r="AA754" s="84" t="s">
        <v>2140</v>
      </c>
      <c r="AB754" s="85">
        <v>837</v>
      </c>
      <c r="AC754" s="81">
        <v>43238</v>
      </c>
      <c r="AD754" s="86">
        <v>39062100</v>
      </c>
      <c r="AE754" s="87">
        <f t="shared" si="76"/>
        <v>0</v>
      </c>
      <c r="AF754" s="85">
        <v>2034</v>
      </c>
      <c r="AG754" s="81">
        <v>43270</v>
      </c>
      <c r="AH754" s="86">
        <v>39062100</v>
      </c>
      <c r="AI754" s="63" t="s">
        <v>2144</v>
      </c>
      <c r="AJ754" s="63">
        <v>2237</v>
      </c>
      <c r="AK754" s="87">
        <f t="shared" si="78"/>
        <v>0</v>
      </c>
      <c r="AL754" s="86">
        <v>0</v>
      </c>
      <c r="AM754" s="86">
        <f t="shared" si="79"/>
        <v>39062100</v>
      </c>
      <c r="AN754" s="63" t="s">
        <v>1155</v>
      </c>
      <c r="AO754" s="86">
        <f t="shared" si="80"/>
        <v>0</v>
      </c>
      <c r="AP754" s="63" t="s">
        <v>2132</v>
      </c>
      <c r="AQ754" s="81">
        <v>43237</v>
      </c>
      <c r="AR754" s="63" t="s">
        <v>1156</v>
      </c>
      <c r="AS754" s="81">
        <v>43237</v>
      </c>
      <c r="AT754" s="63" t="s">
        <v>2142</v>
      </c>
      <c r="AU754" s="220"/>
      <c r="AV754" s="220"/>
      <c r="AW754" s="220"/>
    </row>
    <row r="755" spans="1:49" s="221" customFormat="1" ht="156.75" x14ac:dyDescent="0.25">
      <c r="A755" s="63">
        <v>341</v>
      </c>
      <c r="B755" s="63" t="str">
        <f t="shared" si="77"/>
        <v>3075-341</v>
      </c>
      <c r="C755" s="76" t="s">
        <v>1141</v>
      </c>
      <c r="D755" s="76" t="s">
        <v>1142</v>
      </c>
      <c r="E755" s="76" t="s">
        <v>1174</v>
      </c>
      <c r="F755" s="76" t="s">
        <v>1175</v>
      </c>
      <c r="G755" s="77" t="s">
        <v>1176</v>
      </c>
      <c r="H755" s="78" t="s">
        <v>1177</v>
      </c>
      <c r="I755" s="76" t="s">
        <v>1147</v>
      </c>
      <c r="J755" s="76" t="s">
        <v>1182</v>
      </c>
      <c r="K755" s="76" t="s">
        <v>439</v>
      </c>
      <c r="L755" s="63" t="s">
        <v>1149</v>
      </c>
      <c r="M755" s="63" t="s">
        <v>58</v>
      </c>
      <c r="N755" s="63" t="s">
        <v>59</v>
      </c>
      <c r="O755" s="76" t="s">
        <v>1169</v>
      </c>
      <c r="P755" s="76" t="s">
        <v>2137</v>
      </c>
      <c r="Q755" s="79">
        <v>5944796000</v>
      </c>
      <c r="R755" s="63">
        <v>1</v>
      </c>
      <c r="S755" s="80">
        <f>5944796000-2974122-(39062100*4)</f>
        <v>5785573478</v>
      </c>
      <c r="T755" s="63"/>
      <c r="U755" s="63" t="s">
        <v>1171</v>
      </c>
      <c r="V755" s="81" t="s">
        <v>2145</v>
      </c>
      <c r="W755" s="82" t="s">
        <v>439</v>
      </c>
      <c r="X755" s="63"/>
      <c r="Y755" s="89"/>
      <c r="Z755" s="83"/>
      <c r="AA755" s="84" t="s">
        <v>2140</v>
      </c>
      <c r="AB755" s="85"/>
      <c r="AC755" s="81"/>
      <c r="AD755" s="86"/>
      <c r="AE755" s="87">
        <f t="shared" si="76"/>
        <v>5785573478</v>
      </c>
      <c r="AF755" s="85"/>
      <c r="AG755" s="81"/>
      <c r="AH755" s="86"/>
      <c r="AI755" s="63"/>
      <c r="AJ755" s="63"/>
      <c r="AK755" s="87">
        <f t="shared" si="78"/>
        <v>0</v>
      </c>
      <c r="AL755" s="86"/>
      <c r="AM755" s="86">
        <f t="shared" si="79"/>
        <v>0</v>
      </c>
      <c r="AN755" s="63" t="s">
        <v>1155</v>
      </c>
      <c r="AO755" s="86">
        <f t="shared" si="80"/>
        <v>5785573478</v>
      </c>
      <c r="AP755" s="63" t="s">
        <v>2132</v>
      </c>
      <c r="AQ755" s="63"/>
      <c r="AR755" s="63" t="s">
        <v>2109</v>
      </c>
      <c r="AS755" s="63"/>
      <c r="AT755" s="63"/>
      <c r="AU755" s="220"/>
      <c r="AV755" s="220"/>
      <c r="AW755" s="220"/>
    </row>
    <row r="756" spans="1:49" s="221" customFormat="1" ht="409.5" x14ac:dyDescent="0.25">
      <c r="A756" s="63">
        <v>342</v>
      </c>
      <c r="B756" s="63" t="str">
        <f t="shared" si="77"/>
        <v>3075-342</v>
      </c>
      <c r="C756" s="76" t="s">
        <v>1141</v>
      </c>
      <c r="D756" s="76" t="s">
        <v>1142</v>
      </c>
      <c r="E756" s="76" t="s">
        <v>1174</v>
      </c>
      <c r="F756" s="76" t="s">
        <v>1175</v>
      </c>
      <c r="G756" s="77" t="s">
        <v>1176</v>
      </c>
      <c r="H756" s="78" t="s">
        <v>1177</v>
      </c>
      <c r="I756" s="76" t="s">
        <v>1147</v>
      </c>
      <c r="J756" s="76" t="s">
        <v>1148</v>
      </c>
      <c r="K756" s="76" t="s">
        <v>439</v>
      </c>
      <c r="L756" s="63" t="s">
        <v>1149</v>
      </c>
      <c r="M756" s="63" t="s">
        <v>58</v>
      </c>
      <c r="N756" s="63" t="s">
        <v>59</v>
      </c>
      <c r="O756" s="76" t="s">
        <v>1169</v>
      </c>
      <c r="P756" s="76" t="s">
        <v>2146</v>
      </c>
      <c r="Q756" s="79">
        <v>39062100</v>
      </c>
      <c r="R756" s="63">
        <v>1</v>
      </c>
      <c r="S756" s="80">
        <f>161329000-54686940-54686940-12893020</f>
        <v>39062100</v>
      </c>
      <c r="T756" s="63" t="s">
        <v>1171</v>
      </c>
      <c r="U756" s="63" t="s">
        <v>1171</v>
      </c>
      <c r="V756" s="81" t="s">
        <v>1208</v>
      </c>
      <c r="W756" s="82" t="s">
        <v>439</v>
      </c>
      <c r="X756" s="63" t="s">
        <v>2147</v>
      </c>
      <c r="Y756" s="81">
        <v>43269</v>
      </c>
      <c r="Z756" s="83">
        <v>39062100</v>
      </c>
      <c r="AA756" s="84" t="s">
        <v>1786</v>
      </c>
      <c r="AB756" s="85">
        <v>905</v>
      </c>
      <c r="AC756" s="81">
        <v>43270</v>
      </c>
      <c r="AD756" s="86">
        <v>39062100</v>
      </c>
      <c r="AE756" s="87">
        <f t="shared" si="76"/>
        <v>0</v>
      </c>
      <c r="AF756" s="85">
        <v>2413</v>
      </c>
      <c r="AG756" s="81">
        <v>43280</v>
      </c>
      <c r="AH756" s="86">
        <v>39062100</v>
      </c>
      <c r="AI756" s="63" t="s">
        <v>2148</v>
      </c>
      <c r="AJ756" s="63">
        <v>2804</v>
      </c>
      <c r="AK756" s="87">
        <f t="shared" si="78"/>
        <v>0</v>
      </c>
      <c r="AL756" s="86">
        <v>0</v>
      </c>
      <c r="AM756" s="86">
        <f t="shared" si="79"/>
        <v>39062100</v>
      </c>
      <c r="AN756" s="63" t="s">
        <v>1155</v>
      </c>
      <c r="AO756" s="86">
        <f t="shared" si="80"/>
        <v>0</v>
      </c>
      <c r="AP756" s="63" t="s">
        <v>2132</v>
      </c>
      <c r="AQ756" s="81">
        <v>43269</v>
      </c>
      <c r="AR756" s="63" t="s">
        <v>2109</v>
      </c>
      <c r="AS756" s="81">
        <v>43269</v>
      </c>
      <c r="AT756" s="63" t="s">
        <v>2149</v>
      </c>
      <c r="AU756" s="220"/>
      <c r="AV756" s="220"/>
      <c r="AW756" s="220"/>
    </row>
    <row r="757" spans="1:49" s="221" customFormat="1" ht="256.5" x14ac:dyDescent="0.25">
      <c r="A757" s="63">
        <v>343</v>
      </c>
      <c r="B757" s="63" t="str">
        <f t="shared" si="77"/>
        <v>3075-343</v>
      </c>
      <c r="C757" s="76" t="s">
        <v>1141</v>
      </c>
      <c r="D757" s="76" t="s">
        <v>1142</v>
      </c>
      <c r="E757" s="76" t="s">
        <v>1174</v>
      </c>
      <c r="F757" s="76" t="s">
        <v>1175</v>
      </c>
      <c r="G757" s="77" t="s">
        <v>1176</v>
      </c>
      <c r="H757" s="78" t="s">
        <v>1177</v>
      </c>
      <c r="I757" s="76" t="s">
        <v>1147</v>
      </c>
      <c r="J757" s="76" t="s">
        <v>1148</v>
      </c>
      <c r="K757" s="76" t="s">
        <v>439</v>
      </c>
      <c r="L757" s="63" t="s">
        <v>1149</v>
      </c>
      <c r="M757" s="63" t="s">
        <v>58</v>
      </c>
      <c r="N757" s="63" t="s">
        <v>59</v>
      </c>
      <c r="O757" s="76" t="s">
        <v>1169</v>
      </c>
      <c r="P757" s="76" t="s">
        <v>2150</v>
      </c>
      <c r="Q757" s="83">
        <f>161329000-54686940</f>
        <v>106642060</v>
      </c>
      <c r="R757" s="63">
        <v>1</v>
      </c>
      <c r="S757" s="80">
        <f>161329000-54686940-17971536+942246-34657385</f>
        <v>54955385</v>
      </c>
      <c r="T757" s="63" t="s">
        <v>1171</v>
      </c>
      <c r="U757" s="63" t="s">
        <v>1171</v>
      </c>
      <c r="V757" s="81" t="s">
        <v>844</v>
      </c>
      <c r="W757" s="82" t="s">
        <v>439</v>
      </c>
      <c r="X757" s="63" t="s">
        <v>2151</v>
      </c>
      <c r="Y757" s="81">
        <v>43273</v>
      </c>
      <c r="Z757" s="83">
        <v>54955385</v>
      </c>
      <c r="AA757" s="84" t="s">
        <v>1786</v>
      </c>
      <c r="AB757" s="85">
        <v>912</v>
      </c>
      <c r="AC757" s="81">
        <v>43276</v>
      </c>
      <c r="AD757" s="86">
        <v>54955385</v>
      </c>
      <c r="AE757" s="87">
        <f t="shared" si="76"/>
        <v>0</v>
      </c>
      <c r="AF757" s="85">
        <v>2477</v>
      </c>
      <c r="AG757" s="81">
        <v>43292</v>
      </c>
      <c r="AH757" s="86">
        <v>54955385</v>
      </c>
      <c r="AI757" s="63" t="s">
        <v>2152</v>
      </c>
      <c r="AJ757" s="63">
        <v>2838</v>
      </c>
      <c r="AK757" s="87">
        <f t="shared" si="78"/>
        <v>0</v>
      </c>
      <c r="AL757" s="86">
        <v>54955385</v>
      </c>
      <c r="AM757" s="86">
        <f t="shared" si="79"/>
        <v>0</v>
      </c>
      <c r="AN757" s="63" t="s">
        <v>1155</v>
      </c>
      <c r="AO757" s="86">
        <f t="shared" si="80"/>
        <v>0</v>
      </c>
      <c r="AP757" s="63" t="s">
        <v>2132</v>
      </c>
      <c r="AQ757" s="63" t="s">
        <v>2153</v>
      </c>
      <c r="AR757" s="63" t="s">
        <v>2109</v>
      </c>
      <c r="AS757" s="63" t="s">
        <v>2154</v>
      </c>
      <c r="AT757" s="63" t="s">
        <v>2150</v>
      </c>
      <c r="AU757" s="220"/>
      <c r="AV757" s="220"/>
      <c r="AW757" s="220"/>
    </row>
    <row r="758" spans="1:49" s="221" customFormat="1" ht="370.5" x14ac:dyDescent="0.25">
      <c r="A758" s="63">
        <v>344</v>
      </c>
      <c r="B758" s="63" t="str">
        <f t="shared" si="77"/>
        <v>3075-344</v>
      </c>
      <c r="C758" s="76" t="s">
        <v>1141</v>
      </c>
      <c r="D758" s="76" t="s">
        <v>1142</v>
      </c>
      <c r="E758" s="76" t="s">
        <v>1174</v>
      </c>
      <c r="F758" s="76" t="s">
        <v>1175</v>
      </c>
      <c r="G758" s="77" t="s">
        <v>1176</v>
      </c>
      <c r="H758" s="78" t="s">
        <v>1177</v>
      </c>
      <c r="I758" s="76" t="s">
        <v>1147</v>
      </c>
      <c r="J758" s="76" t="s">
        <v>1148</v>
      </c>
      <c r="K758" s="76" t="s">
        <v>439</v>
      </c>
      <c r="L758" s="63" t="s">
        <v>1149</v>
      </c>
      <c r="M758" s="63" t="s">
        <v>58</v>
      </c>
      <c r="N758" s="63" t="s">
        <v>59</v>
      </c>
      <c r="O758" s="76" t="s">
        <v>1169</v>
      </c>
      <c r="P758" s="76" t="s">
        <v>2155</v>
      </c>
      <c r="Q758" s="79">
        <v>39062100</v>
      </c>
      <c r="R758" s="63">
        <v>1</v>
      </c>
      <c r="S758" s="80">
        <f>161329000-4404715-(39062100*3)-675885</f>
        <v>39062100</v>
      </c>
      <c r="T758" s="63" t="s">
        <v>1171</v>
      </c>
      <c r="U758" s="63" t="s">
        <v>1171</v>
      </c>
      <c r="V758" s="81" t="s">
        <v>1208</v>
      </c>
      <c r="W758" s="82" t="s">
        <v>439</v>
      </c>
      <c r="X758" s="63" t="s">
        <v>2156</v>
      </c>
      <c r="Y758" s="81">
        <v>43276</v>
      </c>
      <c r="Z758" s="83">
        <v>39062100</v>
      </c>
      <c r="AA758" s="84" t="s">
        <v>1786</v>
      </c>
      <c r="AB758" s="85">
        <v>918</v>
      </c>
      <c r="AC758" s="81">
        <v>43277</v>
      </c>
      <c r="AD758" s="86">
        <v>39062100</v>
      </c>
      <c r="AE758" s="87">
        <f t="shared" si="76"/>
        <v>0</v>
      </c>
      <c r="AF758" s="85">
        <v>2407</v>
      </c>
      <c r="AG758" s="81">
        <v>43280</v>
      </c>
      <c r="AH758" s="86">
        <v>39062100</v>
      </c>
      <c r="AI758" s="63" t="s">
        <v>2157</v>
      </c>
      <c r="AJ758" s="63">
        <v>2827</v>
      </c>
      <c r="AK758" s="87">
        <f t="shared" si="78"/>
        <v>0</v>
      </c>
      <c r="AL758" s="86">
        <v>0</v>
      </c>
      <c r="AM758" s="86">
        <f t="shared" si="79"/>
        <v>39062100</v>
      </c>
      <c r="AN758" s="63" t="s">
        <v>1155</v>
      </c>
      <c r="AO758" s="86">
        <f t="shared" si="80"/>
        <v>0</v>
      </c>
      <c r="AP758" s="63" t="s">
        <v>2132</v>
      </c>
      <c r="AQ758" s="81">
        <v>43276</v>
      </c>
      <c r="AR758" s="63" t="s">
        <v>1156</v>
      </c>
      <c r="AS758" s="81">
        <v>43276</v>
      </c>
      <c r="AT758" s="76" t="s">
        <v>2155</v>
      </c>
      <c r="AU758" s="220"/>
      <c r="AV758" s="220"/>
      <c r="AW758" s="220"/>
    </row>
    <row r="759" spans="1:49" s="221" customFormat="1" ht="256.5" x14ac:dyDescent="0.25">
      <c r="A759" s="63">
        <v>345</v>
      </c>
      <c r="B759" s="63" t="str">
        <f t="shared" si="77"/>
        <v>3075-345</v>
      </c>
      <c r="C759" s="76" t="s">
        <v>1141</v>
      </c>
      <c r="D759" s="76" t="s">
        <v>1142</v>
      </c>
      <c r="E759" s="76" t="s">
        <v>1174</v>
      </c>
      <c r="F759" s="76" t="s">
        <v>1175</v>
      </c>
      <c r="G759" s="77" t="s">
        <v>1176</v>
      </c>
      <c r="H759" s="78" t="s">
        <v>1177</v>
      </c>
      <c r="I759" s="76" t="s">
        <v>1147</v>
      </c>
      <c r="J759" s="76" t="s">
        <v>1148</v>
      </c>
      <c r="K759" s="76" t="s">
        <v>439</v>
      </c>
      <c r="L759" s="63" t="s">
        <v>1149</v>
      </c>
      <c r="M759" s="63" t="s">
        <v>58</v>
      </c>
      <c r="N759" s="63" t="s">
        <v>59</v>
      </c>
      <c r="O759" s="76" t="s">
        <v>1169</v>
      </c>
      <c r="P759" s="76" t="s">
        <v>2158</v>
      </c>
      <c r="Q759" s="79">
        <v>39062100</v>
      </c>
      <c r="R759" s="63">
        <v>1</v>
      </c>
      <c r="S759" s="80">
        <f>161329000-38386215-39062100-39062100-13850160+8093675</f>
        <v>39062100</v>
      </c>
      <c r="T759" s="63" t="s">
        <v>1171</v>
      </c>
      <c r="U759" s="63" t="s">
        <v>1171</v>
      </c>
      <c r="V759" s="81" t="s">
        <v>875</v>
      </c>
      <c r="W759" s="82" t="s">
        <v>439</v>
      </c>
      <c r="X759" s="63" t="s">
        <v>2159</v>
      </c>
      <c r="Y759" s="81">
        <v>43313</v>
      </c>
      <c r="Z759" s="83">
        <v>39062100</v>
      </c>
      <c r="AA759" s="84" t="s">
        <v>1786</v>
      </c>
      <c r="AB759" s="85">
        <v>1027</v>
      </c>
      <c r="AC759" s="81">
        <v>43315</v>
      </c>
      <c r="AD759" s="86">
        <v>39062100</v>
      </c>
      <c r="AE759" s="87">
        <f t="shared" si="76"/>
        <v>0</v>
      </c>
      <c r="AF759" s="85">
        <v>2880</v>
      </c>
      <c r="AG759" s="81">
        <v>43360</v>
      </c>
      <c r="AH759" s="86">
        <v>39062100</v>
      </c>
      <c r="AI759" s="63" t="s">
        <v>2160</v>
      </c>
      <c r="AJ759" s="63">
        <v>3344</v>
      </c>
      <c r="AK759" s="87">
        <f t="shared" si="78"/>
        <v>0</v>
      </c>
      <c r="AL759" s="86">
        <v>0</v>
      </c>
      <c r="AM759" s="86">
        <f t="shared" si="79"/>
        <v>39062100</v>
      </c>
      <c r="AN759" s="63" t="s">
        <v>1155</v>
      </c>
      <c r="AO759" s="86">
        <f t="shared" si="80"/>
        <v>0</v>
      </c>
      <c r="AP759" s="63" t="s">
        <v>2132</v>
      </c>
      <c r="AQ759" s="81">
        <v>43313</v>
      </c>
      <c r="AR759" s="63" t="s">
        <v>1156</v>
      </c>
      <c r="AS759" s="81">
        <v>43313</v>
      </c>
      <c r="AT759" s="63"/>
      <c r="AU759" s="220"/>
      <c r="AV759" s="220"/>
      <c r="AW759" s="220"/>
    </row>
    <row r="760" spans="1:49" s="221" customFormat="1" ht="156.75" x14ac:dyDescent="0.25">
      <c r="A760" s="63">
        <v>346</v>
      </c>
      <c r="B760" s="63" t="str">
        <f t="shared" si="77"/>
        <v>3075-346</v>
      </c>
      <c r="C760" s="76" t="s">
        <v>1141</v>
      </c>
      <c r="D760" s="76" t="s">
        <v>1142</v>
      </c>
      <c r="E760" s="76" t="s">
        <v>1174</v>
      </c>
      <c r="F760" s="76" t="s">
        <v>1175</v>
      </c>
      <c r="G760" s="77" t="s">
        <v>1176</v>
      </c>
      <c r="H760" s="78" t="s">
        <v>1177</v>
      </c>
      <c r="I760" s="76" t="s">
        <v>1147</v>
      </c>
      <c r="J760" s="76" t="s">
        <v>1148</v>
      </c>
      <c r="K760" s="76" t="s">
        <v>439</v>
      </c>
      <c r="L760" s="63" t="s">
        <v>1149</v>
      </c>
      <c r="M760" s="63" t="s">
        <v>58</v>
      </c>
      <c r="N760" s="63" t="s">
        <v>59</v>
      </c>
      <c r="O760" s="76" t="s">
        <v>1169</v>
      </c>
      <c r="P760" s="76" t="s">
        <v>2137</v>
      </c>
      <c r="Q760" s="79">
        <v>161329000</v>
      </c>
      <c r="R760" s="63">
        <v>1</v>
      </c>
      <c r="S760" s="80">
        <f>161329000-8093675-39062100-39062100</f>
        <v>75111125</v>
      </c>
      <c r="T760" s="63"/>
      <c r="U760" s="63" t="s">
        <v>1171</v>
      </c>
      <c r="V760" s="81" t="s">
        <v>1164</v>
      </c>
      <c r="W760" s="82" t="s">
        <v>439</v>
      </c>
      <c r="X760" s="63"/>
      <c r="Y760" s="81"/>
      <c r="Z760" s="83"/>
      <c r="AA760" s="84" t="s">
        <v>1786</v>
      </c>
      <c r="AB760" s="85"/>
      <c r="AC760" s="81"/>
      <c r="AD760" s="86"/>
      <c r="AE760" s="87">
        <f t="shared" si="76"/>
        <v>75111125</v>
      </c>
      <c r="AF760" s="85"/>
      <c r="AG760" s="81"/>
      <c r="AH760" s="86"/>
      <c r="AI760" s="63"/>
      <c r="AJ760" s="63"/>
      <c r="AK760" s="87">
        <f t="shared" si="78"/>
        <v>0</v>
      </c>
      <c r="AL760" s="86"/>
      <c r="AM760" s="86">
        <f t="shared" si="79"/>
        <v>0</v>
      </c>
      <c r="AN760" s="63" t="s">
        <v>1155</v>
      </c>
      <c r="AO760" s="86">
        <f t="shared" si="80"/>
        <v>75111125</v>
      </c>
      <c r="AP760" s="63" t="s">
        <v>2132</v>
      </c>
      <c r="AQ760" s="63"/>
      <c r="AR760" s="63" t="s">
        <v>2109</v>
      </c>
      <c r="AS760" s="63"/>
      <c r="AT760" s="63"/>
      <c r="AU760" s="220"/>
      <c r="AV760" s="220"/>
      <c r="AW760" s="220"/>
    </row>
    <row r="761" spans="1:49" s="221" customFormat="1" ht="171" x14ac:dyDescent="0.25">
      <c r="A761" s="63">
        <v>347</v>
      </c>
      <c r="B761" s="63" t="str">
        <f t="shared" si="77"/>
        <v>3075-347</v>
      </c>
      <c r="C761" s="76" t="s">
        <v>1141</v>
      </c>
      <c r="D761" s="76" t="s">
        <v>1142</v>
      </c>
      <c r="E761" s="76" t="s">
        <v>1174</v>
      </c>
      <c r="F761" s="76" t="s">
        <v>1175</v>
      </c>
      <c r="G761" s="77" t="s">
        <v>1176</v>
      </c>
      <c r="H761" s="78" t="s">
        <v>1177</v>
      </c>
      <c r="I761" s="76" t="s">
        <v>1147</v>
      </c>
      <c r="J761" s="76" t="s">
        <v>1148</v>
      </c>
      <c r="K761" s="76" t="s">
        <v>439</v>
      </c>
      <c r="L761" s="63" t="s">
        <v>1149</v>
      </c>
      <c r="M761" s="63" t="s">
        <v>58</v>
      </c>
      <c r="N761" s="63" t="s">
        <v>59</v>
      </c>
      <c r="O761" s="76" t="s">
        <v>1169</v>
      </c>
      <c r="P761" s="76" t="s">
        <v>2137</v>
      </c>
      <c r="Q761" s="79">
        <v>3218849944</v>
      </c>
      <c r="R761" s="63">
        <v>1</v>
      </c>
      <c r="S761" s="80">
        <f>2064849944-27192000-27192000-27192000-27192000-24720000-9270000-21321000-24720000-24720000-24720000-24720000-24720000-20394000-27192000-21321000-20394000-24720000-24720000-24720000-9270000-(14832000+21321000+20394000+27192000+27192000+24720000+30220200+27192000+20394000+20394000+5738800)</f>
        <v>1364849944</v>
      </c>
      <c r="T761" s="63"/>
      <c r="U761" s="63" t="s">
        <v>1171</v>
      </c>
      <c r="V761" s="81" t="s">
        <v>2145</v>
      </c>
      <c r="W761" s="82" t="s">
        <v>439</v>
      </c>
      <c r="X761" s="63"/>
      <c r="Y761" s="81"/>
      <c r="Z761" s="83"/>
      <c r="AA761" s="84" t="s">
        <v>1786</v>
      </c>
      <c r="AB761" s="85"/>
      <c r="AC761" s="81"/>
      <c r="AD761" s="86"/>
      <c r="AE761" s="87">
        <f t="shared" si="76"/>
        <v>1364849944</v>
      </c>
      <c r="AF761" s="85"/>
      <c r="AG761" s="81"/>
      <c r="AH761" s="86"/>
      <c r="AI761" s="63"/>
      <c r="AJ761" s="63"/>
      <c r="AK761" s="87">
        <f t="shared" si="78"/>
        <v>0</v>
      </c>
      <c r="AL761" s="86"/>
      <c r="AM761" s="86">
        <f t="shared" si="79"/>
        <v>0</v>
      </c>
      <c r="AN761" s="63" t="s">
        <v>1155</v>
      </c>
      <c r="AO761" s="86">
        <f t="shared" si="80"/>
        <v>1364849944</v>
      </c>
      <c r="AP761" s="63" t="s">
        <v>2161</v>
      </c>
      <c r="AQ761" s="63"/>
      <c r="AR761" s="63" t="s">
        <v>2109</v>
      </c>
      <c r="AS761" s="63"/>
      <c r="AT761" s="63"/>
      <c r="AU761" s="220"/>
      <c r="AV761" s="220"/>
      <c r="AW761" s="220"/>
    </row>
    <row r="762" spans="1:49" s="221" customFormat="1" ht="171" x14ac:dyDescent="0.25">
      <c r="A762" s="63">
        <v>348</v>
      </c>
      <c r="B762" s="63" t="str">
        <f t="shared" si="77"/>
        <v>3075-348</v>
      </c>
      <c r="C762" s="76" t="s">
        <v>1141</v>
      </c>
      <c r="D762" s="76" t="s">
        <v>1142</v>
      </c>
      <c r="E762" s="76" t="s">
        <v>1174</v>
      </c>
      <c r="F762" s="76" t="s">
        <v>1175</v>
      </c>
      <c r="G762" s="77" t="s">
        <v>1176</v>
      </c>
      <c r="H762" s="78" t="s">
        <v>1177</v>
      </c>
      <c r="I762" s="76" t="s">
        <v>1191</v>
      </c>
      <c r="J762" s="76" t="s">
        <v>1192</v>
      </c>
      <c r="K762" s="76" t="s">
        <v>439</v>
      </c>
      <c r="L762" s="63" t="s">
        <v>1149</v>
      </c>
      <c r="M762" s="63" t="s">
        <v>58</v>
      </c>
      <c r="N762" s="63" t="s">
        <v>59</v>
      </c>
      <c r="O762" s="76" t="s">
        <v>1169</v>
      </c>
      <c r="P762" s="76" t="s">
        <v>2162</v>
      </c>
      <c r="Q762" s="79">
        <v>161329000</v>
      </c>
      <c r="R762" s="63">
        <v>1</v>
      </c>
      <c r="S762" s="80">
        <f>161329000-33981500-39062100+80260426</f>
        <v>168545826</v>
      </c>
      <c r="T762" s="63" t="s">
        <v>1171</v>
      </c>
      <c r="U762" s="63" t="s">
        <v>1171</v>
      </c>
      <c r="V762" s="81" t="s">
        <v>844</v>
      </c>
      <c r="W762" s="82" t="s">
        <v>439</v>
      </c>
      <c r="X762" s="90" t="s">
        <v>2163</v>
      </c>
      <c r="Y762" s="81">
        <v>43273</v>
      </c>
      <c r="Z762" s="83">
        <v>168545826</v>
      </c>
      <c r="AA762" s="84" t="s">
        <v>2164</v>
      </c>
      <c r="AB762" s="85">
        <v>916</v>
      </c>
      <c r="AC762" s="81">
        <v>43277</v>
      </c>
      <c r="AD762" s="86">
        <v>168545826</v>
      </c>
      <c r="AE762" s="87">
        <f t="shared" si="76"/>
        <v>0</v>
      </c>
      <c r="AF762" s="85">
        <v>2463</v>
      </c>
      <c r="AG762" s="81">
        <v>43292</v>
      </c>
      <c r="AH762" s="86">
        <v>168545826</v>
      </c>
      <c r="AI762" s="63" t="s">
        <v>2165</v>
      </c>
      <c r="AJ762" s="63">
        <v>2835</v>
      </c>
      <c r="AK762" s="87">
        <f t="shared" si="78"/>
        <v>0</v>
      </c>
      <c r="AL762" s="86">
        <v>168545826</v>
      </c>
      <c r="AM762" s="86">
        <f t="shared" si="79"/>
        <v>0</v>
      </c>
      <c r="AN762" s="63" t="s">
        <v>1155</v>
      </c>
      <c r="AO762" s="86">
        <f t="shared" si="80"/>
        <v>0</v>
      </c>
      <c r="AP762" s="63" t="s">
        <v>2132</v>
      </c>
      <c r="AQ762" s="81">
        <v>43272</v>
      </c>
      <c r="AR762" s="63" t="s">
        <v>1156</v>
      </c>
      <c r="AS762" s="81">
        <v>43273</v>
      </c>
      <c r="AT762" s="63"/>
      <c r="AU762" s="220"/>
      <c r="AV762" s="220"/>
      <c r="AW762" s="220"/>
    </row>
    <row r="763" spans="1:49" s="221" customFormat="1" ht="256.5" x14ac:dyDescent="0.25">
      <c r="A763" s="63">
        <v>349</v>
      </c>
      <c r="B763" s="63" t="str">
        <f t="shared" si="77"/>
        <v>3075-349</v>
      </c>
      <c r="C763" s="76" t="s">
        <v>1141</v>
      </c>
      <c r="D763" s="76" t="s">
        <v>1142</v>
      </c>
      <c r="E763" s="76" t="s">
        <v>1174</v>
      </c>
      <c r="F763" s="76" t="s">
        <v>1175</v>
      </c>
      <c r="G763" s="77" t="s">
        <v>1176</v>
      </c>
      <c r="H763" s="78" t="s">
        <v>1177</v>
      </c>
      <c r="I763" s="76" t="s">
        <v>1191</v>
      </c>
      <c r="J763" s="76" t="s">
        <v>1192</v>
      </c>
      <c r="K763" s="76" t="s">
        <v>439</v>
      </c>
      <c r="L763" s="63" t="s">
        <v>1149</v>
      </c>
      <c r="M763" s="63" t="s">
        <v>58</v>
      </c>
      <c r="N763" s="63" t="s">
        <v>59</v>
      </c>
      <c r="O763" s="76" t="s">
        <v>1169</v>
      </c>
      <c r="P763" s="76" t="s">
        <v>2166</v>
      </c>
      <c r="Q763" s="79">
        <v>39062100</v>
      </c>
      <c r="R763" s="63">
        <v>1</v>
      </c>
      <c r="S763" s="80">
        <f>161329000-80260426-39062100-2944374</f>
        <v>39062100</v>
      </c>
      <c r="T763" s="63" t="s">
        <v>1171</v>
      </c>
      <c r="U763" s="63" t="s">
        <v>1171</v>
      </c>
      <c r="V763" s="81" t="s">
        <v>431</v>
      </c>
      <c r="W763" s="82" t="s">
        <v>439</v>
      </c>
      <c r="X763" s="90" t="s">
        <v>2167</v>
      </c>
      <c r="Y763" s="81">
        <v>43290</v>
      </c>
      <c r="Z763" s="83">
        <v>39062100</v>
      </c>
      <c r="AA763" s="84" t="s">
        <v>2164</v>
      </c>
      <c r="AB763" s="85">
        <v>947</v>
      </c>
      <c r="AC763" s="81">
        <v>43291</v>
      </c>
      <c r="AD763" s="86">
        <v>39062100</v>
      </c>
      <c r="AE763" s="87">
        <f t="shared" si="76"/>
        <v>0</v>
      </c>
      <c r="AF763" s="85">
        <v>2557</v>
      </c>
      <c r="AG763" s="81">
        <v>43313</v>
      </c>
      <c r="AH763" s="86">
        <v>39062100</v>
      </c>
      <c r="AI763" s="63" t="s">
        <v>2168</v>
      </c>
      <c r="AJ763" s="63">
        <v>3004</v>
      </c>
      <c r="AK763" s="87">
        <f t="shared" si="78"/>
        <v>0</v>
      </c>
      <c r="AL763" s="86">
        <v>0</v>
      </c>
      <c r="AM763" s="86">
        <f t="shared" si="79"/>
        <v>39062100</v>
      </c>
      <c r="AN763" s="63" t="s">
        <v>1155</v>
      </c>
      <c r="AO763" s="86">
        <f t="shared" si="80"/>
        <v>0</v>
      </c>
      <c r="AP763" s="63" t="s">
        <v>2132</v>
      </c>
      <c r="AQ763" s="81">
        <v>43290</v>
      </c>
      <c r="AR763" s="63" t="s">
        <v>1156</v>
      </c>
      <c r="AS763" s="81">
        <v>43290</v>
      </c>
      <c r="AT763" s="63"/>
      <c r="AU763" s="220"/>
      <c r="AV763" s="220"/>
      <c r="AW763" s="220"/>
    </row>
    <row r="764" spans="1:49" s="221" customFormat="1" ht="156.75" x14ac:dyDescent="0.25">
      <c r="A764" s="63">
        <v>350</v>
      </c>
      <c r="B764" s="63" t="str">
        <f t="shared" si="77"/>
        <v>3075-350</v>
      </c>
      <c r="C764" s="76" t="s">
        <v>1141</v>
      </c>
      <c r="D764" s="76" t="s">
        <v>1142</v>
      </c>
      <c r="E764" s="76" t="s">
        <v>1174</v>
      </c>
      <c r="F764" s="76" t="s">
        <v>1175</v>
      </c>
      <c r="G764" s="77" t="s">
        <v>1176</v>
      </c>
      <c r="H764" s="78" t="s">
        <v>1177</v>
      </c>
      <c r="I764" s="76" t="s">
        <v>1191</v>
      </c>
      <c r="J764" s="76" t="s">
        <v>1192</v>
      </c>
      <c r="K764" s="76" t="s">
        <v>439</v>
      </c>
      <c r="L764" s="63" t="s">
        <v>1149</v>
      </c>
      <c r="M764" s="63" t="s">
        <v>58</v>
      </c>
      <c r="N764" s="63" t="s">
        <v>59</v>
      </c>
      <c r="O764" s="76" t="s">
        <v>1169</v>
      </c>
      <c r="P764" s="76" t="s">
        <v>2169</v>
      </c>
      <c r="Q764" s="79">
        <v>39062100</v>
      </c>
      <c r="R764" s="63">
        <v>1</v>
      </c>
      <c r="S764" s="80">
        <f>161329000-36117726-39062100-9077100-13239000-24770974</f>
        <v>39062100</v>
      </c>
      <c r="T764" s="63"/>
      <c r="U764" s="63" t="s">
        <v>1171</v>
      </c>
      <c r="V764" s="81" t="s">
        <v>875</v>
      </c>
      <c r="W764" s="82" t="s">
        <v>439</v>
      </c>
      <c r="X764" s="90" t="s">
        <v>2170</v>
      </c>
      <c r="Y764" s="81">
        <v>43335</v>
      </c>
      <c r="Z764" s="83">
        <v>39062100</v>
      </c>
      <c r="AA764" s="84" t="s">
        <v>2164</v>
      </c>
      <c r="AB764" s="85">
        <v>1101</v>
      </c>
      <c r="AC764" s="81">
        <v>43336</v>
      </c>
      <c r="AD764" s="86">
        <v>39062100</v>
      </c>
      <c r="AE764" s="87">
        <f t="shared" si="76"/>
        <v>0</v>
      </c>
      <c r="AF764" s="85"/>
      <c r="AG764" s="81"/>
      <c r="AH764" s="86"/>
      <c r="AI764" s="63"/>
      <c r="AJ764" s="63"/>
      <c r="AK764" s="87">
        <f t="shared" si="78"/>
        <v>39062100</v>
      </c>
      <c r="AL764" s="86"/>
      <c r="AM764" s="86">
        <f t="shared" si="79"/>
        <v>0</v>
      </c>
      <c r="AN764" s="63" t="s">
        <v>1155</v>
      </c>
      <c r="AO764" s="86">
        <f t="shared" si="80"/>
        <v>39062100</v>
      </c>
      <c r="AP764" s="63" t="s">
        <v>2132</v>
      </c>
      <c r="AQ764" s="81">
        <v>43334</v>
      </c>
      <c r="AR764" s="63" t="s">
        <v>1156</v>
      </c>
      <c r="AS764" s="81">
        <v>43335</v>
      </c>
      <c r="AT764" s="63"/>
      <c r="AU764" s="220"/>
      <c r="AV764" s="220"/>
      <c r="AW764" s="220"/>
    </row>
    <row r="765" spans="1:49" s="221" customFormat="1" ht="228" x14ac:dyDescent="0.25">
      <c r="A765" s="63">
        <v>351</v>
      </c>
      <c r="B765" s="63" t="str">
        <f t="shared" si="77"/>
        <v>3075-351</v>
      </c>
      <c r="C765" s="76" t="s">
        <v>1141</v>
      </c>
      <c r="D765" s="76" t="s">
        <v>1142</v>
      </c>
      <c r="E765" s="76" t="s">
        <v>1174</v>
      </c>
      <c r="F765" s="76" t="s">
        <v>1175</v>
      </c>
      <c r="G765" s="77" t="s">
        <v>1176</v>
      </c>
      <c r="H765" s="78" t="s">
        <v>1177</v>
      </c>
      <c r="I765" s="76" t="s">
        <v>1191</v>
      </c>
      <c r="J765" s="76" t="s">
        <v>1192</v>
      </c>
      <c r="K765" s="76" t="s">
        <v>439</v>
      </c>
      <c r="L765" s="63" t="s">
        <v>1149</v>
      </c>
      <c r="M765" s="63" t="s">
        <v>58</v>
      </c>
      <c r="N765" s="63" t="s">
        <v>59</v>
      </c>
      <c r="O765" s="76" t="s">
        <v>1169</v>
      </c>
      <c r="P765" s="76" t="s">
        <v>2171</v>
      </c>
      <c r="Q765" s="79">
        <v>23886940</v>
      </c>
      <c r="R765" s="63">
        <v>1</v>
      </c>
      <c r="S765" s="80">
        <f>161329000-39062100-14291126-25211940-41597285-27796850+10517241</f>
        <v>23886940</v>
      </c>
      <c r="T765" s="63" t="s">
        <v>1171</v>
      </c>
      <c r="U765" s="63" t="s">
        <v>1171</v>
      </c>
      <c r="V765" s="81" t="s">
        <v>875</v>
      </c>
      <c r="W765" s="82" t="s">
        <v>439</v>
      </c>
      <c r="X765" s="90" t="s">
        <v>2172</v>
      </c>
      <c r="Y765" s="81">
        <v>43342</v>
      </c>
      <c r="Z765" s="83">
        <v>23886940</v>
      </c>
      <c r="AA765" s="84" t="s">
        <v>2173</v>
      </c>
      <c r="AB765" s="85">
        <v>1140</v>
      </c>
      <c r="AC765" s="81">
        <v>43343</v>
      </c>
      <c r="AD765" s="86">
        <v>23886940</v>
      </c>
      <c r="AE765" s="87">
        <f t="shared" si="76"/>
        <v>0</v>
      </c>
      <c r="AF765" s="85">
        <v>2925</v>
      </c>
      <c r="AG765" s="81">
        <v>43367</v>
      </c>
      <c r="AH765" s="86">
        <v>23886940</v>
      </c>
      <c r="AI765" s="63" t="s">
        <v>2174</v>
      </c>
      <c r="AJ765" s="63">
        <v>3365</v>
      </c>
      <c r="AK765" s="87">
        <f t="shared" si="78"/>
        <v>0</v>
      </c>
      <c r="AL765" s="86">
        <v>0</v>
      </c>
      <c r="AM765" s="86">
        <f t="shared" si="79"/>
        <v>23886940</v>
      </c>
      <c r="AN765" s="63" t="s">
        <v>1155</v>
      </c>
      <c r="AO765" s="86">
        <f t="shared" si="80"/>
        <v>0</v>
      </c>
      <c r="AP765" s="63" t="s">
        <v>2132</v>
      </c>
      <c r="AQ765" s="81">
        <v>43341</v>
      </c>
      <c r="AR765" s="63" t="s">
        <v>1156</v>
      </c>
      <c r="AS765" s="81">
        <v>43342</v>
      </c>
      <c r="AT765" s="63" t="s">
        <v>2171</v>
      </c>
      <c r="AU765" s="220"/>
      <c r="AV765" s="220"/>
      <c r="AW765" s="220"/>
    </row>
    <row r="766" spans="1:49" s="221" customFormat="1" ht="156.75" x14ac:dyDescent="0.25">
      <c r="A766" s="63">
        <v>352</v>
      </c>
      <c r="B766" s="63" t="str">
        <f t="shared" si="77"/>
        <v>3075-352</v>
      </c>
      <c r="C766" s="76" t="s">
        <v>1141</v>
      </c>
      <c r="D766" s="76" t="s">
        <v>1142</v>
      </c>
      <c r="E766" s="76" t="s">
        <v>1174</v>
      </c>
      <c r="F766" s="76" t="s">
        <v>1175</v>
      </c>
      <c r="G766" s="77" t="s">
        <v>1176</v>
      </c>
      <c r="H766" s="78" t="s">
        <v>1177</v>
      </c>
      <c r="I766" s="76" t="s">
        <v>1191</v>
      </c>
      <c r="J766" s="76" t="s">
        <v>1192</v>
      </c>
      <c r="K766" s="76" t="s">
        <v>439</v>
      </c>
      <c r="L766" s="63" t="s">
        <v>1149</v>
      </c>
      <c r="M766" s="63" t="s">
        <v>58</v>
      </c>
      <c r="N766" s="63" t="s">
        <v>59</v>
      </c>
      <c r="O766" s="76" t="s">
        <v>1169</v>
      </c>
      <c r="P766" s="76" t="s">
        <v>2137</v>
      </c>
      <c r="Q766" s="79">
        <v>161329000</v>
      </c>
      <c r="R766" s="63">
        <v>1</v>
      </c>
      <c r="S766" s="80">
        <f>161329000-10517241-39062100-90000</f>
        <v>111659659</v>
      </c>
      <c r="T766" s="63"/>
      <c r="U766" s="63" t="s">
        <v>1171</v>
      </c>
      <c r="V766" s="81" t="s">
        <v>1164</v>
      </c>
      <c r="W766" s="82" t="s">
        <v>439</v>
      </c>
      <c r="X766" s="90"/>
      <c r="Y766" s="81"/>
      <c r="Z766" s="83"/>
      <c r="AA766" s="84" t="s">
        <v>2164</v>
      </c>
      <c r="AB766" s="85"/>
      <c r="AC766" s="81"/>
      <c r="AD766" s="86"/>
      <c r="AE766" s="87">
        <f t="shared" si="76"/>
        <v>111659659</v>
      </c>
      <c r="AF766" s="85"/>
      <c r="AG766" s="81"/>
      <c r="AH766" s="86"/>
      <c r="AI766" s="63"/>
      <c r="AJ766" s="63"/>
      <c r="AK766" s="87">
        <f t="shared" si="78"/>
        <v>0</v>
      </c>
      <c r="AL766" s="86"/>
      <c r="AM766" s="86">
        <f t="shared" si="79"/>
        <v>0</v>
      </c>
      <c r="AN766" s="63" t="s">
        <v>1155</v>
      </c>
      <c r="AO766" s="86">
        <f t="shared" si="80"/>
        <v>111659659</v>
      </c>
      <c r="AP766" s="63" t="s">
        <v>2132</v>
      </c>
      <c r="AQ766" s="63"/>
      <c r="AR766" s="63" t="s">
        <v>2109</v>
      </c>
      <c r="AS766" s="63"/>
      <c r="AT766" s="63"/>
      <c r="AU766" s="220"/>
      <c r="AV766" s="220"/>
      <c r="AW766" s="220"/>
    </row>
    <row r="767" spans="1:49" s="221" customFormat="1" ht="156.75" x14ac:dyDescent="0.25">
      <c r="A767" s="63">
        <v>353</v>
      </c>
      <c r="B767" s="63" t="str">
        <f t="shared" si="77"/>
        <v>3075-353</v>
      </c>
      <c r="C767" s="76" t="s">
        <v>1141</v>
      </c>
      <c r="D767" s="76" t="s">
        <v>1142</v>
      </c>
      <c r="E767" s="76" t="s">
        <v>1174</v>
      </c>
      <c r="F767" s="76" t="s">
        <v>1175</v>
      </c>
      <c r="G767" s="77" t="s">
        <v>1176</v>
      </c>
      <c r="H767" s="78" t="s">
        <v>1177</v>
      </c>
      <c r="I767" s="76" t="s">
        <v>1191</v>
      </c>
      <c r="J767" s="76" t="s">
        <v>1192</v>
      </c>
      <c r="K767" s="76" t="s">
        <v>439</v>
      </c>
      <c r="L767" s="63" t="s">
        <v>1149</v>
      </c>
      <c r="M767" s="63" t="s">
        <v>58</v>
      </c>
      <c r="N767" s="63" t="s">
        <v>59</v>
      </c>
      <c r="O767" s="76" t="s">
        <v>1169</v>
      </c>
      <c r="P767" s="76" t="s">
        <v>2137</v>
      </c>
      <c r="Q767" s="79">
        <v>161328944</v>
      </c>
      <c r="R767" s="63">
        <v>1</v>
      </c>
      <c r="S767" s="80">
        <v>161328944</v>
      </c>
      <c r="T767" s="63"/>
      <c r="U767" s="63" t="s">
        <v>1171</v>
      </c>
      <c r="V767" s="81" t="s">
        <v>1164</v>
      </c>
      <c r="W767" s="82" t="s">
        <v>439</v>
      </c>
      <c r="X767" s="90"/>
      <c r="Y767" s="81"/>
      <c r="Z767" s="83"/>
      <c r="AA767" s="84" t="s">
        <v>2164</v>
      </c>
      <c r="AB767" s="85"/>
      <c r="AC767" s="81"/>
      <c r="AD767" s="86"/>
      <c r="AE767" s="87">
        <f t="shared" si="76"/>
        <v>161328944</v>
      </c>
      <c r="AF767" s="85"/>
      <c r="AG767" s="81"/>
      <c r="AH767" s="86"/>
      <c r="AI767" s="63"/>
      <c r="AJ767" s="63"/>
      <c r="AK767" s="87">
        <f t="shared" si="78"/>
        <v>0</v>
      </c>
      <c r="AL767" s="86"/>
      <c r="AM767" s="86">
        <f t="shared" si="79"/>
        <v>0</v>
      </c>
      <c r="AN767" s="63" t="s">
        <v>1155</v>
      </c>
      <c r="AO767" s="86">
        <f t="shared" si="80"/>
        <v>161328944</v>
      </c>
      <c r="AP767" s="63" t="s">
        <v>2132</v>
      </c>
      <c r="AQ767" s="63"/>
      <c r="AR767" s="63" t="s">
        <v>2109</v>
      </c>
      <c r="AS767" s="63"/>
      <c r="AT767" s="63"/>
      <c r="AU767" s="220"/>
      <c r="AV767" s="220"/>
      <c r="AW767" s="220"/>
    </row>
    <row r="768" spans="1:49" s="221" customFormat="1" ht="156.75" x14ac:dyDescent="0.25">
      <c r="A768" s="63">
        <v>354</v>
      </c>
      <c r="B768" s="63" t="str">
        <f t="shared" si="77"/>
        <v>3075-354</v>
      </c>
      <c r="C768" s="76" t="s">
        <v>1141</v>
      </c>
      <c r="D768" s="76" t="s">
        <v>1142</v>
      </c>
      <c r="E768" s="76" t="s">
        <v>1174</v>
      </c>
      <c r="F768" s="76" t="s">
        <v>1175</v>
      </c>
      <c r="G768" s="77" t="s">
        <v>1176</v>
      </c>
      <c r="H768" s="78" t="s">
        <v>1177</v>
      </c>
      <c r="I768" s="76" t="s">
        <v>1191</v>
      </c>
      <c r="J768" s="76" t="s">
        <v>1192</v>
      </c>
      <c r="K768" s="76" t="s">
        <v>439</v>
      </c>
      <c r="L768" s="63" t="s">
        <v>1149</v>
      </c>
      <c r="M768" s="63" t="s">
        <v>58</v>
      </c>
      <c r="N768" s="63" t="s">
        <v>59</v>
      </c>
      <c r="O768" s="76" t="s">
        <v>1169</v>
      </c>
      <c r="P768" s="76" t="s">
        <v>2137</v>
      </c>
      <c r="Q768" s="79">
        <v>6031299056</v>
      </c>
      <c r="R768" s="63">
        <v>1</v>
      </c>
      <c r="S768" s="80">
        <f>6031299056-4150000000</f>
        <v>1881299056</v>
      </c>
      <c r="T768" s="63"/>
      <c r="U768" s="63" t="s">
        <v>1171</v>
      </c>
      <c r="V768" s="81" t="s">
        <v>2145</v>
      </c>
      <c r="W768" s="82" t="s">
        <v>439</v>
      </c>
      <c r="X768" s="90"/>
      <c r="Y768" s="81"/>
      <c r="Z768" s="83"/>
      <c r="AA768" s="84" t="s">
        <v>2164</v>
      </c>
      <c r="AB768" s="85"/>
      <c r="AC768" s="81"/>
      <c r="AD768" s="86"/>
      <c r="AE768" s="87">
        <f t="shared" si="76"/>
        <v>1881299056</v>
      </c>
      <c r="AF768" s="85"/>
      <c r="AG768" s="81"/>
      <c r="AH768" s="86"/>
      <c r="AI768" s="63"/>
      <c r="AJ768" s="63"/>
      <c r="AK768" s="87">
        <f t="shared" si="78"/>
        <v>0</v>
      </c>
      <c r="AL768" s="86"/>
      <c r="AM768" s="86">
        <f t="shared" si="79"/>
        <v>0</v>
      </c>
      <c r="AN768" s="63" t="s">
        <v>1155</v>
      </c>
      <c r="AO768" s="86">
        <f t="shared" si="80"/>
        <v>1881299056</v>
      </c>
      <c r="AP768" s="63" t="s">
        <v>2132</v>
      </c>
      <c r="AQ768" s="63"/>
      <c r="AR768" s="63" t="s">
        <v>2109</v>
      </c>
      <c r="AS768" s="63"/>
      <c r="AT768" s="63"/>
      <c r="AU768" s="220"/>
      <c r="AV768" s="220"/>
      <c r="AW768" s="220"/>
    </row>
    <row r="769" spans="1:49" s="221" customFormat="1" ht="213.75" x14ac:dyDescent="0.25">
      <c r="A769" s="63">
        <v>355</v>
      </c>
      <c r="B769" s="63" t="str">
        <f t="shared" si="77"/>
        <v>3075-355</v>
      </c>
      <c r="C769" s="76" t="s">
        <v>1141</v>
      </c>
      <c r="D769" s="76" t="s">
        <v>1142</v>
      </c>
      <c r="E769" s="76" t="s">
        <v>1197</v>
      </c>
      <c r="F769" s="76" t="s">
        <v>1175</v>
      </c>
      <c r="G769" s="77" t="s">
        <v>1176</v>
      </c>
      <c r="H769" s="78" t="s">
        <v>1198</v>
      </c>
      <c r="I769" s="76" t="s">
        <v>1147</v>
      </c>
      <c r="J769" s="76" t="s">
        <v>1148</v>
      </c>
      <c r="K769" s="76" t="s">
        <v>439</v>
      </c>
      <c r="L769" s="63" t="s">
        <v>1149</v>
      </c>
      <c r="M769" s="63" t="s">
        <v>58</v>
      </c>
      <c r="N769" s="63" t="s">
        <v>59</v>
      </c>
      <c r="O769" s="76" t="s">
        <v>1199</v>
      </c>
      <c r="P769" s="76" t="s">
        <v>1200</v>
      </c>
      <c r="Q769" s="79">
        <v>382129510</v>
      </c>
      <c r="R769" s="63">
        <v>1</v>
      </c>
      <c r="S769" s="80">
        <f>846833253-76196119</f>
        <v>770637134</v>
      </c>
      <c r="T769" s="63"/>
      <c r="U769" s="63" t="s">
        <v>1171</v>
      </c>
      <c r="V769" s="81" t="s">
        <v>2175</v>
      </c>
      <c r="W769" s="82" t="s">
        <v>439</v>
      </c>
      <c r="X769" s="91" t="s">
        <v>2176</v>
      </c>
      <c r="Y769" s="81">
        <v>43270</v>
      </c>
      <c r="Z769" s="83">
        <v>648341100</v>
      </c>
      <c r="AA769" s="84" t="s">
        <v>2084</v>
      </c>
      <c r="AB769" s="85">
        <v>908</v>
      </c>
      <c r="AC769" s="81">
        <v>43271</v>
      </c>
      <c r="AD769" s="86">
        <v>648341100</v>
      </c>
      <c r="AE769" s="87">
        <f>S769-AD769</f>
        <v>122296034</v>
      </c>
      <c r="AF769" s="85" t="s">
        <v>1202</v>
      </c>
      <c r="AG769" s="81" t="s">
        <v>1202</v>
      </c>
      <c r="AH769" s="86">
        <v>553716262</v>
      </c>
      <c r="AI769" s="63" t="s">
        <v>1202</v>
      </c>
      <c r="AJ769" s="63" t="s">
        <v>1202</v>
      </c>
      <c r="AK769" s="87">
        <f t="shared" si="78"/>
        <v>94624838</v>
      </c>
      <c r="AL769" s="86">
        <v>165259658</v>
      </c>
      <c r="AM769" s="86">
        <f t="shared" si="79"/>
        <v>388456604</v>
      </c>
      <c r="AN769" s="63" t="s">
        <v>1155</v>
      </c>
      <c r="AO769" s="86">
        <f t="shared" si="80"/>
        <v>216920872</v>
      </c>
      <c r="AP769" s="63" t="s">
        <v>2132</v>
      </c>
      <c r="AQ769" s="81">
        <v>43270</v>
      </c>
      <c r="AR769" s="63" t="s">
        <v>1156</v>
      </c>
      <c r="AS769" s="81">
        <v>43270</v>
      </c>
      <c r="AT769" s="76" t="s">
        <v>1200</v>
      </c>
      <c r="AU769" s="220"/>
      <c r="AV769" s="220"/>
      <c r="AW769" s="220"/>
    </row>
    <row r="770" spans="1:49" s="221" customFormat="1" ht="171" x14ac:dyDescent="0.25">
      <c r="A770" s="63">
        <v>356</v>
      </c>
      <c r="B770" s="63" t="str">
        <f t="shared" si="77"/>
        <v>3075-356</v>
      </c>
      <c r="C770" s="76" t="s">
        <v>1141</v>
      </c>
      <c r="D770" s="76" t="s">
        <v>1142</v>
      </c>
      <c r="E770" s="76" t="s">
        <v>1197</v>
      </c>
      <c r="F770" s="76" t="s">
        <v>1175</v>
      </c>
      <c r="G770" s="77" t="s">
        <v>1176</v>
      </c>
      <c r="H770" s="78" t="s">
        <v>1198</v>
      </c>
      <c r="I770" s="76" t="s">
        <v>1147</v>
      </c>
      <c r="J770" s="76" t="s">
        <v>1148</v>
      </c>
      <c r="K770" s="76" t="s">
        <v>439</v>
      </c>
      <c r="L770" s="63" t="s">
        <v>1149</v>
      </c>
      <c r="M770" s="63" t="s">
        <v>58</v>
      </c>
      <c r="N770" s="63" t="s">
        <v>59</v>
      </c>
      <c r="O770" s="76" t="s">
        <v>1199</v>
      </c>
      <c r="P770" s="76" t="s">
        <v>1200</v>
      </c>
      <c r="Q770" s="79">
        <v>564741082</v>
      </c>
      <c r="R770" s="63">
        <v>1</v>
      </c>
      <c r="S770" s="80">
        <f>564741082-406560+76196119</f>
        <v>640530641</v>
      </c>
      <c r="T770" s="63"/>
      <c r="U770" s="63" t="s">
        <v>1171</v>
      </c>
      <c r="V770" s="81" t="s">
        <v>2177</v>
      </c>
      <c r="W770" s="82" t="s">
        <v>439</v>
      </c>
      <c r="X770" s="91"/>
      <c r="Y770" s="81"/>
      <c r="Z770" s="83"/>
      <c r="AA770" s="84" t="s">
        <v>2084</v>
      </c>
      <c r="AB770" s="85"/>
      <c r="AC770" s="81"/>
      <c r="AD770" s="86"/>
      <c r="AE770" s="87">
        <f>S770-AD770</f>
        <v>640530641</v>
      </c>
      <c r="AF770" s="85"/>
      <c r="AG770" s="81"/>
      <c r="AH770" s="86"/>
      <c r="AI770" s="63"/>
      <c r="AJ770" s="63"/>
      <c r="AK770" s="87">
        <f t="shared" si="78"/>
        <v>0</v>
      </c>
      <c r="AL770" s="86"/>
      <c r="AM770" s="86">
        <f t="shared" si="79"/>
        <v>0</v>
      </c>
      <c r="AN770" s="63" t="s">
        <v>1155</v>
      </c>
      <c r="AO770" s="86">
        <f t="shared" si="80"/>
        <v>640530641</v>
      </c>
      <c r="AP770" s="63" t="s">
        <v>2132</v>
      </c>
      <c r="AQ770" s="63"/>
      <c r="AR770" s="63" t="s">
        <v>2109</v>
      </c>
      <c r="AS770" s="63"/>
      <c r="AT770" s="63"/>
      <c r="AU770" s="220"/>
      <c r="AV770" s="220"/>
      <c r="AW770" s="220"/>
    </row>
    <row r="771" spans="1:49" s="221" customFormat="1" ht="370.5" x14ac:dyDescent="0.25">
      <c r="A771" s="63">
        <v>357</v>
      </c>
      <c r="B771" s="63" t="str">
        <f t="shared" si="77"/>
        <v>3075-357</v>
      </c>
      <c r="C771" s="76" t="s">
        <v>1141</v>
      </c>
      <c r="D771" s="76" t="s">
        <v>1142</v>
      </c>
      <c r="E771" s="76" t="s">
        <v>1143</v>
      </c>
      <c r="F771" s="76" t="s">
        <v>1144</v>
      </c>
      <c r="G771" s="88" t="s">
        <v>2178</v>
      </c>
      <c r="H771" s="92" t="s">
        <v>2179</v>
      </c>
      <c r="I771" s="76" t="s">
        <v>1147</v>
      </c>
      <c r="J771" s="76" t="s">
        <v>1148</v>
      </c>
      <c r="K771" s="93" t="s">
        <v>439</v>
      </c>
      <c r="L771" s="63" t="s">
        <v>1149</v>
      </c>
      <c r="M771" s="63" t="s">
        <v>58</v>
      </c>
      <c r="N771" s="63" t="s">
        <v>59</v>
      </c>
      <c r="O771" s="76" t="s">
        <v>1199</v>
      </c>
      <c r="P771" s="76" t="s">
        <v>2180</v>
      </c>
      <c r="Q771" s="83">
        <v>10000000</v>
      </c>
      <c r="R771" s="63">
        <v>1</v>
      </c>
      <c r="S771" s="80">
        <f>10000000-10000000</f>
        <v>0</v>
      </c>
      <c r="T771" s="63"/>
      <c r="U771" s="63"/>
      <c r="V771" s="81"/>
      <c r="W771" s="82"/>
      <c r="X771" s="63"/>
      <c r="Y771" s="89"/>
      <c r="Z771" s="83"/>
      <c r="AA771" s="84"/>
      <c r="AB771" s="85"/>
      <c r="AC771" s="81"/>
      <c r="AD771" s="86"/>
      <c r="AE771" s="87">
        <f t="shared" ref="AE771:AE781" si="81">S771-Z771</f>
        <v>0</v>
      </c>
      <c r="AF771" s="85"/>
      <c r="AG771" s="81"/>
      <c r="AH771" s="86"/>
      <c r="AI771" s="63"/>
      <c r="AJ771" s="63"/>
      <c r="AK771" s="87">
        <f t="shared" si="78"/>
        <v>0</v>
      </c>
      <c r="AL771" s="86"/>
      <c r="AM771" s="86">
        <f t="shared" si="79"/>
        <v>0</v>
      </c>
      <c r="AN771" s="63" t="s">
        <v>1155</v>
      </c>
      <c r="AO771" s="86">
        <f t="shared" si="80"/>
        <v>0</v>
      </c>
      <c r="AP771" s="63" t="s">
        <v>2132</v>
      </c>
      <c r="AQ771" s="63"/>
      <c r="AR771" s="63" t="s">
        <v>1157</v>
      </c>
      <c r="AS771" s="63"/>
      <c r="AT771" s="63"/>
      <c r="AU771" s="220"/>
      <c r="AV771" s="220"/>
      <c r="AW771" s="220"/>
    </row>
    <row r="772" spans="1:49" s="221" customFormat="1" ht="370.5" x14ac:dyDescent="0.25">
      <c r="A772" s="63">
        <v>358</v>
      </c>
      <c r="B772" s="63" t="str">
        <f t="shared" si="77"/>
        <v>3075-358</v>
      </c>
      <c r="C772" s="76" t="s">
        <v>1141</v>
      </c>
      <c r="D772" s="76" t="s">
        <v>1142</v>
      </c>
      <c r="E772" s="76" t="s">
        <v>1143</v>
      </c>
      <c r="F772" s="76" t="s">
        <v>1144</v>
      </c>
      <c r="G772" s="88" t="s">
        <v>2178</v>
      </c>
      <c r="H772" s="92" t="s">
        <v>2179</v>
      </c>
      <c r="I772" s="76" t="s">
        <v>1147</v>
      </c>
      <c r="J772" s="76" t="s">
        <v>1148</v>
      </c>
      <c r="K772" s="93" t="s">
        <v>439</v>
      </c>
      <c r="L772" s="63" t="s">
        <v>1149</v>
      </c>
      <c r="M772" s="63" t="s">
        <v>58</v>
      </c>
      <c r="N772" s="63" t="s">
        <v>59</v>
      </c>
      <c r="O772" s="76" t="s">
        <v>1199</v>
      </c>
      <c r="P772" s="76" t="s">
        <v>2180</v>
      </c>
      <c r="Q772" s="83">
        <v>10000000</v>
      </c>
      <c r="R772" s="63">
        <v>1</v>
      </c>
      <c r="S772" s="80">
        <f>10000000-10000000</f>
        <v>0</v>
      </c>
      <c r="T772" s="63"/>
      <c r="U772" s="63"/>
      <c r="V772" s="81"/>
      <c r="W772" s="82"/>
      <c r="X772" s="63"/>
      <c r="Y772" s="89"/>
      <c r="Z772" s="83"/>
      <c r="AA772" s="84"/>
      <c r="AB772" s="85"/>
      <c r="AC772" s="81"/>
      <c r="AD772" s="86"/>
      <c r="AE772" s="87">
        <f t="shared" si="81"/>
        <v>0</v>
      </c>
      <c r="AF772" s="85"/>
      <c r="AG772" s="81"/>
      <c r="AH772" s="86"/>
      <c r="AI772" s="63"/>
      <c r="AJ772" s="63"/>
      <c r="AK772" s="87">
        <f t="shared" si="78"/>
        <v>0</v>
      </c>
      <c r="AL772" s="86"/>
      <c r="AM772" s="86">
        <f t="shared" si="79"/>
        <v>0</v>
      </c>
      <c r="AN772" s="63" t="s">
        <v>1155</v>
      </c>
      <c r="AO772" s="86">
        <f t="shared" si="80"/>
        <v>0</v>
      </c>
      <c r="AP772" s="63" t="s">
        <v>2132</v>
      </c>
      <c r="AQ772" s="63"/>
      <c r="AR772" s="63" t="s">
        <v>1157</v>
      </c>
      <c r="AS772" s="63"/>
      <c r="AT772" s="63"/>
      <c r="AU772" s="220"/>
      <c r="AV772" s="220"/>
      <c r="AW772" s="220"/>
    </row>
    <row r="773" spans="1:49" s="221" customFormat="1" ht="370.5" x14ac:dyDescent="0.25">
      <c r="A773" s="63">
        <v>359</v>
      </c>
      <c r="B773" s="63" t="str">
        <f t="shared" si="77"/>
        <v>3075-359</v>
      </c>
      <c r="C773" s="76" t="s">
        <v>1141</v>
      </c>
      <c r="D773" s="76" t="s">
        <v>1142</v>
      </c>
      <c r="E773" s="76" t="s">
        <v>1143</v>
      </c>
      <c r="F773" s="76" t="s">
        <v>1144</v>
      </c>
      <c r="G773" s="88" t="s">
        <v>2178</v>
      </c>
      <c r="H773" s="92" t="s">
        <v>2179</v>
      </c>
      <c r="I773" s="76" t="s">
        <v>1147</v>
      </c>
      <c r="J773" s="76" t="s">
        <v>1148</v>
      </c>
      <c r="K773" s="93" t="s">
        <v>439</v>
      </c>
      <c r="L773" s="63" t="s">
        <v>1149</v>
      </c>
      <c r="M773" s="63" t="s">
        <v>58</v>
      </c>
      <c r="N773" s="63" t="s">
        <v>59</v>
      </c>
      <c r="O773" s="76" t="s">
        <v>1199</v>
      </c>
      <c r="P773" s="76" t="s">
        <v>2180</v>
      </c>
      <c r="Q773" s="83">
        <v>10000000</v>
      </c>
      <c r="R773" s="63">
        <v>1</v>
      </c>
      <c r="S773" s="80">
        <f>10000000-10000000</f>
        <v>0</v>
      </c>
      <c r="T773" s="63"/>
      <c r="U773" s="63"/>
      <c r="V773" s="81"/>
      <c r="W773" s="82"/>
      <c r="X773" s="63"/>
      <c r="Y773" s="89"/>
      <c r="Z773" s="83"/>
      <c r="AA773" s="84"/>
      <c r="AB773" s="85"/>
      <c r="AC773" s="81"/>
      <c r="AD773" s="86"/>
      <c r="AE773" s="87">
        <f t="shared" si="81"/>
        <v>0</v>
      </c>
      <c r="AF773" s="85"/>
      <c r="AG773" s="81"/>
      <c r="AH773" s="86"/>
      <c r="AI773" s="63"/>
      <c r="AJ773" s="63"/>
      <c r="AK773" s="87">
        <f t="shared" si="78"/>
        <v>0</v>
      </c>
      <c r="AL773" s="86"/>
      <c r="AM773" s="86">
        <f t="shared" si="79"/>
        <v>0</v>
      </c>
      <c r="AN773" s="63" t="s">
        <v>1155</v>
      </c>
      <c r="AO773" s="86">
        <f t="shared" si="80"/>
        <v>0</v>
      </c>
      <c r="AP773" s="63" t="s">
        <v>2132</v>
      </c>
      <c r="AQ773" s="63"/>
      <c r="AR773" s="63" t="s">
        <v>1157</v>
      </c>
      <c r="AS773" s="63"/>
      <c r="AT773" s="63"/>
      <c r="AU773" s="220"/>
      <c r="AV773" s="220"/>
      <c r="AW773" s="220"/>
    </row>
    <row r="774" spans="1:49" s="221" customFormat="1" ht="370.5" x14ac:dyDescent="0.25">
      <c r="A774" s="63">
        <v>360</v>
      </c>
      <c r="B774" s="63" t="str">
        <f t="shared" si="77"/>
        <v>3075-360</v>
      </c>
      <c r="C774" s="76" t="s">
        <v>1141</v>
      </c>
      <c r="D774" s="76" t="s">
        <v>1142</v>
      </c>
      <c r="E774" s="76" t="s">
        <v>1143</v>
      </c>
      <c r="F774" s="76" t="s">
        <v>1144</v>
      </c>
      <c r="G774" s="88" t="s">
        <v>2178</v>
      </c>
      <c r="H774" s="92" t="s">
        <v>2179</v>
      </c>
      <c r="I774" s="76" t="s">
        <v>1147</v>
      </c>
      <c r="J774" s="76" t="s">
        <v>1148</v>
      </c>
      <c r="K774" s="93" t="s">
        <v>439</v>
      </c>
      <c r="L774" s="63" t="s">
        <v>1149</v>
      </c>
      <c r="M774" s="63" t="s">
        <v>58</v>
      </c>
      <c r="N774" s="63" t="s">
        <v>59</v>
      </c>
      <c r="O774" s="76" t="s">
        <v>1199</v>
      </c>
      <c r="P774" s="76" t="s">
        <v>2180</v>
      </c>
      <c r="Q774" s="83">
        <v>10000000</v>
      </c>
      <c r="R774" s="63">
        <v>1</v>
      </c>
      <c r="S774" s="80">
        <f>10000000-10000000</f>
        <v>0</v>
      </c>
      <c r="T774" s="63"/>
      <c r="U774" s="63"/>
      <c r="V774" s="81"/>
      <c r="W774" s="82"/>
      <c r="X774" s="63"/>
      <c r="Y774" s="89"/>
      <c r="Z774" s="83"/>
      <c r="AA774" s="84"/>
      <c r="AB774" s="85"/>
      <c r="AC774" s="81"/>
      <c r="AD774" s="86"/>
      <c r="AE774" s="87">
        <f t="shared" si="81"/>
        <v>0</v>
      </c>
      <c r="AF774" s="85"/>
      <c r="AG774" s="81"/>
      <c r="AH774" s="86"/>
      <c r="AI774" s="63"/>
      <c r="AJ774" s="63"/>
      <c r="AK774" s="87">
        <f t="shared" si="78"/>
        <v>0</v>
      </c>
      <c r="AL774" s="86"/>
      <c r="AM774" s="86">
        <f t="shared" si="79"/>
        <v>0</v>
      </c>
      <c r="AN774" s="63" t="s">
        <v>1155</v>
      </c>
      <c r="AO774" s="86">
        <f t="shared" si="80"/>
        <v>0</v>
      </c>
      <c r="AP774" s="63" t="s">
        <v>2132</v>
      </c>
      <c r="AQ774" s="63"/>
      <c r="AR774" s="63" t="s">
        <v>1157</v>
      </c>
      <c r="AS774" s="63"/>
      <c r="AT774" s="63"/>
      <c r="AU774" s="220"/>
      <c r="AV774" s="220"/>
      <c r="AW774" s="220"/>
    </row>
    <row r="775" spans="1:49" s="221" customFormat="1" ht="370.5" x14ac:dyDescent="0.25">
      <c r="A775" s="63">
        <v>361</v>
      </c>
      <c r="B775" s="63" t="str">
        <f t="shared" si="77"/>
        <v>3075-361</v>
      </c>
      <c r="C775" s="76" t="s">
        <v>1141</v>
      </c>
      <c r="D775" s="76" t="s">
        <v>1142</v>
      </c>
      <c r="E775" s="76" t="s">
        <v>1143</v>
      </c>
      <c r="F775" s="76" t="s">
        <v>1144</v>
      </c>
      <c r="G775" s="88" t="s">
        <v>2178</v>
      </c>
      <c r="H775" s="92" t="s">
        <v>2179</v>
      </c>
      <c r="I775" s="76" t="s">
        <v>1147</v>
      </c>
      <c r="J775" s="76" t="s">
        <v>1148</v>
      </c>
      <c r="K775" s="93" t="s">
        <v>439</v>
      </c>
      <c r="L775" s="63" t="s">
        <v>1149</v>
      </c>
      <c r="M775" s="63" t="s">
        <v>58</v>
      </c>
      <c r="N775" s="63" t="s">
        <v>59</v>
      </c>
      <c r="O775" s="76" t="s">
        <v>1199</v>
      </c>
      <c r="P775" s="76" t="s">
        <v>2180</v>
      </c>
      <c r="Q775" s="83">
        <v>10000000</v>
      </c>
      <c r="R775" s="63">
        <v>1</v>
      </c>
      <c r="S775" s="80">
        <f>10000000-9220487</f>
        <v>779513</v>
      </c>
      <c r="T775" s="63"/>
      <c r="U775" s="63" t="s">
        <v>1163</v>
      </c>
      <c r="V775" s="81" t="s">
        <v>875</v>
      </c>
      <c r="W775" s="82" t="s">
        <v>439</v>
      </c>
      <c r="X775" s="63"/>
      <c r="Y775" s="89"/>
      <c r="Z775" s="83"/>
      <c r="AA775" s="84"/>
      <c r="AB775" s="85"/>
      <c r="AC775" s="81"/>
      <c r="AD775" s="86"/>
      <c r="AE775" s="87">
        <f t="shared" si="81"/>
        <v>779513</v>
      </c>
      <c r="AF775" s="85"/>
      <c r="AG775" s="81"/>
      <c r="AH775" s="86"/>
      <c r="AI775" s="63"/>
      <c r="AJ775" s="63"/>
      <c r="AK775" s="87">
        <f t="shared" si="78"/>
        <v>0</v>
      </c>
      <c r="AL775" s="86"/>
      <c r="AM775" s="86">
        <f t="shared" si="79"/>
        <v>0</v>
      </c>
      <c r="AN775" s="63" t="s">
        <v>1155</v>
      </c>
      <c r="AO775" s="86">
        <f t="shared" si="80"/>
        <v>779513</v>
      </c>
      <c r="AP775" s="63" t="s">
        <v>2132</v>
      </c>
      <c r="AQ775" s="63"/>
      <c r="AR775" s="63" t="s">
        <v>2109</v>
      </c>
      <c r="AS775" s="63"/>
      <c r="AT775" s="63"/>
      <c r="AU775" s="220"/>
      <c r="AV775" s="220"/>
      <c r="AW775" s="220"/>
    </row>
    <row r="776" spans="1:49" s="221" customFormat="1" ht="370.5" x14ac:dyDescent="0.25">
      <c r="A776" s="63">
        <v>362</v>
      </c>
      <c r="B776" s="63" t="str">
        <f t="shared" si="77"/>
        <v>3075-362</v>
      </c>
      <c r="C776" s="76" t="s">
        <v>1141</v>
      </c>
      <c r="D776" s="76" t="s">
        <v>1142</v>
      </c>
      <c r="E776" s="76" t="s">
        <v>1143</v>
      </c>
      <c r="F776" s="76" t="s">
        <v>1144</v>
      </c>
      <c r="G776" s="88" t="s">
        <v>2178</v>
      </c>
      <c r="H776" s="92" t="s">
        <v>2179</v>
      </c>
      <c r="I776" s="76" t="s">
        <v>1147</v>
      </c>
      <c r="J776" s="76" t="s">
        <v>1148</v>
      </c>
      <c r="K776" s="93" t="s">
        <v>439</v>
      </c>
      <c r="L776" s="63" t="s">
        <v>1149</v>
      </c>
      <c r="M776" s="63" t="s">
        <v>58</v>
      </c>
      <c r="N776" s="63" t="s">
        <v>59</v>
      </c>
      <c r="O776" s="76" t="s">
        <v>1199</v>
      </c>
      <c r="P776" s="76" t="s">
        <v>2180</v>
      </c>
      <c r="Q776" s="83">
        <v>10000000</v>
      </c>
      <c r="R776" s="63">
        <v>1</v>
      </c>
      <c r="S776" s="80">
        <v>10000000</v>
      </c>
      <c r="T776" s="63"/>
      <c r="U776" s="63" t="s">
        <v>1163</v>
      </c>
      <c r="V776" s="81" t="s">
        <v>1164</v>
      </c>
      <c r="W776" s="82" t="s">
        <v>439</v>
      </c>
      <c r="X776" s="63"/>
      <c r="Y776" s="89"/>
      <c r="Z776" s="83"/>
      <c r="AA776" s="84"/>
      <c r="AB776" s="85"/>
      <c r="AC776" s="81"/>
      <c r="AD776" s="86"/>
      <c r="AE776" s="87">
        <f t="shared" si="81"/>
        <v>10000000</v>
      </c>
      <c r="AF776" s="85"/>
      <c r="AG776" s="81"/>
      <c r="AH776" s="86"/>
      <c r="AI776" s="63"/>
      <c r="AJ776" s="63"/>
      <c r="AK776" s="87">
        <f t="shared" si="78"/>
        <v>0</v>
      </c>
      <c r="AL776" s="86"/>
      <c r="AM776" s="86">
        <f t="shared" si="79"/>
        <v>0</v>
      </c>
      <c r="AN776" s="63" t="s">
        <v>1155</v>
      </c>
      <c r="AO776" s="86">
        <f t="shared" si="80"/>
        <v>10000000</v>
      </c>
      <c r="AP776" s="63" t="s">
        <v>2132</v>
      </c>
      <c r="AQ776" s="63"/>
      <c r="AR776" s="63" t="s">
        <v>2109</v>
      </c>
      <c r="AS776" s="63"/>
      <c r="AT776" s="63"/>
      <c r="AU776" s="220"/>
      <c r="AV776" s="220"/>
      <c r="AW776" s="220"/>
    </row>
    <row r="777" spans="1:49" s="221" customFormat="1" ht="370.5" x14ac:dyDescent="0.25">
      <c r="A777" s="63">
        <v>363</v>
      </c>
      <c r="B777" s="63" t="str">
        <f t="shared" si="77"/>
        <v>3075-363</v>
      </c>
      <c r="C777" s="76" t="s">
        <v>1141</v>
      </c>
      <c r="D777" s="76" t="s">
        <v>1142</v>
      </c>
      <c r="E777" s="76" t="s">
        <v>1143</v>
      </c>
      <c r="F777" s="76" t="s">
        <v>1144</v>
      </c>
      <c r="G777" s="88" t="s">
        <v>2178</v>
      </c>
      <c r="H777" s="92" t="s">
        <v>2179</v>
      </c>
      <c r="I777" s="76" t="s">
        <v>1147</v>
      </c>
      <c r="J777" s="76" t="s">
        <v>1148</v>
      </c>
      <c r="K777" s="93" t="s">
        <v>439</v>
      </c>
      <c r="L777" s="63" t="s">
        <v>1149</v>
      </c>
      <c r="M777" s="63" t="s">
        <v>58</v>
      </c>
      <c r="N777" s="63" t="s">
        <v>59</v>
      </c>
      <c r="O777" s="76" t="s">
        <v>1199</v>
      </c>
      <c r="P777" s="76" t="s">
        <v>2180</v>
      </c>
      <c r="Q777" s="83">
        <v>9385236</v>
      </c>
      <c r="R777" s="63">
        <v>1</v>
      </c>
      <c r="S777" s="80">
        <v>9385236</v>
      </c>
      <c r="T777" s="63"/>
      <c r="U777" s="63" t="s">
        <v>1163</v>
      </c>
      <c r="V777" s="81" t="s">
        <v>830</v>
      </c>
      <c r="W777" s="82" t="s">
        <v>439</v>
      </c>
      <c r="X777" s="63"/>
      <c r="Y777" s="89"/>
      <c r="Z777" s="83"/>
      <c r="AA777" s="84"/>
      <c r="AB777" s="85"/>
      <c r="AC777" s="81"/>
      <c r="AD777" s="86"/>
      <c r="AE777" s="87">
        <f t="shared" si="81"/>
        <v>9385236</v>
      </c>
      <c r="AF777" s="85"/>
      <c r="AG777" s="81"/>
      <c r="AH777" s="86"/>
      <c r="AI777" s="63"/>
      <c r="AJ777" s="63"/>
      <c r="AK777" s="87">
        <f t="shared" si="78"/>
        <v>0</v>
      </c>
      <c r="AL777" s="86"/>
      <c r="AM777" s="86">
        <f t="shared" si="79"/>
        <v>0</v>
      </c>
      <c r="AN777" s="63" t="s">
        <v>1155</v>
      </c>
      <c r="AO777" s="86">
        <f t="shared" si="80"/>
        <v>9385236</v>
      </c>
      <c r="AP777" s="63" t="s">
        <v>2132</v>
      </c>
      <c r="AQ777" s="63"/>
      <c r="AR777" s="63" t="s">
        <v>2109</v>
      </c>
      <c r="AS777" s="63"/>
      <c r="AT777" s="63"/>
      <c r="AU777" s="220"/>
      <c r="AV777" s="220"/>
      <c r="AW777" s="220"/>
    </row>
    <row r="778" spans="1:49" s="221" customFormat="1" ht="342" x14ac:dyDescent="0.25">
      <c r="A778" s="63">
        <v>364</v>
      </c>
      <c r="B778" s="63" t="str">
        <f t="shared" si="77"/>
        <v>3075-364</v>
      </c>
      <c r="C778" s="76" t="s">
        <v>1141</v>
      </c>
      <c r="D778" s="76" t="s">
        <v>1142</v>
      </c>
      <c r="E778" s="76" t="s">
        <v>1143</v>
      </c>
      <c r="F778" s="76" t="s">
        <v>1144</v>
      </c>
      <c r="G778" s="88" t="s">
        <v>2178</v>
      </c>
      <c r="H778" s="92" t="s">
        <v>2179</v>
      </c>
      <c r="I778" s="76" t="s">
        <v>1147</v>
      </c>
      <c r="J778" s="76" t="s">
        <v>1148</v>
      </c>
      <c r="K778" s="93" t="s">
        <v>439</v>
      </c>
      <c r="L778" s="63" t="s">
        <v>1149</v>
      </c>
      <c r="M778" s="63" t="s">
        <v>58</v>
      </c>
      <c r="N778" s="63" t="s">
        <v>59</v>
      </c>
      <c r="O778" s="76" t="s">
        <v>1199</v>
      </c>
      <c r="P778" s="76" t="s">
        <v>2181</v>
      </c>
      <c r="Q778" s="83">
        <v>420000000</v>
      </c>
      <c r="R778" s="63">
        <v>1</v>
      </c>
      <c r="S778" s="80">
        <f>419877047-200000000</f>
        <v>219877047</v>
      </c>
      <c r="T778" s="63"/>
      <c r="U778" s="63" t="s">
        <v>1163</v>
      </c>
      <c r="V778" s="81" t="s">
        <v>2182</v>
      </c>
      <c r="W778" s="82" t="s">
        <v>439</v>
      </c>
      <c r="X778" s="63"/>
      <c r="Y778" s="89"/>
      <c r="Z778" s="83"/>
      <c r="AA778" s="84"/>
      <c r="AB778" s="85"/>
      <c r="AC778" s="81"/>
      <c r="AD778" s="86"/>
      <c r="AE778" s="87">
        <f t="shared" si="81"/>
        <v>219877047</v>
      </c>
      <c r="AF778" s="85"/>
      <c r="AG778" s="81"/>
      <c r="AH778" s="86"/>
      <c r="AI778" s="63"/>
      <c r="AJ778" s="63"/>
      <c r="AK778" s="87">
        <f t="shared" si="78"/>
        <v>0</v>
      </c>
      <c r="AL778" s="86"/>
      <c r="AM778" s="86">
        <f t="shared" si="79"/>
        <v>0</v>
      </c>
      <c r="AN778" s="63" t="s">
        <v>1155</v>
      </c>
      <c r="AO778" s="86">
        <f t="shared" si="80"/>
        <v>219877047</v>
      </c>
      <c r="AP778" s="63" t="s">
        <v>2132</v>
      </c>
      <c r="AQ778" s="63"/>
      <c r="AR778" s="63" t="s">
        <v>2109</v>
      </c>
      <c r="AS778" s="63"/>
      <c r="AT778" s="63"/>
      <c r="AU778" s="220"/>
      <c r="AV778" s="220"/>
      <c r="AW778" s="220"/>
    </row>
    <row r="779" spans="1:49" s="221" customFormat="1" ht="185.25" x14ac:dyDescent="0.25">
      <c r="A779" s="63">
        <v>365</v>
      </c>
      <c r="B779" s="63" t="str">
        <f t="shared" si="77"/>
        <v>3075-365</v>
      </c>
      <c r="C779" s="76" t="s">
        <v>1141</v>
      </c>
      <c r="D779" s="76" t="s">
        <v>1142</v>
      </c>
      <c r="E779" s="76" t="s">
        <v>1174</v>
      </c>
      <c r="F779" s="76" t="s">
        <v>1175</v>
      </c>
      <c r="G779" s="77" t="s">
        <v>1176</v>
      </c>
      <c r="H779" s="78" t="s">
        <v>1177</v>
      </c>
      <c r="I779" s="76" t="s">
        <v>1147</v>
      </c>
      <c r="J779" s="76" t="s">
        <v>1148</v>
      </c>
      <c r="K779" s="76" t="s">
        <v>439</v>
      </c>
      <c r="L779" s="63" t="s">
        <v>1149</v>
      </c>
      <c r="M779" s="63" t="s">
        <v>58</v>
      </c>
      <c r="N779" s="63" t="s">
        <v>59</v>
      </c>
      <c r="O779" s="76" t="s">
        <v>1169</v>
      </c>
      <c r="P779" s="63" t="s">
        <v>2183</v>
      </c>
      <c r="Q779" s="83">
        <v>1154000000</v>
      </c>
      <c r="R779" s="98">
        <v>1</v>
      </c>
      <c r="S779" s="80">
        <f>1154000000-1154000000</f>
        <v>0</v>
      </c>
      <c r="T779" s="63"/>
      <c r="U779" s="63"/>
      <c r="V779" s="81"/>
      <c r="W779" s="82"/>
      <c r="X779" s="63" t="s">
        <v>2184</v>
      </c>
      <c r="Y779" s="81">
        <v>43164</v>
      </c>
      <c r="Z779" s="83">
        <f>1154000000-1154000000</f>
        <v>0</v>
      </c>
      <c r="AA779" s="84" t="s">
        <v>2185</v>
      </c>
      <c r="AB779" s="85"/>
      <c r="AC779" s="81"/>
      <c r="AD779" s="86">
        <v>0</v>
      </c>
      <c r="AE779" s="87">
        <f t="shared" si="81"/>
        <v>0</v>
      </c>
      <c r="AF779" s="85"/>
      <c r="AG779" s="81"/>
      <c r="AH779" s="86"/>
      <c r="AI779" s="63"/>
      <c r="AJ779" s="63"/>
      <c r="AK779" s="87">
        <f t="shared" si="78"/>
        <v>0</v>
      </c>
      <c r="AL779" s="86"/>
      <c r="AM779" s="86">
        <f t="shared" si="79"/>
        <v>0</v>
      </c>
      <c r="AN779" s="63" t="s">
        <v>1155</v>
      </c>
      <c r="AO779" s="86">
        <f t="shared" si="80"/>
        <v>0</v>
      </c>
      <c r="AP779" s="63" t="s">
        <v>2186</v>
      </c>
      <c r="AQ779" s="81">
        <v>43164</v>
      </c>
      <c r="AR779" s="63" t="s">
        <v>1157</v>
      </c>
      <c r="AS779" s="81">
        <v>43164</v>
      </c>
      <c r="AT779" s="63" t="s">
        <v>2187</v>
      </c>
      <c r="AU779" s="220"/>
      <c r="AV779" s="220"/>
      <c r="AW779" s="220"/>
    </row>
    <row r="780" spans="1:49" s="221" customFormat="1" ht="409.5" x14ac:dyDescent="0.25">
      <c r="A780" s="63">
        <v>366</v>
      </c>
      <c r="B780" s="63" t="str">
        <f t="shared" si="77"/>
        <v>3075-366</v>
      </c>
      <c r="C780" s="76" t="s">
        <v>1141</v>
      </c>
      <c r="D780" s="76" t="s">
        <v>1142</v>
      </c>
      <c r="E780" s="76" t="s">
        <v>1424</v>
      </c>
      <c r="F780" s="76" t="s">
        <v>1158</v>
      </c>
      <c r="G780" s="77" t="s">
        <v>1159</v>
      </c>
      <c r="H780" s="101" t="s">
        <v>1160</v>
      </c>
      <c r="I780" s="76" t="s">
        <v>1147</v>
      </c>
      <c r="J780" s="76" t="s">
        <v>1148</v>
      </c>
      <c r="K780" s="76">
        <v>801116</v>
      </c>
      <c r="L780" s="63" t="s">
        <v>1149</v>
      </c>
      <c r="M780" s="63" t="s">
        <v>58</v>
      </c>
      <c r="N780" s="63" t="s">
        <v>59</v>
      </c>
      <c r="O780" s="76" t="s">
        <v>1213</v>
      </c>
      <c r="P780" s="63" t="s">
        <v>2188</v>
      </c>
      <c r="Q780" s="83">
        <v>3300000</v>
      </c>
      <c r="R780" s="98">
        <v>1</v>
      </c>
      <c r="S780" s="80">
        <v>9900000</v>
      </c>
      <c r="T780" s="63" t="s">
        <v>888</v>
      </c>
      <c r="U780" s="63" t="s">
        <v>1163</v>
      </c>
      <c r="V780" s="81" t="s">
        <v>724</v>
      </c>
      <c r="W780" s="82">
        <v>3</v>
      </c>
      <c r="X780" s="63" t="s">
        <v>2189</v>
      </c>
      <c r="Y780" s="81">
        <v>43164</v>
      </c>
      <c r="Z780" s="83">
        <v>9900000</v>
      </c>
      <c r="AA780" s="84" t="s">
        <v>1692</v>
      </c>
      <c r="AB780" s="85">
        <v>685</v>
      </c>
      <c r="AC780" s="81">
        <v>43165</v>
      </c>
      <c r="AD780" s="86">
        <v>9900000</v>
      </c>
      <c r="AE780" s="86">
        <f t="shared" si="81"/>
        <v>0</v>
      </c>
      <c r="AF780" s="85">
        <v>1572</v>
      </c>
      <c r="AG780" s="81">
        <v>43173</v>
      </c>
      <c r="AH780" s="86">
        <v>9900000</v>
      </c>
      <c r="AI780" s="63" t="s">
        <v>2190</v>
      </c>
      <c r="AJ780" s="63">
        <v>541</v>
      </c>
      <c r="AK780" s="87">
        <f t="shared" si="78"/>
        <v>0</v>
      </c>
      <c r="AL780" s="86">
        <v>9900000</v>
      </c>
      <c r="AM780" s="86">
        <f t="shared" si="79"/>
        <v>0</v>
      </c>
      <c r="AN780" s="63" t="s">
        <v>1155</v>
      </c>
      <c r="AO780" s="86">
        <f t="shared" si="80"/>
        <v>0</v>
      </c>
      <c r="AP780" s="63"/>
      <c r="AQ780" s="81">
        <v>43164</v>
      </c>
      <c r="AR780" s="63" t="s">
        <v>2109</v>
      </c>
      <c r="AS780" s="81">
        <v>43164</v>
      </c>
      <c r="AT780" s="63" t="s">
        <v>1453</v>
      </c>
      <c r="AU780" s="220"/>
      <c r="AV780" s="220"/>
      <c r="AW780" s="220"/>
    </row>
    <row r="781" spans="1:49" s="221" customFormat="1" ht="409.5" x14ac:dyDescent="0.25">
      <c r="A781" s="63">
        <v>367</v>
      </c>
      <c r="B781" s="63" t="str">
        <f t="shared" si="77"/>
        <v>3075-367</v>
      </c>
      <c r="C781" s="76" t="s">
        <v>1141</v>
      </c>
      <c r="D781" s="76" t="s">
        <v>1142</v>
      </c>
      <c r="E781" s="76" t="s">
        <v>1424</v>
      </c>
      <c r="F781" s="76" t="s">
        <v>1158</v>
      </c>
      <c r="G781" s="77" t="s">
        <v>1159</v>
      </c>
      <c r="H781" s="101" t="s">
        <v>1160</v>
      </c>
      <c r="I781" s="76" t="s">
        <v>1147</v>
      </c>
      <c r="J781" s="76" t="s">
        <v>1148</v>
      </c>
      <c r="K781" s="76">
        <v>801116</v>
      </c>
      <c r="L781" s="63" t="s">
        <v>1149</v>
      </c>
      <c r="M781" s="63" t="s">
        <v>58</v>
      </c>
      <c r="N781" s="63" t="s">
        <v>59</v>
      </c>
      <c r="O781" s="76" t="s">
        <v>1213</v>
      </c>
      <c r="P781" s="63" t="s">
        <v>2191</v>
      </c>
      <c r="Q781" s="83">
        <v>5100000</v>
      </c>
      <c r="R781" s="98">
        <v>1</v>
      </c>
      <c r="S781" s="80">
        <v>15300000</v>
      </c>
      <c r="T781" s="63" t="s">
        <v>888</v>
      </c>
      <c r="U781" s="63" t="s">
        <v>1163</v>
      </c>
      <c r="V781" s="81" t="s">
        <v>724</v>
      </c>
      <c r="W781" s="82">
        <v>3</v>
      </c>
      <c r="X781" s="63" t="s">
        <v>2192</v>
      </c>
      <c r="Y781" s="81">
        <v>43164</v>
      </c>
      <c r="Z781" s="83">
        <v>15300000</v>
      </c>
      <c r="AA781" s="84" t="s">
        <v>1692</v>
      </c>
      <c r="AB781" s="85">
        <v>686</v>
      </c>
      <c r="AC781" s="81">
        <v>43165</v>
      </c>
      <c r="AD781" s="86">
        <v>15300000</v>
      </c>
      <c r="AE781" s="86">
        <f t="shared" si="81"/>
        <v>0</v>
      </c>
      <c r="AF781" s="85">
        <v>1575</v>
      </c>
      <c r="AG781" s="81">
        <v>43173</v>
      </c>
      <c r="AH781" s="86">
        <v>15300000</v>
      </c>
      <c r="AI781" s="63" t="s">
        <v>2193</v>
      </c>
      <c r="AJ781" s="63">
        <v>534</v>
      </c>
      <c r="AK781" s="87">
        <f t="shared" si="78"/>
        <v>0</v>
      </c>
      <c r="AL781" s="86">
        <v>15300000</v>
      </c>
      <c r="AM781" s="86">
        <f t="shared" si="79"/>
        <v>0</v>
      </c>
      <c r="AN781" s="63" t="s">
        <v>1155</v>
      </c>
      <c r="AO781" s="86">
        <f t="shared" si="80"/>
        <v>0</v>
      </c>
      <c r="AP781" s="63"/>
      <c r="AQ781" s="81">
        <v>43164</v>
      </c>
      <c r="AR781" s="63" t="s">
        <v>2109</v>
      </c>
      <c r="AS781" s="81">
        <v>43164</v>
      </c>
      <c r="AT781" s="63" t="s">
        <v>1453</v>
      </c>
      <c r="AU781" s="220"/>
      <c r="AV781" s="220"/>
      <c r="AW781" s="220"/>
    </row>
    <row r="782" spans="1:49" s="221" customFormat="1" ht="370.5" x14ac:dyDescent="0.25">
      <c r="A782" s="63">
        <v>368</v>
      </c>
      <c r="B782" s="63" t="str">
        <f t="shared" si="77"/>
        <v>3075-368</v>
      </c>
      <c r="C782" s="76" t="s">
        <v>1141</v>
      </c>
      <c r="D782" s="76" t="s">
        <v>1142</v>
      </c>
      <c r="E782" s="76" t="s">
        <v>1424</v>
      </c>
      <c r="F782" s="76" t="s">
        <v>1175</v>
      </c>
      <c r="G782" s="77" t="s">
        <v>1176</v>
      </c>
      <c r="H782" s="101" t="s">
        <v>1425</v>
      </c>
      <c r="I782" s="76" t="s">
        <v>1147</v>
      </c>
      <c r="J782" s="76" t="s">
        <v>1148</v>
      </c>
      <c r="K782" s="76" t="s">
        <v>439</v>
      </c>
      <c r="L782" s="63" t="s">
        <v>1149</v>
      </c>
      <c r="M782" s="63" t="s">
        <v>58</v>
      </c>
      <c r="N782" s="63" t="s">
        <v>59</v>
      </c>
      <c r="O782" s="76" t="s">
        <v>1213</v>
      </c>
      <c r="P782" s="63" t="s">
        <v>2194</v>
      </c>
      <c r="Q782" s="83">
        <v>54686940</v>
      </c>
      <c r="R782" s="98">
        <v>1</v>
      </c>
      <c r="S782" s="80">
        <v>54686940</v>
      </c>
      <c r="T782" s="63" t="s">
        <v>1171</v>
      </c>
      <c r="U782" s="63" t="s">
        <v>1171</v>
      </c>
      <c r="V782" s="81" t="s">
        <v>1023</v>
      </c>
      <c r="W782" s="82" t="s">
        <v>439</v>
      </c>
      <c r="X782" s="63" t="s">
        <v>2195</v>
      </c>
      <c r="Y782" s="81">
        <v>43164</v>
      </c>
      <c r="Z782" s="83">
        <v>54686940</v>
      </c>
      <c r="AA782" s="84" t="s">
        <v>1742</v>
      </c>
      <c r="AB782" s="85">
        <v>701</v>
      </c>
      <c r="AC782" s="81">
        <v>43167</v>
      </c>
      <c r="AD782" s="86">
        <v>54686940</v>
      </c>
      <c r="AE782" s="87">
        <v>0</v>
      </c>
      <c r="AF782" s="85">
        <v>1956</v>
      </c>
      <c r="AG782" s="81">
        <v>43245</v>
      </c>
      <c r="AH782" s="86">
        <v>54686940</v>
      </c>
      <c r="AI782" s="63" t="s">
        <v>2196</v>
      </c>
      <c r="AJ782" s="63">
        <v>2098</v>
      </c>
      <c r="AK782" s="87">
        <f t="shared" si="78"/>
        <v>0</v>
      </c>
      <c r="AL782" s="86">
        <v>54686940</v>
      </c>
      <c r="AM782" s="86">
        <f t="shared" si="79"/>
        <v>0</v>
      </c>
      <c r="AN782" s="63" t="s">
        <v>1155</v>
      </c>
      <c r="AO782" s="86">
        <f t="shared" si="80"/>
        <v>0</v>
      </c>
      <c r="AP782" s="63"/>
      <c r="AQ782" s="81">
        <v>43164</v>
      </c>
      <c r="AR782" s="63" t="s">
        <v>2109</v>
      </c>
      <c r="AS782" s="81">
        <v>43164</v>
      </c>
      <c r="AT782" s="63" t="s">
        <v>2194</v>
      </c>
      <c r="AU782" s="220"/>
      <c r="AV782" s="220"/>
      <c r="AW782" s="220"/>
    </row>
    <row r="783" spans="1:49" s="221" customFormat="1" ht="370.5" x14ac:dyDescent="0.25">
      <c r="A783" s="63">
        <v>369</v>
      </c>
      <c r="B783" s="63" t="str">
        <f t="shared" si="77"/>
        <v>3075-369</v>
      </c>
      <c r="C783" s="76" t="s">
        <v>1141</v>
      </c>
      <c r="D783" s="76" t="s">
        <v>1142</v>
      </c>
      <c r="E783" s="76" t="s">
        <v>1424</v>
      </c>
      <c r="F783" s="76" t="s">
        <v>1175</v>
      </c>
      <c r="G783" s="77" t="s">
        <v>1176</v>
      </c>
      <c r="H783" s="101" t="s">
        <v>1425</v>
      </c>
      <c r="I783" s="76" t="s">
        <v>1147</v>
      </c>
      <c r="J783" s="76" t="s">
        <v>1148</v>
      </c>
      <c r="K783" s="76" t="s">
        <v>439</v>
      </c>
      <c r="L783" s="63" t="s">
        <v>1149</v>
      </c>
      <c r="M783" s="63" t="s">
        <v>58</v>
      </c>
      <c r="N783" s="63" t="s">
        <v>59</v>
      </c>
      <c r="O783" s="76" t="s">
        <v>1213</v>
      </c>
      <c r="P783" s="63" t="s">
        <v>2197</v>
      </c>
      <c r="Q783" s="83">
        <v>54686940</v>
      </c>
      <c r="R783" s="98">
        <v>1</v>
      </c>
      <c r="S783" s="80">
        <v>54686940</v>
      </c>
      <c r="T783" s="63" t="s">
        <v>1171</v>
      </c>
      <c r="U783" s="63" t="s">
        <v>1171</v>
      </c>
      <c r="V783" s="81" t="s">
        <v>724</v>
      </c>
      <c r="W783" s="82" t="s">
        <v>439</v>
      </c>
      <c r="X783" s="63" t="s">
        <v>2198</v>
      </c>
      <c r="Y783" s="81">
        <v>43164</v>
      </c>
      <c r="Z783" s="86">
        <v>54686940</v>
      </c>
      <c r="AA783" s="84" t="s">
        <v>1742</v>
      </c>
      <c r="AB783" s="85">
        <v>702</v>
      </c>
      <c r="AC783" s="81">
        <v>43167</v>
      </c>
      <c r="AD783" s="86">
        <v>54686940</v>
      </c>
      <c r="AE783" s="87">
        <v>0</v>
      </c>
      <c r="AF783" s="85">
        <v>1622</v>
      </c>
      <c r="AG783" s="81">
        <v>43182</v>
      </c>
      <c r="AH783" s="86">
        <v>54686940</v>
      </c>
      <c r="AI783" s="63" t="s">
        <v>2199</v>
      </c>
      <c r="AJ783" s="63">
        <v>1630</v>
      </c>
      <c r="AK783" s="87">
        <f t="shared" si="78"/>
        <v>0</v>
      </c>
      <c r="AL783" s="86">
        <v>54686940</v>
      </c>
      <c r="AM783" s="86">
        <f t="shared" si="79"/>
        <v>0</v>
      </c>
      <c r="AN783" s="63" t="s">
        <v>1155</v>
      </c>
      <c r="AO783" s="86">
        <f t="shared" si="80"/>
        <v>0</v>
      </c>
      <c r="AP783" s="63"/>
      <c r="AQ783" s="81">
        <v>43164</v>
      </c>
      <c r="AR783" s="63" t="s">
        <v>2109</v>
      </c>
      <c r="AS783" s="81">
        <v>43164</v>
      </c>
      <c r="AT783" s="63" t="str">
        <f>P783</f>
        <v>Asignacion del instrumento financiero a las familias ocupantes del predio que hayan superado la fase de verificacion dentro del marco del Decreto 457 de 2017. LOCALIDAD: KENNEDY; BARRIO: VEREDITAS; ID: 2018-8-384287</v>
      </c>
      <c r="AU783" s="220"/>
      <c r="AV783" s="220"/>
      <c r="AW783" s="220"/>
    </row>
    <row r="784" spans="1:49" s="221" customFormat="1" ht="409.5" x14ac:dyDescent="0.25">
      <c r="A784" s="63">
        <v>370</v>
      </c>
      <c r="B784" s="63" t="str">
        <f t="shared" si="77"/>
        <v>3075-370</v>
      </c>
      <c r="C784" s="76" t="s">
        <v>1141</v>
      </c>
      <c r="D784" s="76" t="s">
        <v>1142</v>
      </c>
      <c r="E784" s="76" t="s">
        <v>1424</v>
      </c>
      <c r="F784" s="76" t="s">
        <v>1158</v>
      </c>
      <c r="G784" s="77" t="s">
        <v>1159</v>
      </c>
      <c r="H784" s="101" t="s">
        <v>1160</v>
      </c>
      <c r="I784" s="76" t="s">
        <v>1147</v>
      </c>
      <c r="J784" s="76" t="s">
        <v>1148</v>
      </c>
      <c r="K784" s="76">
        <v>801116</v>
      </c>
      <c r="L784" s="63" t="s">
        <v>1149</v>
      </c>
      <c r="M784" s="63" t="s">
        <v>58</v>
      </c>
      <c r="N784" s="63" t="s">
        <v>59</v>
      </c>
      <c r="O784" s="76" t="s">
        <v>1213</v>
      </c>
      <c r="P784" s="63" t="s">
        <v>2200</v>
      </c>
      <c r="Q784" s="83">
        <v>4000000</v>
      </c>
      <c r="R784" s="98">
        <v>1</v>
      </c>
      <c r="S784" s="80">
        <v>12000000</v>
      </c>
      <c r="T784" s="63" t="s">
        <v>888</v>
      </c>
      <c r="U784" s="63" t="s">
        <v>1163</v>
      </c>
      <c r="V784" s="81" t="s">
        <v>724</v>
      </c>
      <c r="W784" s="82">
        <v>3</v>
      </c>
      <c r="X784" s="63" t="s">
        <v>2201</v>
      </c>
      <c r="Y784" s="81">
        <v>43164</v>
      </c>
      <c r="Z784" s="83">
        <v>12000000</v>
      </c>
      <c r="AA784" s="84" t="s">
        <v>1692</v>
      </c>
      <c r="AB784" s="85">
        <v>687</v>
      </c>
      <c r="AC784" s="81">
        <v>43165</v>
      </c>
      <c r="AD784" s="86">
        <v>12000000</v>
      </c>
      <c r="AE784" s="86">
        <f t="shared" ref="AE784:AE831" si="82">S784-Z784</f>
        <v>0</v>
      </c>
      <c r="AF784" s="85">
        <v>1555</v>
      </c>
      <c r="AG784" s="81">
        <v>43172</v>
      </c>
      <c r="AH784" s="86">
        <v>12000000</v>
      </c>
      <c r="AI784" s="63" t="s">
        <v>1498</v>
      </c>
      <c r="AJ784" s="63">
        <v>537</v>
      </c>
      <c r="AK784" s="87">
        <f t="shared" si="78"/>
        <v>0</v>
      </c>
      <c r="AL784" s="86">
        <v>12000000</v>
      </c>
      <c r="AM784" s="86">
        <f t="shared" si="79"/>
        <v>0</v>
      </c>
      <c r="AN784" s="63" t="s">
        <v>1155</v>
      </c>
      <c r="AO784" s="86">
        <f t="shared" si="80"/>
        <v>0</v>
      </c>
      <c r="AP784" s="63"/>
      <c r="AQ784" s="81">
        <v>43164</v>
      </c>
      <c r="AR784" s="63" t="s">
        <v>2109</v>
      </c>
      <c r="AS784" s="81">
        <v>43164</v>
      </c>
      <c r="AT784" s="63" t="s">
        <v>1453</v>
      </c>
      <c r="AU784" s="220"/>
      <c r="AV784" s="220"/>
      <c r="AW784" s="220"/>
    </row>
    <row r="785" spans="1:49" s="221" customFormat="1" ht="409.5" x14ac:dyDescent="0.25">
      <c r="A785" s="63">
        <v>371</v>
      </c>
      <c r="B785" s="63" t="str">
        <f t="shared" si="77"/>
        <v>3075-371</v>
      </c>
      <c r="C785" s="76" t="s">
        <v>1141</v>
      </c>
      <c r="D785" s="76" t="s">
        <v>1142</v>
      </c>
      <c r="E785" s="76" t="s">
        <v>1424</v>
      </c>
      <c r="F785" s="76" t="s">
        <v>1158</v>
      </c>
      <c r="G785" s="77" t="s">
        <v>1159</v>
      </c>
      <c r="H785" s="101" t="s">
        <v>1160</v>
      </c>
      <c r="I785" s="76" t="s">
        <v>1147</v>
      </c>
      <c r="J785" s="76" t="s">
        <v>1148</v>
      </c>
      <c r="K785" s="76">
        <v>801116</v>
      </c>
      <c r="L785" s="63" t="s">
        <v>1149</v>
      </c>
      <c r="M785" s="63" t="s">
        <v>58</v>
      </c>
      <c r="N785" s="63" t="s">
        <v>59</v>
      </c>
      <c r="O785" s="76" t="s">
        <v>1213</v>
      </c>
      <c r="P785" s="63" t="s">
        <v>2202</v>
      </c>
      <c r="Q785" s="83">
        <v>5500000</v>
      </c>
      <c r="R785" s="98">
        <v>1</v>
      </c>
      <c r="S785" s="80">
        <v>16500000</v>
      </c>
      <c r="T785" s="63" t="s">
        <v>888</v>
      </c>
      <c r="U785" s="63" t="s">
        <v>1163</v>
      </c>
      <c r="V785" s="81" t="s">
        <v>724</v>
      </c>
      <c r="W785" s="82">
        <v>3</v>
      </c>
      <c r="X785" s="63" t="s">
        <v>2203</v>
      </c>
      <c r="Y785" s="81">
        <v>43164</v>
      </c>
      <c r="Z785" s="83">
        <v>16500000</v>
      </c>
      <c r="AA785" s="84" t="s">
        <v>1692</v>
      </c>
      <c r="AB785" s="85">
        <v>692</v>
      </c>
      <c r="AC785" s="81">
        <v>43165</v>
      </c>
      <c r="AD785" s="86">
        <v>16500000</v>
      </c>
      <c r="AE785" s="86">
        <f t="shared" si="82"/>
        <v>0</v>
      </c>
      <c r="AF785" s="85">
        <v>1573</v>
      </c>
      <c r="AG785" s="81">
        <v>43173</v>
      </c>
      <c r="AH785" s="86">
        <v>16500000</v>
      </c>
      <c r="AI785" s="63" t="s">
        <v>2204</v>
      </c>
      <c r="AJ785" s="63">
        <v>540</v>
      </c>
      <c r="AK785" s="87">
        <f t="shared" si="78"/>
        <v>0</v>
      </c>
      <c r="AL785" s="86">
        <v>16500000</v>
      </c>
      <c r="AM785" s="86">
        <f t="shared" si="79"/>
        <v>0</v>
      </c>
      <c r="AN785" s="63" t="s">
        <v>1155</v>
      </c>
      <c r="AO785" s="86">
        <f t="shared" si="80"/>
        <v>0</v>
      </c>
      <c r="AP785" s="63"/>
      <c r="AQ785" s="81">
        <v>43164</v>
      </c>
      <c r="AR785" s="63" t="s">
        <v>2109</v>
      </c>
      <c r="AS785" s="81">
        <v>43164</v>
      </c>
      <c r="AT785" s="63" t="s">
        <v>1453</v>
      </c>
      <c r="AU785" s="220"/>
      <c r="AV785" s="220"/>
      <c r="AW785" s="220"/>
    </row>
    <row r="786" spans="1:49" s="221" customFormat="1" ht="409.5" x14ac:dyDescent="0.25">
      <c r="A786" s="63">
        <v>372</v>
      </c>
      <c r="B786" s="63" t="str">
        <f t="shared" si="77"/>
        <v>3075-372</v>
      </c>
      <c r="C786" s="76" t="s">
        <v>1141</v>
      </c>
      <c r="D786" s="76" t="s">
        <v>1142</v>
      </c>
      <c r="E786" s="76" t="s">
        <v>1424</v>
      </c>
      <c r="F786" s="76" t="s">
        <v>1158</v>
      </c>
      <c r="G786" s="77" t="s">
        <v>1159</v>
      </c>
      <c r="H786" s="101" t="s">
        <v>1160</v>
      </c>
      <c r="I786" s="76" t="s">
        <v>1147</v>
      </c>
      <c r="J786" s="76" t="s">
        <v>1148</v>
      </c>
      <c r="K786" s="76">
        <v>801116</v>
      </c>
      <c r="L786" s="63" t="s">
        <v>1149</v>
      </c>
      <c r="M786" s="63" t="s">
        <v>58</v>
      </c>
      <c r="N786" s="63" t="s">
        <v>59</v>
      </c>
      <c r="O786" s="76" t="s">
        <v>1213</v>
      </c>
      <c r="P786" s="63" t="s">
        <v>2205</v>
      </c>
      <c r="Q786" s="83">
        <v>4000000</v>
      </c>
      <c r="R786" s="98">
        <v>1</v>
      </c>
      <c r="S786" s="80">
        <v>12000000</v>
      </c>
      <c r="T786" s="63" t="s">
        <v>888</v>
      </c>
      <c r="U786" s="63" t="s">
        <v>1163</v>
      </c>
      <c r="V786" s="81" t="s">
        <v>724</v>
      </c>
      <c r="W786" s="82">
        <v>3</v>
      </c>
      <c r="X786" s="63" t="s">
        <v>2206</v>
      </c>
      <c r="Y786" s="81">
        <v>43164</v>
      </c>
      <c r="Z786" s="83">
        <v>12000000</v>
      </c>
      <c r="AA786" s="84" t="s">
        <v>1692</v>
      </c>
      <c r="AB786" s="85">
        <v>695</v>
      </c>
      <c r="AC786" s="81">
        <v>43165</v>
      </c>
      <c r="AD786" s="86">
        <v>12000000</v>
      </c>
      <c r="AE786" s="86">
        <f t="shared" si="82"/>
        <v>0</v>
      </c>
      <c r="AF786" s="85">
        <v>1597</v>
      </c>
      <c r="AG786" s="81">
        <v>43175</v>
      </c>
      <c r="AH786" s="86">
        <v>12000000</v>
      </c>
      <c r="AI786" s="63" t="s">
        <v>2207</v>
      </c>
      <c r="AJ786" s="63">
        <v>552</v>
      </c>
      <c r="AK786" s="87">
        <f t="shared" si="78"/>
        <v>0</v>
      </c>
      <c r="AL786" s="86">
        <v>12000000</v>
      </c>
      <c r="AM786" s="86">
        <f t="shared" si="79"/>
        <v>0</v>
      </c>
      <c r="AN786" s="63" t="s">
        <v>1155</v>
      </c>
      <c r="AO786" s="86">
        <f t="shared" si="80"/>
        <v>0</v>
      </c>
      <c r="AP786" s="63"/>
      <c r="AQ786" s="81">
        <v>43164</v>
      </c>
      <c r="AR786" s="63" t="s">
        <v>2109</v>
      </c>
      <c r="AS786" s="81">
        <v>43164</v>
      </c>
      <c r="AT786" s="63" t="s">
        <v>1453</v>
      </c>
      <c r="AU786" s="220"/>
      <c r="AV786" s="220"/>
      <c r="AW786" s="220"/>
    </row>
    <row r="787" spans="1:49" s="221" customFormat="1" ht="409.5" x14ac:dyDescent="0.25">
      <c r="A787" s="63">
        <v>373</v>
      </c>
      <c r="B787" s="63" t="str">
        <f t="shared" si="77"/>
        <v>3075-373</v>
      </c>
      <c r="C787" s="76" t="s">
        <v>1141</v>
      </c>
      <c r="D787" s="76" t="s">
        <v>1142</v>
      </c>
      <c r="E787" s="76" t="s">
        <v>1424</v>
      </c>
      <c r="F787" s="76" t="s">
        <v>1158</v>
      </c>
      <c r="G787" s="77" t="s">
        <v>1159</v>
      </c>
      <c r="H787" s="101" t="s">
        <v>1160</v>
      </c>
      <c r="I787" s="76" t="s">
        <v>1147</v>
      </c>
      <c r="J787" s="76" t="s">
        <v>1148</v>
      </c>
      <c r="K787" s="76">
        <v>801116</v>
      </c>
      <c r="L787" s="63" t="s">
        <v>1149</v>
      </c>
      <c r="M787" s="63" t="s">
        <v>58</v>
      </c>
      <c r="N787" s="63" t="s">
        <v>59</v>
      </c>
      <c r="O787" s="76" t="s">
        <v>1213</v>
      </c>
      <c r="P787" s="63" t="s">
        <v>2208</v>
      </c>
      <c r="Q787" s="83">
        <v>5100000</v>
      </c>
      <c r="R787" s="98">
        <v>1</v>
      </c>
      <c r="S787" s="80">
        <v>15300000</v>
      </c>
      <c r="T787" s="63" t="s">
        <v>888</v>
      </c>
      <c r="U787" s="63" t="s">
        <v>1163</v>
      </c>
      <c r="V787" s="81" t="s">
        <v>724</v>
      </c>
      <c r="W787" s="82">
        <v>3</v>
      </c>
      <c r="X787" s="63" t="s">
        <v>2209</v>
      </c>
      <c r="Y787" s="81">
        <v>43164</v>
      </c>
      <c r="Z787" s="83">
        <v>15300000</v>
      </c>
      <c r="AA787" s="84" t="s">
        <v>1692</v>
      </c>
      <c r="AB787" s="85">
        <v>694</v>
      </c>
      <c r="AC787" s="81">
        <v>43165</v>
      </c>
      <c r="AD787" s="86">
        <v>15300000</v>
      </c>
      <c r="AE787" s="86">
        <f t="shared" si="82"/>
        <v>0</v>
      </c>
      <c r="AF787" s="85">
        <v>1576</v>
      </c>
      <c r="AG787" s="81">
        <v>43173</v>
      </c>
      <c r="AH787" s="86">
        <v>15300000</v>
      </c>
      <c r="AI787" s="63" t="s">
        <v>2210</v>
      </c>
      <c r="AJ787" s="63">
        <v>542</v>
      </c>
      <c r="AK787" s="87">
        <f t="shared" si="78"/>
        <v>0</v>
      </c>
      <c r="AL787" s="86">
        <v>15300000</v>
      </c>
      <c r="AM787" s="86">
        <f t="shared" si="79"/>
        <v>0</v>
      </c>
      <c r="AN787" s="63" t="s">
        <v>1155</v>
      </c>
      <c r="AO787" s="86">
        <f t="shared" si="80"/>
        <v>0</v>
      </c>
      <c r="AP787" s="63"/>
      <c r="AQ787" s="81">
        <v>43164</v>
      </c>
      <c r="AR787" s="63" t="s">
        <v>2109</v>
      </c>
      <c r="AS787" s="81">
        <v>43164</v>
      </c>
      <c r="AT787" s="63" t="s">
        <v>1453</v>
      </c>
      <c r="AU787" s="220"/>
      <c r="AV787" s="220"/>
      <c r="AW787" s="220"/>
    </row>
    <row r="788" spans="1:49" s="221" customFormat="1" ht="409.5" x14ac:dyDescent="0.25">
      <c r="A788" s="63">
        <v>374</v>
      </c>
      <c r="B788" s="63" t="str">
        <f t="shared" si="77"/>
        <v>3075-374</v>
      </c>
      <c r="C788" s="76" t="s">
        <v>1141</v>
      </c>
      <c r="D788" s="76" t="s">
        <v>1142</v>
      </c>
      <c r="E788" s="76" t="s">
        <v>1424</v>
      </c>
      <c r="F788" s="76" t="s">
        <v>1158</v>
      </c>
      <c r="G788" s="77" t="s">
        <v>1159</v>
      </c>
      <c r="H788" s="101" t="s">
        <v>1160</v>
      </c>
      <c r="I788" s="76" t="s">
        <v>1147</v>
      </c>
      <c r="J788" s="76" t="s">
        <v>1148</v>
      </c>
      <c r="K788" s="76">
        <v>801116</v>
      </c>
      <c r="L788" s="63" t="s">
        <v>1149</v>
      </c>
      <c r="M788" s="63" t="s">
        <v>58</v>
      </c>
      <c r="N788" s="63" t="s">
        <v>59</v>
      </c>
      <c r="O788" s="76" t="s">
        <v>1213</v>
      </c>
      <c r="P788" s="63" t="s">
        <v>2211</v>
      </c>
      <c r="Q788" s="83">
        <v>5100000</v>
      </c>
      <c r="R788" s="98">
        <v>1</v>
      </c>
      <c r="S788" s="80">
        <v>15300000</v>
      </c>
      <c r="T788" s="63" t="s">
        <v>888</v>
      </c>
      <c r="U788" s="63" t="s">
        <v>1163</v>
      </c>
      <c r="V788" s="81" t="s">
        <v>724</v>
      </c>
      <c r="W788" s="82">
        <v>3</v>
      </c>
      <c r="X788" s="63" t="s">
        <v>2212</v>
      </c>
      <c r="Y788" s="81">
        <v>43164</v>
      </c>
      <c r="Z788" s="83">
        <v>15300000</v>
      </c>
      <c r="AA788" s="84" t="s">
        <v>1692</v>
      </c>
      <c r="AB788" s="85">
        <v>696</v>
      </c>
      <c r="AC788" s="81">
        <v>43165</v>
      </c>
      <c r="AD788" s="86">
        <v>15300000</v>
      </c>
      <c r="AE788" s="86">
        <f t="shared" si="82"/>
        <v>0</v>
      </c>
      <c r="AF788" s="85">
        <v>1599</v>
      </c>
      <c r="AG788" s="81">
        <v>43175</v>
      </c>
      <c r="AH788" s="86">
        <v>15300000</v>
      </c>
      <c r="AI788" s="63" t="s">
        <v>1455</v>
      </c>
      <c r="AJ788" s="63">
        <v>554</v>
      </c>
      <c r="AK788" s="87">
        <f t="shared" si="78"/>
        <v>0</v>
      </c>
      <c r="AL788" s="86">
        <v>15300000</v>
      </c>
      <c r="AM788" s="86">
        <f t="shared" si="79"/>
        <v>0</v>
      </c>
      <c r="AN788" s="63" t="s">
        <v>1155</v>
      </c>
      <c r="AO788" s="86">
        <f t="shared" si="80"/>
        <v>0</v>
      </c>
      <c r="AP788" s="63"/>
      <c r="AQ788" s="81">
        <v>43164</v>
      </c>
      <c r="AR788" s="63" t="s">
        <v>2109</v>
      </c>
      <c r="AS788" s="81">
        <v>43164</v>
      </c>
      <c r="AT788" s="63" t="s">
        <v>1453</v>
      </c>
      <c r="AU788" s="220"/>
      <c r="AV788" s="220"/>
      <c r="AW788" s="220"/>
    </row>
    <row r="789" spans="1:49" s="221" customFormat="1" ht="409.5" x14ac:dyDescent="0.25">
      <c r="A789" s="63">
        <v>375</v>
      </c>
      <c r="B789" s="63" t="str">
        <f t="shared" si="77"/>
        <v>3075-375</v>
      </c>
      <c r="C789" s="76" t="s">
        <v>1141</v>
      </c>
      <c r="D789" s="76" t="s">
        <v>1142</v>
      </c>
      <c r="E789" s="76" t="s">
        <v>1424</v>
      </c>
      <c r="F789" s="76" t="s">
        <v>1158</v>
      </c>
      <c r="G789" s="77" t="s">
        <v>1159</v>
      </c>
      <c r="H789" s="101" t="s">
        <v>1160</v>
      </c>
      <c r="I789" s="76" t="s">
        <v>1147</v>
      </c>
      <c r="J789" s="76" t="s">
        <v>1148</v>
      </c>
      <c r="K789" s="76">
        <v>801116</v>
      </c>
      <c r="L789" s="63" t="s">
        <v>1149</v>
      </c>
      <c r="M789" s="63" t="s">
        <v>58</v>
      </c>
      <c r="N789" s="63" t="s">
        <v>59</v>
      </c>
      <c r="O789" s="76" t="s">
        <v>1213</v>
      </c>
      <c r="P789" s="63" t="s">
        <v>2213</v>
      </c>
      <c r="Q789" s="83">
        <v>3300000</v>
      </c>
      <c r="R789" s="98">
        <v>1</v>
      </c>
      <c r="S789" s="80">
        <v>9900000</v>
      </c>
      <c r="T789" s="63" t="s">
        <v>888</v>
      </c>
      <c r="U789" s="63" t="s">
        <v>1163</v>
      </c>
      <c r="V789" s="81" t="s">
        <v>724</v>
      </c>
      <c r="W789" s="82">
        <v>3</v>
      </c>
      <c r="X789" s="63" t="s">
        <v>2214</v>
      </c>
      <c r="Y789" s="81">
        <v>43164</v>
      </c>
      <c r="Z789" s="86">
        <v>9900000</v>
      </c>
      <c r="AA789" s="84" t="s">
        <v>1692</v>
      </c>
      <c r="AB789" s="85">
        <v>690</v>
      </c>
      <c r="AC789" s="81">
        <v>43165</v>
      </c>
      <c r="AD789" s="86">
        <v>9900000</v>
      </c>
      <c r="AE789" s="86">
        <f t="shared" si="82"/>
        <v>0</v>
      </c>
      <c r="AF789" s="85">
        <v>1594</v>
      </c>
      <c r="AG789" s="81">
        <v>43175</v>
      </c>
      <c r="AH789" s="86">
        <v>9900000</v>
      </c>
      <c r="AI789" s="63" t="s">
        <v>2215</v>
      </c>
      <c r="AJ789" s="63">
        <v>543</v>
      </c>
      <c r="AK789" s="87">
        <f t="shared" si="78"/>
        <v>0</v>
      </c>
      <c r="AL789" s="86">
        <v>9900000</v>
      </c>
      <c r="AM789" s="86">
        <f t="shared" si="79"/>
        <v>0</v>
      </c>
      <c r="AN789" s="63" t="s">
        <v>1155</v>
      </c>
      <c r="AO789" s="86">
        <f t="shared" si="80"/>
        <v>0</v>
      </c>
      <c r="AP789" s="63"/>
      <c r="AQ789" s="81">
        <v>43164</v>
      </c>
      <c r="AR789" s="63" t="s">
        <v>2109</v>
      </c>
      <c r="AS789" s="81">
        <v>43164</v>
      </c>
      <c r="AT789" s="63" t="s">
        <v>1453</v>
      </c>
      <c r="AU789" s="220"/>
      <c r="AV789" s="220"/>
      <c r="AW789" s="220"/>
    </row>
    <row r="790" spans="1:49" s="221" customFormat="1" ht="409.5" x14ac:dyDescent="0.25">
      <c r="A790" s="63">
        <v>376</v>
      </c>
      <c r="B790" s="63" t="str">
        <f t="shared" si="77"/>
        <v>3075-376</v>
      </c>
      <c r="C790" s="76" t="s">
        <v>1141</v>
      </c>
      <c r="D790" s="76" t="s">
        <v>1142</v>
      </c>
      <c r="E790" s="76" t="s">
        <v>1424</v>
      </c>
      <c r="F790" s="76" t="s">
        <v>1158</v>
      </c>
      <c r="G790" s="77" t="s">
        <v>1159</v>
      </c>
      <c r="H790" s="101" t="s">
        <v>1160</v>
      </c>
      <c r="I790" s="76" t="s">
        <v>1147</v>
      </c>
      <c r="J790" s="76" t="s">
        <v>1148</v>
      </c>
      <c r="K790" s="76">
        <v>801116</v>
      </c>
      <c r="L790" s="63" t="s">
        <v>1149</v>
      </c>
      <c r="M790" s="63" t="s">
        <v>58</v>
      </c>
      <c r="N790" s="63" t="s">
        <v>59</v>
      </c>
      <c r="O790" s="76" t="s">
        <v>1213</v>
      </c>
      <c r="P790" s="63" t="s">
        <v>2216</v>
      </c>
      <c r="Q790" s="83">
        <v>3300000</v>
      </c>
      <c r="R790" s="98">
        <v>1</v>
      </c>
      <c r="S790" s="80">
        <v>9900000</v>
      </c>
      <c r="T790" s="63" t="s">
        <v>888</v>
      </c>
      <c r="U790" s="63" t="s">
        <v>1163</v>
      </c>
      <c r="V790" s="81" t="s">
        <v>724</v>
      </c>
      <c r="W790" s="82">
        <v>3</v>
      </c>
      <c r="X790" s="63" t="s">
        <v>2217</v>
      </c>
      <c r="Y790" s="81">
        <v>43164</v>
      </c>
      <c r="Z790" s="83">
        <v>9900000</v>
      </c>
      <c r="AA790" s="84" t="s">
        <v>1692</v>
      </c>
      <c r="AB790" s="85">
        <v>691</v>
      </c>
      <c r="AC790" s="81">
        <v>43165</v>
      </c>
      <c r="AD790" s="86">
        <v>9900000</v>
      </c>
      <c r="AE790" s="86">
        <f t="shared" si="82"/>
        <v>0</v>
      </c>
      <c r="AF790" s="85">
        <v>1591</v>
      </c>
      <c r="AG790" s="81">
        <v>43175</v>
      </c>
      <c r="AH790" s="86">
        <v>9900000</v>
      </c>
      <c r="AI790" s="63" t="s">
        <v>2218</v>
      </c>
      <c r="AJ790" s="63">
        <v>549</v>
      </c>
      <c r="AK790" s="87">
        <f t="shared" si="78"/>
        <v>0</v>
      </c>
      <c r="AL790" s="86">
        <v>9900000</v>
      </c>
      <c r="AM790" s="86">
        <f t="shared" si="79"/>
        <v>0</v>
      </c>
      <c r="AN790" s="63" t="s">
        <v>1155</v>
      </c>
      <c r="AO790" s="86">
        <f t="shared" si="80"/>
        <v>0</v>
      </c>
      <c r="AP790" s="63"/>
      <c r="AQ790" s="81">
        <v>43164</v>
      </c>
      <c r="AR790" s="63" t="s">
        <v>2109</v>
      </c>
      <c r="AS790" s="81">
        <v>43164</v>
      </c>
      <c r="AT790" s="63" t="s">
        <v>1453</v>
      </c>
      <c r="AU790" s="220"/>
      <c r="AV790" s="220"/>
      <c r="AW790" s="220"/>
    </row>
    <row r="791" spans="1:49" s="221" customFormat="1" ht="409.5" x14ac:dyDescent="0.25">
      <c r="A791" s="63">
        <v>377</v>
      </c>
      <c r="B791" s="63" t="str">
        <f t="shared" si="77"/>
        <v>3075-377</v>
      </c>
      <c r="C791" s="76" t="s">
        <v>1141</v>
      </c>
      <c r="D791" s="76" t="s">
        <v>1142</v>
      </c>
      <c r="E791" s="76" t="s">
        <v>1424</v>
      </c>
      <c r="F791" s="76" t="s">
        <v>1158</v>
      </c>
      <c r="G791" s="77" t="s">
        <v>1159</v>
      </c>
      <c r="H791" s="101" t="s">
        <v>1160</v>
      </c>
      <c r="I791" s="76" t="s">
        <v>1147</v>
      </c>
      <c r="J791" s="76" t="s">
        <v>1148</v>
      </c>
      <c r="K791" s="76">
        <v>801116</v>
      </c>
      <c r="L791" s="63" t="s">
        <v>1149</v>
      </c>
      <c r="M791" s="63" t="s">
        <v>58</v>
      </c>
      <c r="N791" s="63" t="s">
        <v>59</v>
      </c>
      <c r="O791" s="76" t="s">
        <v>1213</v>
      </c>
      <c r="P791" s="63" t="s">
        <v>2219</v>
      </c>
      <c r="Q791" s="83">
        <v>5100000</v>
      </c>
      <c r="R791" s="98">
        <v>1</v>
      </c>
      <c r="S791" s="80">
        <v>15300000</v>
      </c>
      <c r="T791" s="63" t="s">
        <v>888</v>
      </c>
      <c r="U791" s="63" t="s">
        <v>1163</v>
      </c>
      <c r="V791" s="81" t="s">
        <v>724</v>
      </c>
      <c r="W791" s="82">
        <v>3</v>
      </c>
      <c r="X791" s="63" t="s">
        <v>2220</v>
      </c>
      <c r="Y791" s="81">
        <v>43164</v>
      </c>
      <c r="Z791" s="83">
        <v>15300000</v>
      </c>
      <c r="AA791" s="84" t="s">
        <v>1692</v>
      </c>
      <c r="AB791" s="85">
        <v>688</v>
      </c>
      <c r="AC791" s="81">
        <v>43165</v>
      </c>
      <c r="AD791" s="86">
        <v>15300000</v>
      </c>
      <c r="AE791" s="86">
        <f t="shared" si="82"/>
        <v>0</v>
      </c>
      <c r="AF791" s="85">
        <v>1596</v>
      </c>
      <c r="AG791" s="81">
        <v>43175</v>
      </c>
      <c r="AH791" s="86">
        <v>15300000</v>
      </c>
      <c r="AI791" s="63" t="s">
        <v>2221</v>
      </c>
      <c r="AJ791" s="63">
        <v>544</v>
      </c>
      <c r="AK791" s="87">
        <f t="shared" si="78"/>
        <v>0</v>
      </c>
      <c r="AL791" s="86">
        <v>15300000</v>
      </c>
      <c r="AM791" s="86">
        <f t="shared" si="79"/>
        <v>0</v>
      </c>
      <c r="AN791" s="63" t="s">
        <v>1155</v>
      </c>
      <c r="AO791" s="86">
        <f t="shared" si="80"/>
        <v>0</v>
      </c>
      <c r="AP791" s="63"/>
      <c r="AQ791" s="81">
        <v>43164</v>
      </c>
      <c r="AR791" s="63" t="s">
        <v>2109</v>
      </c>
      <c r="AS791" s="81">
        <v>43164</v>
      </c>
      <c r="AT791" s="63" t="s">
        <v>1453</v>
      </c>
      <c r="AU791" s="220"/>
      <c r="AV791" s="220"/>
      <c r="AW791" s="220"/>
    </row>
    <row r="792" spans="1:49" s="221" customFormat="1" ht="409.5" x14ac:dyDescent="0.25">
      <c r="A792" s="63">
        <v>378</v>
      </c>
      <c r="B792" s="63" t="str">
        <f t="shared" si="77"/>
        <v>3075-378</v>
      </c>
      <c r="C792" s="76" t="s">
        <v>1141</v>
      </c>
      <c r="D792" s="76" t="s">
        <v>1142</v>
      </c>
      <c r="E792" s="76" t="s">
        <v>1424</v>
      </c>
      <c r="F792" s="76" t="s">
        <v>1158</v>
      </c>
      <c r="G792" s="77" t="s">
        <v>1159</v>
      </c>
      <c r="H792" s="101" t="s">
        <v>1160</v>
      </c>
      <c r="I792" s="76" t="s">
        <v>1147</v>
      </c>
      <c r="J792" s="76" t="s">
        <v>1148</v>
      </c>
      <c r="K792" s="76">
        <v>801116</v>
      </c>
      <c r="L792" s="63" t="s">
        <v>1149</v>
      </c>
      <c r="M792" s="63" t="s">
        <v>58</v>
      </c>
      <c r="N792" s="63" t="s">
        <v>59</v>
      </c>
      <c r="O792" s="76" t="s">
        <v>1213</v>
      </c>
      <c r="P792" s="63" t="s">
        <v>2222</v>
      </c>
      <c r="Q792" s="83">
        <v>3450000</v>
      </c>
      <c r="R792" s="98">
        <v>1</v>
      </c>
      <c r="S792" s="80">
        <v>10350000</v>
      </c>
      <c r="T792" s="63" t="s">
        <v>888</v>
      </c>
      <c r="U792" s="63" t="s">
        <v>1163</v>
      </c>
      <c r="V792" s="81" t="s">
        <v>724</v>
      </c>
      <c r="W792" s="82">
        <v>3</v>
      </c>
      <c r="X792" s="63" t="s">
        <v>2223</v>
      </c>
      <c r="Y792" s="81">
        <v>43164</v>
      </c>
      <c r="Z792" s="83">
        <v>10350000</v>
      </c>
      <c r="AA792" s="84" t="s">
        <v>1692</v>
      </c>
      <c r="AB792" s="85">
        <v>689</v>
      </c>
      <c r="AC792" s="81">
        <v>43165</v>
      </c>
      <c r="AD792" s="86">
        <v>10350000</v>
      </c>
      <c r="AE792" s="86">
        <f t="shared" si="82"/>
        <v>0</v>
      </c>
      <c r="AF792" s="85">
        <v>1593</v>
      </c>
      <c r="AG792" s="81">
        <v>43175</v>
      </c>
      <c r="AH792" s="86">
        <v>10350000</v>
      </c>
      <c r="AI792" s="63" t="s">
        <v>2224</v>
      </c>
      <c r="AJ792" s="63">
        <v>546</v>
      </c>
      <c r="AK792" s="87">
        <f t="shared" si="78"/>
        <v>0</v>
      </c>
      <c r="AL792" s="86">
        <v>10350000</v>
      </c>
      <c r="AM792" s="86">
        <f t="shared" si="79"/>
        <v>0</v>
      </c>
      <c r="AN792" s="63" t="s">
        <v>1155</v>
      </c>
      <c r="AO792" s="86">
        <f t="shared" si="80"/>
        <v>0</v>
      </c>
      <c r="AP792" s="63"/>
      <c r="AQ792" s="81">
        <v>43164</v>
      </c>
      <c r="AR792" s="63" t="s">
        <v>2109</v>
      </c>
      <c r="AS792" s="81">
        <v>43164</v>
      </c>
      <c r="AT792" s="63" t="s">
        <v>1453</v>
      </c>
      <c r="AU792" s="220"/>
      <c r="AV792" s="220"/>
      <c r="AW792" s="220"/>
    </row>
    <row r="793" spans="1:49" s="221" customFormat="1" ht="370.5" x14ac:dyDescent="0.25">
      <c r="A793" s="63">
        <v>379</v>
      </c>
      <c r="B793" s="63" t="str">
        <f t="shared" si="77"/>
        <v>3075-379</v>
      </c>
      <c r="C793" s="76" t="s">
        <v>1141</v>
      </c>
      <c r="D793" s="76" t="s">
        <v>1142</v>
      </c>
      <c r="E793" s="76" t="s">
        <v>1424</v>
      </c>
      <c r="F793" s="76" t="s">
        <v>1175</v>
      </c>
      <c r="G793" s="77" t="s">
        <v>1176</v>
      </c>
      <c r="H793" s="78" t="s">
        <v>1425</v>
      </c>
      <c r="I793" s="76" t="s">
        <v>1147</v>
      </c>
      <c r="J793" s="76" t="s">
        <v>1148</v>
      </c>
      <c r="K793" s="76" t="s">
        <v>439</v>
      </c>
      <c r="L793" s="63" t="s">
        <v>1149</v>
      </c>
      <c r="M793" s="63" t="s">
        <v>58</v>
      </c>
      <c r="N793" s="63" t="s">
        <v>59</v>
      </c>
      <c r="O793" s="76" t="s">
        <v>1213</v>
      </c>
      <c r="P793" s="63" t="s">
        <v>2225</v>
      </c>
      <c r="Q793" s="83">
        <v>54686940</v>
      </c>
      <c r="R793" s="98">
        <v>1</v>
      </c>
      <c r="S793" s="80">
        <v>54686940</v>
      </c>
      <c r="T793" s="63" t="s">
        <v>1171</v>
      </c>
      <c r="U793" s="63" t="s">
        <v>1171</v>
      </c>
      <c r="V793" s="81" t="s">
        <v>411</v>
      </c>
      <c r="W793" s="82" t="s">
        <v>439</v>
      </c>
      <c r="X793" s="63" t="s">
        <v>2226</v>
      </c>
      <c r="Y793" s="81">
        <v>43164</v>
      </c>
      <c r="Z793" s="86">
        <v>54686940</v>
      </c>
      <c r="AA793" s="84" t="s">
        <v>1742</v>
      </c>
      <c r="AB793" s="85">
        <v>703</v>
      </c>
      <c r="AC793" s="81">
        <v>43167</v>
      </c>
      <c r="AD793" s="86">
        <v>54686940</v>
      </c>
      <c r="AE793" s="87">
        <f t="shared" si="82"/>
        <v>0</v>
      </c>
      <c r="AF793" s="85">
        <v>1665</v>
      </c>
      <c r="AG793" s="81">
        <v>43192</v>
      </c>
      <c r="AH793" s="86">
        <v>54686940</v>
      </c>
      <c r="AI793" s="63" t="s">
        <v>2227</v>
      </c>
      <c r="AJ793" s="63">
        <v>1685</v>
      </c>
      <c r="AK793" s="87">
        <f t="shared" si="78"/>
        <v>0</v>
      </c>
      <c r="AL793" s="86">
        <v>54686940</v>
      </c>
      <c r="AM793" s="86">
        <f t="shared" si="79"/>
        <v>0</v>
      </c>
      <c r="AN793" s="63" t="s">
        <v>1155</v>
      </c>
      <c r="AO793" s="86">
        <f t="shared" si="80"/>
        <v>0</v>
      </c>
      <c r="AP793" s="63"/>
      <c r="AQ793" s="81">
        <v>43164</v>
      </c>
      <c r="AR793" s="63" t="s">
        <v>2109</v>
      </c>
      <c r="AS793" s="81">
        <v>43164</v>
      </c>
      <c r="AT793" s="63" t="str">
        <f>P793</f>
        <v>Asignacion del instrumento financiero a las familias ocupantes del predio que hayan superado la fase de verificacion dentro del marco del Decreto 457 de 2017. LOCALIDAD: KENNEDY; BARRIO: VEREDITAS; ID: 2017-8-383670</v>
      </c>
      <c r="AU793" s="220"/>
      <c r="AV793" s="220"/>
      <c r="AW793" s="220"/>
    </row>
    <row r="794" spans="1:49" s="221" customFormat="1" ht="128.25" x14ac:dyDescent="0.25">
      <c r="A794" s="63">
        <v>380</v>
      </c>
      <c r="B794" s="63" t="str">
        <f t="shared" si="77"/>
        <v>3075-380</v>
      </c>
      <c r="C794" s="76" t="s">
        <v>1141</v>
      </c>
      <c r="D794" s="76" t="s">
        <v>1142</v>
      </c>
      <c r="E794" s="76" t="s">
        <v>1165</v>
      </c>
      <c r="F794" s="76" t="s">
        <v>1166</v>
      </c>
      <c r="G794" s="77" t="s">
        <v>1167</v>
      </c>
      <c r="H794" s="78" t="s">
        <v>1168</v>
      </c>
      <c r="I794" s="76" t="s">
        <v>1147</v>
      </c>
      <c r="J794" s="76" t="s">
        <v>1148</v>
      </c>
      <c r="K794" s="76" t="s">
        <v>439</v>
      </c>
      <c r="L794" s="63" t="s">
        <v>1149</v>
      </c>
      <c r="M794" s="63" t="s">
        <v>58</v>
      </c>
      <c r="N794" s="63" t="s">
        <v>59</v>
      </c>
      <c r="O794" s="76" t="s">
        <v>1169</v>
      </c>
      <c r="P794" s="63" t="s">
        <v>2228</v>
      </c>
      <c r="Q794" s="79">
        <v>14366140</v>
      </c>
      <c r="R794" s="63">
        <v>1</v>
      </c>
      <c r="S794" s="80">
        <v>0</v>
      </c>
      <c r="T794" s="63"/>
      <c r="U794" s="63"/>
      <c r="V794" s="81"/>
      <c r="W794" s="82"/>
      <c r="X794" s="63" t="s">
        <v>2229</v>
      </c>
      <c r="Y794" s="81">
        <v>43166</v>
      </c>
      <c r="Z794" s="83">
        <v>0</v>
      </c>
      <c r="AA794" s="84" t="s">
        <v>1782</v>
      </c>
      <c r="AB794" s="85"/>
      <c r="AC794" s="81"/>
      <c r="AD794" s="86"/>
      <c r="AE794" s="87">
        <f t="shared" si="82"/>
        <v>0</v>
      </c>
      <c r="AF794" s="85"/>
      <c r="AG794" s="81"/>
      <c r="AH794" s="86"/>
      <c r="AI794" s="63"/>
      <c r="AJ794" s="63"/>
      <c r="AK794" s="87">
        <f t="shared" si="78"/>
        <v>0</v>
      </c>
      <c r="AL794" s="86"/>
      <c r="AM794" s="86">
        <f t="shared" si="79"/>
        <v>0</v>
      </c>
      <c r="AN794" s="63" t="s">
        <v>1155</v>
      </c>
      <c r="AO794" s="86">
        <f t="shared" si="80"/>
        <v>0</v>
      </c>
      <c r="AP794" s="63"/>
      <c r="AQ794" s="81">
        <v>43150</v>
      </c>
      <c r="AR794" s="63" t="s">
        <v>1157</v>
      </c>
      <c r="AS794" s="81">
        <v>43166</v>
      </c>
      <c r="AT794" s="63" t="s">
        <v>2230</v>
      </c>
      <c r="AU794" s="220"/>
      <c r="AV794" s="220"/>
      <c r="AW794" s="220"/>
    </row>
    <row r="795" spans="1:49" s="221" customFormat="1" ht="128.25" x14ac:dyDescent="0.25">
      <c r="A795" s="63">
        <v>381</v>
      </c>
      <c r="B795" s="63" t="str">
        <f t="shared" si="77"/>
        <v>3075-381</v>
      </c>
      <c r="C795" s="76" t="s">
        <v>1141</v>
      </c>
      <c r="D795" s="76" t="s">
        <v>1142</v>
      </c>
      <c r="E795" s="76" t="s">
        <v>1165</v>
      </c>
      <c r="F795" s="76" t="s">
        <v>1166</v>
      </c>
      <c r="G795" s="77" t="s">
        <v>1167</v>
      </c>
      <c r="H795" s="78" t="s">
        <v>1168</v>
      </c>
      <c r="I795" s="76" t="s">
        <v>1147</v>
      </c>
      <c r="J795" s="76" t="s">
        <v>1148</v>
      </c>
      <c r="K795" s="76" t="s">
        <v>439</v>
      </c>
      <c r="L795" s="63" t="s">
        <v>1149</v>
      </c>
      <c r="M795" s="63" t="s">
        <v>58</v>
      </c>
      <c r="N795" s="63" t="s">
        <v>59</v>
      </c>
      <c r="O795" s="76" t="s">
        <v>1169</v>
      </c>
      <c r="P795" s="63" t="s">
        <v>2228</v>
      </c>
      <c r="Q795" s="79">
        <v>21724920</v>
      </c>
      <c r="R795" s="63">
        <v>1</v>
      </c>
      <c r="S795" s="80">
        <v>0</v>
      </c>
      <c r="T795" s="63"/>
      <c r="U795" s="63"/>
      <c r="V795" s="81"/>
      <c r="W795" s="82"/>
      <c r="X795" s="63" t="s">
        <v>2231</v>
      </c>
      <c r="Y795" s="81">
        <v>43166</v>
      </c>
      <c r="Z795" s="83">
        <v>0</v>
      </c>
      <c r="AA795" s="84" t="s">
        <v>1782</v>
      </c>
      <c r="AB795" s="85"/>
      <c r="AC795" s="81"/>
      <c r="AD795" s="86"/>
      <c r="AE795" s="87">
        <f t="shared" si="82"/>
        <v>0</v>
      </c>
      <c r="AF795" s="85"/>
      <c r="AG795" s="81"/>
      <c r="AH795" s="86"/>
      <c r="AI795" s="63"/>
      <c r="AJ795" s="63"/>
      <c r="AK795" s="87">
        <f t="shared" si="78"/>
        <v>0</v>
      </c>
      <c r="AL795" s="86"/>
      <c r="AM795" s="86">
        <f t="shared" si="79"/>
        <v>0</v>
      </c>
      <c r="AN795" s="63" t="s">
        <v>1155</v>
      </c>
      <c r="AO795" s="86">
        <f t="shared" si="80"/>
        <v>0</v>
      </c>
      <c r="AP795" s="63"/>
      <c r="AQ795" s="81">
        <v>43150</v>
      </c>
      <c r="AR795" s="63" t="s">
        <v>1157</v>
      </c>
      <c r="AS795" s="81">
        <v>43166</v>
      </c>
      <c r="AT795" s="63" t="s">
        <v>2230</v>
      </c>
      <c r="AU795" s="220"/>
      <c r="AV795" s="220"/>
      <c r="AW795" s="220"/>
    </row>
    <row r="796" spans="1:49" s="221" customFormat="1" ht="342" x14ac:dyDescent="0.25">
      <c r="A796" s="63">
        <v>382</v>
      </c>
      <c r="B796" s="63" t="str">
        <f t="shared" si="77"/>
        <v>3075-382</v>
      </c>
      <c r="C796" s="76" t="s">
        <v>1141</v>
      </c>
      <c r="D796" s="76" t="s">
        <v>1142</v>
      </c>
      <c r="E796" s="76" t="s">
        <v>1424</v>
      </c>
      <c r="F796" s="76" t="s">
        <v>1175</v>
      </c>
      <c r="G796" s="77" t="s">
        <v>1176</v>
      </c>
      <c r="H796" s="78" t="s">
        <v>1425</v>
      </c>
      <c r="I796" s="76" t="s">
        <v>1147</v>
      </c>
      <c r="J796" s="76" t="s">
        <v>1148</v>
      </c>
      <c r="K796" s="76" t="s">
        <v>439</v>
      </c>
      <c r="L796" s="63" t="s">
        <v>1149</v>
      </c>
      <c r="M796" s="63" t="s">
        <v>58</v>
      </c>
      <c r="N796" s="63" t="s">
        <v>59</v>
      </c>
      <c r="O796" s="76" t="s">
        <v>1213</v>
      </c>
      <c r="P796" s="63" t="s">
        <v>2232</v>
      </c>
      <c r="Q796" s="83">
        <v>54686940</v>
      </c>
      <c r="R796" s="98">
        <v>1</v>
      </c>
      <c r="S796" s="80">
        <v>54686940</v>
      </c>
      <c r="T796" s="63" t="s">
        <v>1171</v>
      </c>
      <c r="U796" s="63" t="s">
        <v>1171</v>
      </c>
      <c r="V796" s="81" t="s">
        <v>411</v>
      </c>
      <c r="W796" s="82" t="s">
        <v>439</v>
      </c>
      <c r="X796" s="63" t="s">
        <v>2233</v>
      </c>
      <c r="Y796" s="81">
        <v>43166</v>
      </c>
      <c r="Z796" s="83">
        <v>54686940</v>
      </c>
      <c r="AA796" s="84" t="s">
        <v>1742</v>
      </c>
      <c r="AB796" s="85">
        <v>714</v>
      </c>
      <c r="AC796" s="81">
        <v>43173</v>
      </c>
      <c r="AD796" s="86">
        <v>54686940</v>
      </c>
      <c r="AE796" s="87">
        <f t="shared" si="82"/>
        <v>0</v>
      </c>
      <c r="AF796" s="85">
        <v>1819</v>
      </c>
      <c r="AG796" s="81">
        <v>43209</v>
      </c>
      <c r="AH796" s="86">
        <v>54686940</v>
      </c>
      <c r="AI796" s="63" t="s">
        <v>2234</v>
      </c>
      <c r="AJ796" s="63">
        <v>1871</v>
      </c>
      <c r="AK796" s="87">
        <f t="shared" si="78"/>
        <v>0</v>
      </c>
      <c r="AL796" s="86">
        <v>54686940</v>
      </c>
      <c r="AM796" s="86">
        <f t="shared" si="79"/>
        <v>0</v>
      </c>
      <c r="AN796" s="63" t="s">
        <v>1155</v>
      </c>
      <c r="AO796" s="86">
        <f t="shared" si="80"/>
        <v>0</v>
      </c>
      <c r="AP796" s="63"/>
      <c r="AQ796" s="81">
        <v>43166</v>
      </c>
      <c r="AR796" s="63" t="s">
        <v>2109</v>
      </c>
      <c r="AS796" s="81">
        <v>43166</v>
      </c>
      <c r="AT796" s="63" t="s">
        <v>2235</v>
      </c>
      <c r="AU796" s="220"/>
      <c r="AV796" s="220"/>
      <c r="AW796" s="220"/>
    </row>
    <row r="797" spans="1:49" s="221" customFormat="1" ht="409.5" x14ac:dyDescent="0.25">
      <c r="A797" s="63">
        <v>383</v>
      </c>
      <c r="B797" s="63" t="str">
        <f t="shared" si="77"/>
        <v>3075-383</v>
      </c>
      <c r="C797" s="76" t="s">
        <v>1141</v>
      </c>
      <c r="D797" s="76" t="s">
        <v>1142</v>
      </c>
      <c r="E797" s="76" t="s">
        <v>1424</v>
      </c>
      <c r="F797" s="76" t="s">
        <v>1158</v>
      </c>
      <c r="G797" s="77" t="s">
        <v>1159</v>
      </c>
      <c r="H797" s="101" t="s">
        <v>1160</v>
      </c>
      <c r="I797" s="76" t="s">
        <v>1147</v>
      </c>
      <c r="J797" s="76" t="s">
        <v>1148</v>
      </c>
      <c r="K797" s="76">
        <v>801116</v>
      </c>
      <c r="L797" s="63" t="s">
        <v>1149</v>
      </c>
      <c r="M797" s="63" t="s">
        <v>58</v>
      </c>
      <c r="N797" s="63" t="s">
        <v>59</v>
      </c>
      <c r="O797" s="76" t="s">
        <v>1213</v>
      </c>
      <c r="P797" s="63" t="s">
        <v>2236</v>
      </c>
      <c r="Q797" s="83">
        <v>5100000</v>
      </c>
      <c r="R797" s="98">
        <v>1</v>
      </c>
      <c r="S797" s="80">
        <v>15300000</v>
      </c>
      <c r="T797" s="63" t="s">
        <v>888</v>
      </c>
      <c r="U797" s="63" t="s">
        <v>1163</v>
      </c>
      <c r="V797" s="81" t="s">
        <v>724</v>
      </c>
      <c r="W797" s="82">
        <v>3</v>
      </c>
      <c r="X797" s="63" t="s">
        <v>2237</v>
      </c>
      <c r="Y797" s="81">
        <v>43167</v>
      </c>
      <c r="Z797" s="83">
        <v>15300000</v>
      </c>
      <c r="AA797" s="84" t="s">
        <v>1698</v>
      </c>
      <c r="AB797" s="85">
        <v>708</v>
      </c>
      <c r="AC797" s="81">
        <v>43168</v>
      </c>
      <c r="AD797" s="86">
        <v>15300000</v>
      </c>
      <c r="AE797" s="86">
        <f t="shared" si="82"/>
        <v>0</v>
      </c>
      <c r="AF797" s="85">
        <v>1556</v>
      </c>
      <c r="AG797" s="81">
        <v>43172</v>
      </c>
      <c r="AH797" s="86">
        <v>15300000</v>
      </c>
      <c r="AI797" s="63" t="s">
        <v>2238</v>
      </c>
      <c r="AJ797" s="63">
        <v>536</v>
      </c>
      <c r="AK797" s="87">
        <f t="shared" si="78"/>
        <v>0</v>
      </c>
      <c r="AL797" s="86">
        <v>15300000</v>
      </c>
      <c r="AM797" s="86">
        <f t="shared" si="79"/>
        <v>0</v>
      </c>
      <c r="AN797" s="63" t="s">
        <v>1155</v>
      </c>
      <c r="AO797" s="86">
        <f t="shared" si="80"/>
        <v>0</v>
      </c>
      <c r="AP797" s="63"/>
      <c r="AQ797" s="81">
        <v>43167</v>
      </c>
      <c r="AR797" s="63" t="s">
        <v>2109</v>
      </c>
      <c r="AS797" s="81">
        <v>43167</v>
      </c>
      <c r="AT797" s="63" t="s">
        <v>1453</v>
      </c>
      <c r="AU797" s="220"/>
      <c r="AV797" s="220"/>
      <c r="AW797" s="220"/>
    </row>
    <row r="798" spans="1:49" s="221" customFormat="1" ht="409.5" x14ac:dyDescent="0.25">
      <c r="A798" s="63">
        <v>384</v>
      </c>
      <c r="B798" s="63" t="str">
        <f t="shared" si="77"/>
        <v>3075-384</v>
      </c>
      <c r="C798" s="76" t="s">
        <v>1141</v>
      </c>
      <c r="D798" s="76" t="s">
        <v>1142</v>
      </c>
      <c r="E798" s="76" t="s">
        <v>1424</v>
      </c>
      <c r="F798" s="76" t="s">
        <v>1158</v>
      </c>
      <c r="G798" s="77" t="s">
        <v>1159</v>
      </c>
      <c r="H798" s="101" t="s">
        <v>1160</v>
      </c>
      <c r="I798" s="76" t="s">
        <v>1147</v>
      </c>
      <c r="J798" s="76" t="s">
        <v>1148</v>
      </c>
      <c r="K798" s="76">
        <v>801116</v>
      </c>
      <c r="L798" s="63" t="s">
        <v>1149</v>
      </c>
      <c r="M798" s="63" t="s">
        <v>58</v>
      </c>
      <c r="N798" s="63" t="s">
        <v>59</v>
      </c>
      <c r="O798" s="76" t="s">
        <v>1213</v>
      </c>
      <c r="P798" s="63" t="s">
        <v>2239</v>
      </c>
      <c r="Q798" s="83">
        <v>4000000</v>
      </c>
      <c r="R798" s="98">
        <v>1</v>
      </c>
      <c r="S798" s="80">
        <v>12000000</v>
      </c>
      <c r="T798" s="63" t="s">
        <v>888</v>
      </c>
      <c r="U798" s="63" t="s">
        <v>1163</v>
      </c>
      <c r="V798" s="81" t="s">
        <v>724</v>
      </c>
      <c r="W798" s="82">
        <v>3</v>
      </c>
      <c r="X798" s="63" t="s">
        <v>2240</v>
      </c>
      <c r="Y798" s="81">
        <v>43167</v>
      </c>
      <c r="Z798" s="83">
        <v>12000000</v>
      </c>
      <c r="AA798" s="84" t="s">
        <v>1698</v>
      </c>
      <c r="AB798" s="85">
        <v>709</v>
      </c>
      <c r="AC798" s="81">
        <v>43168</v>
      </c>
      <c r="AD798" s="86">
        <v>12000000</v>
      </c>
      <c r="AE798" s="86">
        <f t="shared" si="82"/>
        <v>0</v>
      </c>
      <c r="AF798" s="85">
        <v>1595</v>
      </c>
      <c r="AG798" s="81">
        <v>43175</v>
      </c>
      <c r="AH798" s="86">
        <v>12000000</v>
      </c>
      <c r="AI798" s="63" t="s">
        <v>2241</v>
      </c>
      <c r="AJ798" s="63">
        <v>551</v>
      </c>
      <c r="AK798" s="87">
        <f t="shared" si="78"/>
        <v>0</v>
      </c>
      <c r="AL798" s="86">
        <v>5733333</v>
      </c>
      <c r="AM798" s="86">
        <f t="shared" si="79"/>
        <v>6266667</v>
      </c>
      <c r="AN798" s="63" t="s">
        <v>1155</v>
      </c>
      <c r="AO798" s="86">
        <f t="shared" si="80"/>
        <v>0</v>
      </c>
      <c r="AP798" s="63"/>
      <c r="AQ798" s="81">
        <v>43167</v>
      </c>
      <c r="AR798" s="63" t="s">
        <v>2109</v>
      </c>
      <c r="AS798" s="81">
        <v>43167</v>
      </c>
      <c r="AT798" s="63" t="s">
        <v>1453</v>
      </c>
      <c r="AU798" s="220"/>
      <c r="AV798" s="220"/>
      <c r="AW798" s="220"/>
    </row>
    <row r="799" spans="1:49" s="221" customFormat="1" ht="409.5" x14ac:dyDescent="0.25">
      <c r="A799" s="63">
        <v>385</v>
      </c>
      <c r="B799" s="63" t="str">
        <f t="shared" ref="B799:B862" si="83">CONCATENATE("3075","-",A799)</f>
        <v>3075-385</v>
      </c>
      <c r="C799" s="76" t="s">
        <v>1141</v>
      </c>
      <c r="D799" s="76" t="s">
        <v>1142</v>
      </c>
      <c r="E799" s="76" t="s">
        <v>1424</v>
      </c>
      <c r="F799" s="76" t="s">
        <v>1158</v>
      </c>
      <c r="G799" s="77" t="s">
        <v>1159</v>
      </c>
      <c r="H799" s="101" t="s">
        <v>1160</v>
      </c>
      <c r="I799" s="76" t="s">
        <v>1147</v>
      </c>
      <c r="J799" s="76" t="s">
        <v>1148</v>
      </c>
      <c r="K799" s="76">
        <v>801116</v>
      </c>
      <c r="L799" s="63" t="s">
        <v>1149</v>
      </c>
      <c r="M799" s="63" t="s">
        <v>58</v>
      </c>
      <c r="N799" s="63" t="s">
        <v>59</v>
      </c>
      <c r="O799" s="76" t="s">
        <v>1213</v>
      </c>
      <c r="P799" s="63" t="s">
        <v>2242</v>
      </c>
      <c r="Q799" s="83">
        <v>5100000</v>
      </c>
      <c r="R799" s="98">
        <v>1</v>
      </c>
      <c r="S799" s="80">
        <v>15300000</v>
      </c>
      <c r="T799" s="63" t="s">
        <v>888</v>
      </c>
      <c r="U799" s="63" t="s">
        <v>1163</v>
      </c>
      <c r="V799" s="81" t="s">
        <v>724</v>
      </c>
      <c r="W799" s="82">
        <v>3</v>
      </c>
      <c r="X799" s="63" t="s">
        <v>2243</v>
      </c>
      <c r="Y799" s="81">
        <v>43167</v>
      </c>
      <c r="Z799" s="83">
        <v>15300000</v>
      </c>
      <c r="AA799" s="84" t="s">
        <v>1698</v>
      </c>
      <c r="AB799" s="85">
        <v>710</v>
      </c>
      <c r="AC799" s="81">
        <v>43168</v>
      </c>
      <c r="AD799" s="86">
        <v>15300000</v>
      </c>
      <c r="AE799" s="86">
        <f t="shared" si="82"/>
        <v>0</v>
      </c>
      <c r="AF799" s="85">
        <v>1592</v>
      </c>
      <c r="AG799" s="81">
        <v>43175</v>
      </c>
      <c r="AH799" s="86">
        <v>15300000</v>
      </c>
      <c r="AI799" s="63" t="s">
        <v>2244</v>
      </c>
      <c r="AJ799" s="63">
        <v>545</v>
      </c>
      <c r="AK799" s="87">
        <f t="shared" ref="AK799:AK862" si="84">AD799-AH799</f>
        <v>0</v>
      </c>
      <c r="AL799" s="86">
        <v>15300000</v>
      </c>
      <c r="AM799" s="86">
        <f t="shared" ref="AM799:AM862" si="85">AH799-AL799</f>
        <v>0</v>
      </c>
      <c r="AN799" s="63" t="s">
        <v>1155</v>
      </c>
      <c r="AO799" s="86">
        <f t="shared" ref="AO799:AO862" si="86">S799-AH799</f>
        <v>0</v>
      </c>
      <c r="AP799" s="63"/>
      <c r="AQ799" s="81">
        <v>43167</v>
      </c>
      <c r="AR799" s="63" t="s">
        <v>2109</v>
      </c>
      <c r="AS799" s="81">
        <v>43167</v>
      </c>
      <c r="AT799" s="63" t="s">
        <v>1453</v>
      </c>
      <c r="AU799" s="220"/>
      <c r="AV799" s="220"/>
      <c r="AW799" s="220"/>
    </row>
    <row r="800" spans="1:49" s="221" customFormat="1" ht="409.5" x14ac:dyDescent="0.25">
      <c r="A800" s="63">
        <v>386</v>
      </c>
      <c r="B800" s="63" t="str">
        <f t="shared" si="83"/>
        <v>3075-386</v>
      </c>
      <c r="C800" s="76" t="s">
        <v>1141</v>
      </c>
      <c r="D800" s="76" t="s">
        <v>1142</v>
      </c>
      <c r="E800" s="76" t="s">
        <v>1424</v>
      </c>
      <c r="F800" s="76" t="s">
        <v>1158</v>
      </c>
      <c r="G800" s="77" t="s">
        <v>1159</v>
      </c>
      <c r="H800" s="101" t="s">
        <v>1160</v>
      </c>
      <c r="I800" s="76" t="s">
        <v>1147</v>
      </c>
      <c r="J800" s="76" t="s">
        <v>1148</v>
      </c>
      <c r="K800" s="76">
        <v>801116</v>
      </c>
      <c r="L800" s="63" t="s">
        <v>1149</v>
      </c>
      <c r="M800" s="63" t="s">
        <v>58</v>
      </c>
      <c r="N800" s="63" t="s">
        <v>59</v>
      </c>
      <c r="O800" s="76" t="s">
        <v>1213</v>
      </c>
      <c r="P800" s="63" t="s">
        <v>2245</v>
      </c>
      <c r="Q800" s="83">
        <v>3450000</v>
      </c>
      <c r="R800" s="98">
        <v>1</v>
      </c>
      <c r="S800" s="80">
        <v>10350000</v>
      </c>
      <c r="T800" s="63" t="s">
        <v>888</v>
      </c>
      <c r="U800" s="63" t="s">
        <v>1163</v>
      </c>
      <c r="V800" s="81" t="s">
        <v>724</v>
      </c>
      <c r="W800" s="82">
        <v>3</v>
      </c>
      <c r="X800" s="63" t="s">
        <v>2246</v>
      </c>
      <c r="Y800" s="81">
        <v>43167</v>
      </c>
      <c r="Z800" s="83">
        <v>10350000</v>
      </c>
      <c r="AA800" s="84" t="s">
        <v>1698</v>
      </c>
      <c r="AB800" s="85">
        <v>712</v>
      </c>
      <c r="AC800" s="81">
        <v>43168</v>
      </c>
      <c r="AD800" s="86">
        <v>10350000</v>
      </c>
      <c r="AE800" s="86">
        <f t="shared" si="82"/>
        <v>0</v>
      </c>
      <c r="AF800" s="85">
        <v>1598</v>
      </c>
      <c r="AG800" s="81">
        <v>43175</v>
      </c>
      <c r="AH800" s="86">
        <v>10350000</v>
      </c>
      <c r="AI800" s="63" t="s">
        <v>1504</v>
      </c>
      <c r="AJ800" s="63">
        <v>558</v>
      </c>
      <c r="AK800" s="87">
        <f t="shared" si="84"/>
        <v>0</v>
      </c>
      <c r="AL800" s="86">
        <v>10350000</v>
      </c>
      <c r="AM800" s="86">
        <f t="shared" si="85"/>
        <v>0</v>
      </c>
      <c r="AN800" s="63" t="s">
        <v>1155</v>
      </c>
      <c r="AO800" s="86">
        <f t="shared" si="86"/>
        <v>0</v>
      </c>
      <c r="AP800" s="63"/>
      <c r="AQ800" s="81">
        <v>43167</v>
      </c>
      <c r="AR800" s="63" t="s">
        <v>2109</v>
      </c>
      <c r="AS800" s="81">
        <v>43167</v>
      </c>
      <c r="AT800" s="63" t="s">
        <v>1453</v>
      </c>
      <c r="AU800" s="220"/>
      <c r="AV800" s="220"/>
      <c r="AW800" s="220"/>
    </row>
    <row r="801" spans="1:49" s="221" customFormat="1" ht="370.5" x14ac:dyDescent="0.25">
      <c r="A801" s="63">
        <v>387</v>
      </c>
      <c r="B801" s="63" t="str">
        <f t="shared" si="83"/>
        <v>3075-387</v>
      </c>
      <c r="C801" s="76" t="s">
        <v>1141</v>
      </c>
      <c r="D801" s="76" t="s">
        <v>1142</v>
      </c>
      <c r="E801" s="76" t="s">
        <v>1424</v>
      </c>
      <c r="F801" s="76" t="s">
        <v>1175</v>
      </c>
      <c r="G801" s="77" t="s">
        <v>1176</v>
      </c>
      <c r="H801" s="78" t="s">
        <v>1425</v>
      </c>
      <c r="I801" s="76" t="s">
        <v>1147</v>
      </c>
      <c r="J801" s="76" t="s">
        <v>1148</v>
      </c>
      <c r="K801" s="76" t="s">
        <v>439</v>
      </c>
      <c r="L801" s="63" t="s">
        <v>1149</v>
      </c>
      <c r="M801" s="63" t="s">
        <v>58</v>
      </c>
      <c r="N801" s="63" t="s">
        <v>59</v>
      </c>
      <c r="O801" s="76" t="s">
        <v>1213</v>
      </c>
      <c r="P801" s="63" t="s">
        <v>2247</v>
      </c>
      <c r="Q801" s="83">
        <v>54686940</v>
      </c>
      <c r="R801" s="98">
        <v>1</v>
      </c>
      <c r="S801" s="80">
        <v>54686940</v>
      </c>
      <c r="T801" s="63" t="s">
        <v>1171</v>
      </c>
      <c r="U801" s="63" t="s">
        <v>1171</v>
      </c>
      <c r="V801" s="81" t="s">
        <v>1023</v>
      </c>
      <c r="W801" s="82" t="s">
        <v>439</v>
      </c>
      <c r="X801" s="99" t="s">
        <v>2248</v>
      </c>
      <c r="Y801" s="81">
        <v>43173</v>
      </c>
      <c r="Z801" s="83">
        <v>54686940</v>
      </c>
      <c r="AA801" s="84" t="s">
        <v>1742</v>
      </c>
      <c r="AB801" s="85">
        <v>727</v>
      </c>
      <c r="AC801" s="81">
        <v>43175</v>
      </c>
      <c r="AD801" s="86">
        <v>54686940</v>
      </c>
      <c r="AE801" s="87">
        <f t="shared" si="82"/>
        <v>0</v>
      </c>
      <c r="AF801" s="85">
        <v>1851</v>
      </c>
      <c r="AG801" s="81">
        <v>43222</v>
      </c>
      <c r="AH801" s="86">
        <v>54686940</v>
      </c>
      <c r="AI801" s="63" t="s">
        <v>2249</v>
      </c>
      <c r="AJ801" s="63">
        <v>1961</v>
      </c>
      <c r="AK801" s="87">
        <f t="shared" si="84"/>
        <v>0</v>
      </c>
      <c r="AL801" s="86">
        <v>54686940</v>
      </c>
      <c r="AM801" s="86">
        <f t="shared" si="85"/>
        <v>0</v>
      </c>
      <c r="AN801" s="63" t="s">
        <v>1155</v>
      </c>
      <c r="AO801" s="86">
        <f t="shared" si="86"/>
        <v>0</v>
      </c>
      <c r="AP801" s="63"/>
      <c r="AQ801" s="81">
        <v>43172</v>
      </c>
      <c r="AR801" s="63" t="s">
        <v>2109</v>
      </c>
      <c r="AS801" s="81">
        <v>43173</v>
      </c>
      <c r="AT801" s="63" t="s">
        <v>2247</v>
      </c>
      <c r="AU801" s="220"/>
      <c r="AV801" s="220"/>
      <c r="AW801" s="220"/>
    </row>
    <row r="802" spans="1:49" s="221" customFormat="1" ht="370.5" x14ac:dyDescent="0.25">
      <c r="A802" s="63">
        <v>388</v>
      </c>
      <c r="B802" s="63" t="str">
        <f t="shared" si="83"/>
        <v>3075-388</v>
      </c>
      <c r="C802" s="76" t="s">
        <v>1141</v>
      </c>
      <c r="D802" s="76" t="s">
        <v>1142</v>
      </c>
      <c r="E802" s="76" t="s">
        <v>1424</v>
      </c>
      <c r="F802" s="76" t="s">
        <v>1175</v>
      </c>
      <c r="G802" s="77" t="s">
        <v>1176</v>
      </c>
      <c r="H802" s="78" t="s">
        <v>1425</v>
      </c>
      <c r="I802" s="76" t="s">
        <v>1147</v>
      </c>
      <c r="J802" s="76" t="s">
        <v>1148</v>
      </c>
      <c r="K802" s="76" t="s">
        <v>439</v>
      </c>
      <c r="L802" s="63" t="s">
        <v>1149</v>
      </c>
      <c r="M802" s="63" t="s">
        <v>58</v>
      </c>
      <c r="N802" s="63" t="s">
        <v>59</v>
      </c>
      <c r="O802" s="76" t="s">
        <v>1213</v>
      </c>
      <c r="P802" s="63" t="s">
        <v>2250</v>
      </c>
      <c r="Q802" s="83">
        <v>54686940</v>
      </c>
      <c r="R802" s="98">
        <v>1</v>
      </c>
      <c r="S802" s="80">
        <v>54686940</v>
      </c>
      <c r="T802" s="63" t="s">
        <v>1171</v>
      </c>
      <c r="U802" s="63" t="s">
        <v>1171</v>
      </c>
      <c r="V802" s="81" t="s">
        <v>411</v>
      </c>
      <c r="W802" s="82" t="s">
        <v>439</v>
      </c>
      <c r="X802" s="99" t="s">
        <v>2251</v>
      </c>
      <c r="Y802" s="81">
        <v>43173</v>
      </c>
      <c r="Z802" s="83">
        <v>54686940</v>
      </c>
      <c r="AA802" s="84" t="s">
        <v>1742</v>
      </c>
      <c r="AB802" s="85">
        <v>726</v>
      </c>
      <c r="AC802" s="81">
        <v>43175</v>
      </c>
      <c r="AD802" s="86">
        <v>54686940</v>
      </c>
      <c r="AE802" s="87">
        <f t="shared" si="82"/>
        <v>0</v>
      </c>
      <c r="AF802" s="85">
        <v>1790</v>
      </c>
      <c r="AG802" s="81">
        <v>43202</v>
      </c>
      <c r="AH802" s="86">
        <v>54686940</v>
      </c>
      <c r="AI802" s="63" t="s">
        <v>2252</v>
      </c>
      <c r="AJ802" s="63">
        <v>1842</v>
      </c>
      <c r="AK802" s="87">
        <f t="shared" si="84"/>
        <v>0</v>
      </c>
      <c r="AL802" s="86">
        <v>54686940</v>
      </c>
      <c r="AM802" s="86">
        <f t="shared" si="85"/>
        <v>0</v>
      </c>
      <c r="AN802" s="63" t="s">
        <v>1155</v>
      </c>
      <c r="AO802" s="86">
        <f t="shared" si="86"/>
        <v>0</v>
      </c>
      <c r="AP802" s="63"/>
      <c r="AQ802" s="81">
        <v>43172</v>
      </c>
      <c r="AR802" s="63" t="s">
        <v>2109</v>
      </c>
      <c r="AS802" s="81">
        <v>43173</v>
      </c>
      <c r="AT802" s="63" t="s">
        <v>2250</v>
      </c>
      <c r="AU802" s="220"/>
      <c r="AV802" s="220"/>
      <c r="AW802" s="220"/>
    </row>
    <row r="803" spans="1:49" s="221" customFormat="1" ht="370.5" x14ac:dyDescent="0.25">
      <c r="A803" s="63">
        <v>389</v>
      </c>
      <c r="B803" s="63" t="str">
        <f t="shared" si="83"/>
        <v>3075-389</v>
      </c>
      <c r="C803" s="76" t="s">
        <v>1141</v>
      </c>
      <c r="D803" s="76" t="s">
        <v>1142</v>
      </c>
      <c r="E803" s="76" t="s">
        <v>1424</v>
      </c>
      <c r="F803" s="76" t="s">
        <v>1175</v>
      </c>
      <c r="G803" s="77" t="s">
        <v>1176</v>
      </c>
      <c r="H803" s="78" t="s">
        <v>1425</v>
      </c>
      <c r="I803" s="76" t="s">
        <v>1147</v>
      </c>
      <c r="J803" s="76" t="s">
        <v>1148</v>
      </c>
      <c r="K803" s="76" t="s">
        <v>439</v>
      </c>
      <c r="L803" s="63" t="s">
        <v>1149</v>
      </c>
      <c r="M803" s="63" t="s">
        <v>58</v>
      </c>
      <c r="N803" s="63" t="s">
        <v>59</v>
      </c>
      <c r="O803" s="76" t="s">
        <v>1213</v>
      </c>
      <c r="P803" s="63" t="s">
        <v>2253</v>
      </c>
      <c r="Q803" s="83">
        <v>54686940</v>
      </c>
      <c r="R803" s="98">
        <v>1</v>
      </c>
      <c r="S803" s="80">
        <v>54686940</v>
      </c>
      <c r="T803" s="63" t="s">
        <v>1171</v>
      </c>
      <c r="U803" s="63" t="s">
        <v>1171</v>
      </c>
      <c r="V803" s="81" t="s">
        <v>411</v>
      </c>
      <c r="W803" s="82" t="s">
        <v>439</v>
      </c>
      <c r="X803" s="99" t="s">
        <v>2254</v>
      </c>
      <c r="Y803" s="81">
        <v>43173</v>
      </c>
      <c r="Z803" s="83">
        <v>54686940</v>
      </c>
      <c r="AA803" s="84" t="s">
        <v>1742</v>
      </c>
      <c r="AB803" s="85">
        <v>725</v>
      </c>
      <c r="AC803" s="81">
        <v>43175</v>
      </c>
      <c r="AD803" s="86">
        <v>54686940</v>
      </c>
      <c r="AE803" s="87">
        <f t="shared" si="82"/>
        <v>0</v>
      </c>
      <c r="AF803" s="85">
        <v>1808</v>
      </c>
      <c r="AG803" s="81">
        <v>43207</v>
      </c>
      <c r="AH803" s="86">
        <v>54686940</v>
      </c>
      <c r="AI803" s="63" t="s">
        <v>2255</v>
      </c>
      <c r="AJ803" s="63">
        <v>1864</v>
      </c>
      <c r="AK803" s="87">
        <f t="shared" si="84"/>
        <v>0</v>
      </c>
      <c r="AL803" s="86">
        <v>54686940</v>
      </c>
      <c r="AM803" s="86">
        <f t="shared" si="85"/>
        <v>0</v>
      </c>
      <c r="AN803" s="63" t="s">
        <v>1155</v>
      </c>
      <c r="AO803" s="86">
        <f t="shared" si="86"/>
        <v>0</v>
      </c>
      <c r="AP803" s="63"/>
      <c r="AQ803" s="81">
        <v>43172</v>
      </c>
      <c r="AR803" s="63" t="s">
        <v>2109</v>
      </c>
      <c r="AS803" s="81">
        <v>43173</v>
      </c>
      <c r="AT803" s="63" t="s">
        <v>2253</v>
      </c>
      <c r="AU803" s="220"/>
      <c r="AV803" s="220"/>
      <c r="AW803" s="220"/>
    </row>
    <row r="804" spans="1:49" s="221" customFormat="1" ht="370.5" x14ac:dyDescent="0.25">
      <c r="A804" s="63">
        <v>390</v>
      </c>
      <c r="B804" s="63" t="str">
        <f t="shared" si="83"/>
        <v>3075-390</v>
      </c>
      <c r="C804" s="76" t="s">
        <v>1141</v>
      </c>
      <c r="D804" s="76" t="s">
        <v>1142</v>
      </c>
      <c r="E804" s="76" t="s">
        <v>1424</v>
      </c>
      <c r="F804" s="76" t="s">
        <v>1175</v>
      </c>
      <c r="G804" s="77" t="s">
        <v>1176</v>
      </c>
      <c r="H804" s="78" t="s">
        <v>1425</v>
      </c>
      <c r="I804" s="76" t="s">
        <v>1147</v>
      </c>
      <c r="J804" s="76" t="s">
        <v>1148</v>
      </c>
      <c r="K804" s="76" t="s">
        <v>439</v>
      </c>
      <c r="L804" s="63" t="s">
        <v>1149</v>
      </c>
      <c r="M804" s="63" t="s">
        <v>58</v>
      </c>
      <c r="N804" s="63" t="s">
        <v>59</v>
      </c>
      <c r="O804" s="76" t="s">
        <v>1213</v>
      </c>
      <c r="P804" s="63" t="s">
        <v>2256</v>
      </c>
      <c r="Q804" s="83">
        <v>54686940</v>
      </c>
      <c r="R804" s="98">
        <v>1</v>
      </c>
      <c r="S804" s="80">
        <v>54686940</v>
      </c>
      <c r="T804" s="63" t="s">
        <v>1171</v>
      </c>
      <c r="U804" s="63" t="s">
        <v>1171</v>
      </c>
      <c r="V804" s="81" t="s">
        <v>411</v>
      </c>
      <c r="W804" s="82" t="s">
        <v>439</v>
      </c>
      <c r="X804" s="99" t="s">
        <v>2257</v>
      </c>
      <c r="Y804" s="81">
        <v>43173</v>
      </c>
      <c r="Z804" s="83">
        <v>54686940</v>
      </c>
      <c r="AA804" s="84" t="s">
        <v>1742</v>
      </c>
      <c r="AB804" s="85">
        <v>724</v>
      </c>
      <c r="AC804" s="81">
        <v>43175</v>
      </c>
      <c r="AD804" s="86">
        <v>54686940</v>
      </c>
      <c r="AE804" s="87">
        <f t="shared" si="82"/>
        <v>0</v>
      </c>
      <c r="AF804" s="85">
        <v>1824</v>
      </c>
      <c r="AG804" s="81">
        <v>43210</v>
      </c>
      <c r="AH804" s="86">
        <v>54686940</v>
      </c>
      <c r="AI804" s="63" t="s">
        <v>2258</v>
      </c>
      <c r="AJ804" s="63">
        <v>1878</v>
      </c>
      <c r="AK804" s="87">
        <f t="shared" si="84"/>
        <v>0</v>
      </c>
      <c r="AL804" s="86">
        <v>54686940</v>
      </c>
      <c r="AM804" s="86">
        <f t="shared" si="85"/>
        <v>0</v>
      </c>
      <c r="AN804" s="63" t="s">
        <v>1155</v>
      </c>
      <c r="AO804" s="86">
        <f t="shared" si="86"/>
        <v>0</v>
      </c>
      <c r="AP804" s="63"/>
      <c r="AQ804" s="81">
        <v>43172</v>
      </c>
      <c r="AR804" s="63" t="s">
        <v>2109</v>
      </c>
      <c r="AS804" s="81">
        <v>43173</v>
      </c>
      <c r="AT804" s="63" t="s">
        <v>2256</v>
      </c>
      <c r="AU804" s="220"/>
      <c r="AV804" s="220"/>
      <c r="AW804" s="220"/>
    </row>
    <row r="805" spans="1:49" s="221" customFormat="1" ht="370.5" x14ac:dyDescent="0.25">
      <c r="A805" s="63">
        <v>391</v>
      </c>
      <c r="B805" s="63" t="str">
        <f t="shared" si="83"/>
        <v>3075-391</v>
      </c>
      <c r="C805" s="76" t="s">
        <v>1141</v>
      </c>
      <c r="D805" s="76" t="s">
        <v>1142</v>
      </c>
      <c r="E805" s="76" t="s">
        <v>1424</v>
      </c>
      <c r="F805" s="76" t="s">
        <v>1175</v>
      </c>
      <c r="G805" s="77" t="s">
        <v>1176</v>
      </c>
      <c r="H805" s="78" t="s">
        <v>1425</v>
      </c>
      <c r="I805" s="76" t="s">
        <v>1147</v>
      </c>
      <c r="J805" s="76" t="s">
        <v>1148</v>
      </c>
      <c r="K805" s="76" t="s">
        <v>439</v>
      </c>
      <c r="L805" s="63" t="s">
        <v>1149</v>
      </c>
      <c r="M805" s="63" t="s">
        <v>58</v>
      </c>
      <c r="N805" s="63" t="s">
        <v>59</v>
      </c>
      <c r="O805" s="76" t="s">
        <v>1213</v>
      </c>
      <c r="P805" s="63" t="s">
        <v>2259</v>
      </c>
      <c r="Q805" s="83">
        <v>54686940</v>
      </c>
      <c r="R805" s="98">
        <v>1</v>
      </c>
      <c r="S805" s="80">
        <v>54686940</v>
      </c>
      <c r="T805" s="63" t="s">
        <v>1171</v>
      </c>
      <c r="U805" s="63" t="s">
        <v>1171</v>
      </c>
      <c r="V805" s="81" t="s">
        <v>411</v>
      </c>
      <c r="W805" s="82" t="s">
        <v>439</v>
      </c>
      <c r="X805" s="99" t="s">
        <v>2260</v>
      </c>
      <c r="Y805" s="81">
        <v>43173</v>
      </c>
      <c r="Z805" s="83">
        <v>54686940</v>
      </c>
      <c r="AA805" s="84" t="s">
        <v>1742</v>
      </c>
      <c r="AB805" s="85">
        <v>723</v>
      </c>
      <c r="AC805" s="81">
        <v>43175</v>
      </c>
      <c r="AD805" s="86">
        <v>54686940</v>
      </c>
      <c r="AE805" s="87">
        <f t="shared" si="82"/>
        <v>0</v>
      </c>
      <c r="AF805" s="85">
        <v>1817</v>
      </c>
      <c r="AG805" s="81">
        <v>43209</v>
      </c>
      <c r="AH805" s="86">
        <v>54686940</v>
      </c>
      <c r="AI805" s="63" t="s">
        <v>2261</v>
      </c>
      <c r="AJ805" s="63">
        <v>1873</v>
      </c>
      <c r="AK805" s="87">
        <f t="shared" si="84"/>
        <v>0</v>
      </c>
      <c r="AL805" s="86">
        <v>54686940</v>
      </c>
      <c r="AM805" s="86">
        <f t="shared" si="85"/>
        <v>0</v>
      </c>
      <c r="AN805" s="63" t="s">
        <v>1155</v>
      </c>
      <c r="AO805" s="86">
        <f t="shared" si="86"/>
        <v>0</v>
      </c>
      <c r="AP805" s="63"/>
      <c r="AQ805" s="81">
        <v>43172</v>
      </c>
      <c r="AR805" s="63" t="s">
        <v>2109</v>
      </c>
      <c r="AS805" s="81">
        <v>43173</v>
      </c>
      <c r="AT805" s="63" t="s">
        <v>2259</v>
      </c>
      <c r="AU805" s="220"/>
      <c r="AV805" s="220"/>
      <c r="AW805" s="220"/>
    </row>
    <row r="806" spans="1:49" s="221" customFormat="1" ht="370.5" x14ac:dyDescent="0.25">
      <c r="A806" s="63">
        <v>392</v>
      </c>
      <c r="B806" s="63" t="str">
        <f t="shared" si="83"/>
        <v>3075-392</v>
      </c>
      <c r="C806" s="76" t="s">
        <v>1141</v>
      </c>
      <c r="D806" s="76" t="s">
        <v>1142</v>
      </c>
      <c r="E806" s="76" t="s">
        <v>1424</v>
      </c>
      <c r="F806" s="76" t="s">
        <v>1175</v>
      </c>
      <c r="G806" s="77" t="s">
        <v>1176</v>
      </c>
      <c r="H806" s="78" t="s">
        <v>1425</v>
      </c>
      <c r="I806" s="76" t="s">
        <v>1147</v>
      </c>
      <c r="J806" s="76" t="s">
        <v>1148</v>
      </c>
      <c r="K806" s="76" t="s">
        <v>439</v>
      </c>
      <c r="L806" s="63" t="s">
        <v>1149</v>
      </c>
      <c r="M806" s="63" t="s">
        <v>58</v>
      </c>
      <c r="N806" s="63" t="s">
        <v>59</v>
      </c>
      <c r="O806" s="76" t="s">
        <v>1213</v>
      </c>
      <c r="P806" s="63" t="s">
        <v>2262</v>
      </c>
      <c r="Q806" s="83">
        <v>54686940</v>
      </c>
      <c r="R806" s="98">
        <v>1</v>
      </c>
      <c r="S806" s="80">
        <v>54686940</v>
      </c>
      <c r="T806" s="63" t="s">
        <v>1171</v>
      </c>
      <c r="U806" s="63" t="s">
        <v>1171</v>
      </c>
      <c r="V806" s="81" t="s">
        <v>411</v>
      </c>
      <c r="W806" s="82" t="s">
        <v>439</v>
      </c>
      <c r="X806" s="99" t="s">
        <v>2263</v>
      </c>
      <c r="Y806" s="81">
        <v>43173</v>
      </c>
      <c r="Z806" s="83">
        <v>54686940</v>
      </c>
      <c r="AA806" s="84" t="s">
        <v>1742</v>
      </c>
      <c r="AB806" s="85">
        <v>722</v>
      </c>
      <c r="AC806" s="81">
        <v>43175</v>
      </c>
      <c r="AD806" s="86">
        <v>54686940</v>
      </c>
      <c r="AE806" s="87">
        <f t="shared" si="82"/>
        <v>0</v>
      </c>
      <c r="AF806" s="85">
        <v>1786</v>
      </c>
      <c r="AG806" s="81">
        <v>43202</v>
      </c>
      <c r="AH806" s="86">
        <v>54686940</v>
      </c>
      <c r="AI806" s="63" t="s">
        <v>2264</v>
      </c>
      <c r="AJ806" s="63">
        <v>1840</v>
      </c>
      <c r="AK806" s="87">
        <f t="shared" si="84"/>
        <v>0</v>
      </c>
      <c r="AL806" s="86">
        <v>54686940</v>
      </c>
      <c r="AM806" s="86">
        <f t="shared" si="85"/>
        <v>0</v>
      </c>
      <c r="AN806" s="63" t="s">
        <v>1155</v>
      </c>
      <c r="AO806" s="86">
        <f t="shared" si="86"/>
        <v>0</v>
      </c>
      <c r="AP806" s="63"/>
      <c r="AQ806" s="81">
        <v>43172</v>
      </c>
      <c r="AR806" s="63" t="s">
        <v>2109</v>
      </c>
      <c r="AS806" s="81">
        <v>43173</v>
      </c>
      <c r="AT806" s="63" t="s">
        <v>2262</v>
      </c>
      <c r="AU806" s="220"/>
      <c r="AV806" s="220"/>
      <c r="AW806" s="220"/>
    </row>
    <row r="807" spans="1:49" s="221" customFormat="1" ht="370.5" x14ac:dyDescent="0.25">
      <c r="A807" s="63">
        <v>393</v>
      </c>
      <c r="B807" s="63" t="str">
        <f t="shared" si="83"/>
        <v>3075-393</v>
      </c>
      <c r="C807" s="76" t="s">
        <v>1141</v>
      </c>
      <c r="D807" s="76" t="s">
        <v>1142</v>
      </c>
      <c r="E807" s="76" t="s">
        <v>1424</v>
      </c>
      <c r="F807" s="76" t="s">
        <v>1175</v>
      </c>
      <c r="G807" s="77" t="s">
        <v>1176</v>
      </c>
      <c r="H807" s="78" t="s">
        <v>1425</v>
      </c>
      <c r="I807" s="76" t="s">
        <v>1147</v>
      </c>
      <c r="J807" s="76" t="s">
        <v>1148</v>
      </c>
      <c r="K807" s="76" t="s">
        <v>439</v>
      </c>
      <c r="L807" s="63" t="s">
        <v>1149</v>
      </c>
      <c r="M807" s="63" t="s">
        <v>58</v>
      </c>
      <c r="N807" s="63" t="s">
        <v>59</v>
      </c>
      <c r="O807" s="76" t="s">
        <v>1213</v>
      </c>
      <c r="P807" s="63" t="s">
        <v>2265</v>
      </c>
      <c r="Q807" s="83">
        <v>54686940</v>
      </c>
      <c r="R807" s="98">
        <v>1</v>
      </c>
      <c r="S807" s="80">
        <v>54686940</v>
      </c>
      <c r="T807" s="63" t="s">
        <v>1171</v>
      </c>
      <c r="U807" s="63" t="s">
        <v>1171</v>
      </c>
      <c r="V807" s="81" t="s">
        <v>1023</v>
      </c>
      <c r="W807" s="82" t="s">
        <v>439</v>
      </c>
      <c r="X807" s="99" t="s">
        <v>2266</v>
      </c>
      <c r="Y807" s="81">
        <v>43173</v>
      </c>
      <c r="Z807" s="83">
        <v>54686940</v>
      </c>
      <c r="AA807" s="84" t="s">
        <v>1742</v>
      </c>
      <c r="AB807" s="85">
        <v>721</v>
      </c>
      <c r="AC807" s="81">
        <v>43175</v>
      </c>
      <c r="AD807" s="86">
        <v>54686940</v>
      </c>
      <c r="AE807" s="87">
        <f t="shared" si="82"/>
        <v>0</v>
      </c>
      <c r="AF807" s="85">
        <v>1853</v>
      </c>
      <c r="AG807" s="81">
        <v>43223</v>
      </c>
      <c r="AH807" s="86">
        <v>54686940</v>
      </c>
      <c r="AI807" s="63" t="s">
        <v>2267</v>
      </c>
      <c r="AJ807" s="63">
        <v>1965</v>
      </c>
      <c r="AK807" s="87">
        <f t="shared" si="84"/>
        <v>0</v>
      </c>
      <c r="AL807" s="86">
        <v>54686940</v>
      </c>
      <c r="AM807" s="86">
        <f t="shared" si="85"/>
        <v>0</v>
      </c>
      <c r="AN807" s="63" t="s">
        <v>1155</v>
      </c>
      <c r="AO807" s="86">
        <f t="shared" si="86"/>
        <v>0</v>
      </c>
      <c r="AP807" s="63"/>
      <c r="AQ807" s="81">
        <v>43172</v>
      </c>
      <c r="AR807" s="63" t="s">
        <v>2109</v>
      </c>
      <c r="AS807" s="81">
        <v>43173</v>
      </c>
      <c r="AT807" s="63" t="s">
        <v>2265</v>
      </c>
      <c r="AU807" s="220"/>
      <c r="AV807" s="220"/>
      <c r="AW807" s="220"/>
    </row>
    <row r="808" spans="1:49" s="221" customFormat="1" ht="370.5" x14ac:dyDescent="0.25">
      <c r="A808" s="63">
        <v>394</v>
      </c>
      <c r="B808" s="63" t="str">
        <f t="shared" si="83"/>
        <v>3075-394</v>
      </c>
      <c r="C808" s="76" t="s">
        <v>1141</v>
      </c>
      <c r="D808" s="76" t="s">
        <v>1142</v>
      </c>
      <c r="E808" s="76" t="s">
        <v>1424</v>
      </c>
      <c r="F808" s="76" t="s">
        <v>1175</v>
      </c>
      <c r="G808" s="77" t="s">
        <v>1176</v>
      </c>
      <c r="H808" s="78" t="s">
        <v>1425</v>
      </c>
      <c r="I808" s="76" t="s">
        <v>1147</v>
      </c>
      <c r="J808" s="76" t="s">
        <v>1148</v>
      </c>
      <c r="K808" s="76" t="s">
        <v>439</v>
      </c>
      <c r="L808" s="63" t="s">
        <v>1149</v>
      </c>
      <c r="M808" s="63" t="s">
        <v>58</v>
      </c>
      <c r="N808" s="63" t="s">
        <v>59</v>
      </c>
      <c r="O808" s="76" t="s">
        <v>1213</v>
      </c>
      <c r="P808" s="63" t="s">
        <v>2268</v>
      </c>
      <c r="Q808" s="83">
        <v>54686940</v>
      </c>
      <c r="R808" s="98">
        <v>1</v>
      </c>
      <c r="S808" s="80">
        <v>54686940</v>
      </c>
      <c r="T808" s="63" t="s">
        <v>1171</v>
      </c>
      <c r="U808" s="63" t="s">
        <v>1171</v>
      </c>
      <c r="V808" s="81" t="s">
        <v>411</v>
      </c>
      <c r="W808" s="82" t="s">
        <v>439</v>
      </c>
      <c r="X808" s="99" t="s">
        <v>2269</v>
      </c>
      <c r="Y808" s="81">
        <v>43173</v>
      </c>
      <c r="Z808" s="83">
        <v>54686940</v>
      </c>
      <c r="AA808" s="84" t="s">
        <v>1742</v>
      </c>
      <c r="AB808" s="85">
        <v>720</v>
      </c>
      <c r="AC808" s="81">
        <v>43175</v>
      </c>
      <c r="AD808" s="86">
        <v>54686940</v>
      </c>
      <c r="AE808" s="87">
        <f t="shared" si="82"/>
        <v>0</v>
      </c>
      <c r="AF808" s="85">
        <v>1828</v>
      </c>
      <c r="AG808" s="81">
        <v>43210</v>
      </c>
      <c r="AH808" s="86">
        <v>54686940</v>
      </c>
      <c r="AI808" s="63" t="s">
        <v>2270</v>
      </c>
      <c r="AJ808" s="63">
        <v>1893</v>
      </c>
      <c r="AK808" s="87">
        <f t="shared" si="84"/>
        <v>0</v>
      </c>
      <c r="AL808" s="86">
        <v>54686940</v>
      </c>
      <c r="AM808" s="86">
        <f t="shared" si="85"/>
        <v>0</v>
      </c>
      <c r="AN808" s="63" t="s">
        <v>1155</v>
      </c>
      <c r="AO808" s="86">
        <f t="shared" si="86"/>
        <v>0</v>
      </c>
      <c r="AP808" s="63"/>
      <c r="AQ808" s="81">
        <v>43172</v>
      </c>
      <c r="AR808" s="63" t="s">
        <v>2109</v>
      </c>
      <c r="AS808" s="81">
        <v>43173</v>
      </c>
      <c r="AT808" s="63" t="s">
        <v>2268</v>
      </c>
      <c r="AU808" s="220"/>
      <c r="AV808" s="220"/>
      <c r="AW808" s="220"/>
    </row>
    <row r="809" spans="1:49" s="221" customFormat="1" ht="370.5" x14ac:dyDescent="0.25">
      <c r="A809" s="63">
        <v>395</v>
      </c>
      <c r="B809" s="63" t="str">
        <f t="shared" si="83"/>
        <v>3075-395</v>
      </c>
      <c r="C809" s="76" t="s">
        <v>1141</v>
      </c>
      <c r="D809" s="76" t="s">
        <v>1142</v>
      </c>
      <c r="E809" s="76" t="s">
        <v>1424</v>
      </c>
      <c r="F809" s="76" t="s">
        <v>1175</v>
      </c>
      <c r="G809" s="77" t="s">
        <v>1176</v>
      </c>
      <c r="H809" s="78" t="s">
        <v>1425</v>
      </c>
      <c r="I809" s="76" t="s">
        <v>1147</v>
      </c>
      <c r="J809" s="76" t="s">
        <v>1148</v>
      </c>
      <c r="K809" s="76" t="s">
        <v>439</v>
      </c>
      <c r="L809" s="63" t="s">
        <v>1149</v>
      </c>
      <c r="M809" s="63" t="s">
        <v>58</v>
      </c>
      <c r="N809" s="63" t="s">
        <v>59</v>
      </c>
      <c r="O809" s="76" t="s">
        <v>1213</v>
      </c>
      <c r="P809" s="63" t="s">
        <v>2271</v>
      </c>
      <c r="Q809" s="83">
        <v>54686940</v>
      </c>
      <c r="R809" s="98">
        <v>1</v>
      </c>
      <c r="S809" s="80">
        <v>0</v>
      </c>
      <c r="T809" s="63"/>
      <c r="U809" s="63"/>
      <c r="V809" s="81"/>
      <c r="W809" s="82"/>
      <c r="X809" s="99" t="s">
        <v>2272</v>
      </c>
      <c r="Y809" s="81">
        <v>43173</v>
      </c>
      <c r="Z809" s="83">
        <v>0</v>
      </c>
      <c r="AA809" s="84" t="s">
        <v>1742</v>
      </c>
      <c r="AB809" s="85"/>
      <c r="AC809" s="81">
        <v>43175</v>
      </c>
      <c r="AD809" s="86">
        <v>0</v>
      </c>
      <c r="AE809" s="87">
        <f t="shared" si="82"/>
        <v>0</v>
      </c>
      <c r="AF809" s="85"/>
      <c r="AG809" s="81"/>
      <c r="AH809" s="86"/>
      <c r="AI809" s="63"/>
      <c r="AJ809" s="63"/>
      <c r="AK809" s="87">
        <f t="shared" si="84"/>
        <v>0</v>
      </c>
      <c r="AL809" s="86"/>
      <c r="AM809" s="86">
        <f t="shared" si="85"/>
        <v>0</v>
      </c>
      <c r="AN809" s="63" t="s">
        <v>1155</v>
      </c>
      <c r="AO809" s="86">
        <f t="shared" si="86"/>
        <v>0</v>
      </c>
      <c r="AP809" s="63" t="s">
        <v>2273</v>
      </c>
      <c r="AQ809" s="81">
        <v>43172</v>
      </c>
      <c r="AR809" s="63" t="s">
        <v>1157</v>
      </c>
      <c r="AS809" s="81">
        <v>43173</v>
      </c>
      <c r="AT809" s="63" t="s">
        <v>2271</v>
      </c>
      <c r="AU809" s="220"/>
      <c r="AV809" s="220"/>
      <c r="AW809" s="220"/>
    </row>
    <row r="810" spans="1:49" s="221" customFormat="1" ht="370.5" x14ac:dyDescent="0.25">
      <c r="A810" s="63">
        <v>396</v>
      </c>
      <c r="B810" s="63" t="str">
        <f t="shared" si="83"/>
        <v>3075-396</v>
      </c>
      <c r="C810" s="76" t="s">
        <v>1141</v>
      </c>
      <c r="D810" s="76" t="s">
        <v>1142</v>
      </c>
      <c r="E810" s="76" t="s">
        <v>1424</v>
      </c>
      <c r="F810" s="76" t="s">
        <v>1175</v>
      </c>
      <c r="G810" s="77" t="s">
        <v>1176</v>
      </c>
      <c r="H810" s="78" t="s">
        <v>1425</v>
      </c>
      <c r="I810" s="76" t="s">
        <v>1147</v>
      </c>
      <c r="J810" s="76" t="s">
        <v>1148</v>
      </c>
      <c r="K810" s="76" t="s">
        <v>439</v>
      </c>
      <c r="L810" s="63" t="s">
        <v>1149</v>
      </c>
      <c r="M810" s="63" t="s">
        <v>58</v>
      </c>
      <c r="N810" s="63" t="s">
        <v>59</v>
      </c>
      <c r="O810" s="76" t="s">
        <v>1213</v>
      </c>
      <c r="P810" s="63" t="s">
        <v>2274</v>
      </c>
      <c r="Q810" s="83">
        <v>54686940</v>
      </c>
      <c r="R810" s="98">
        <v>1</v>
      </c>
      <c r="S810" s="80">
        <v>54686940</v>
      </c>
      <c r="T810" s="63" t="s">
        <v>1171</v>
      </c>
      <c r="U810" s="63" t="s">
        <v>1171</v>
      </c>
      <c r="V810" s="81" t="s">
        <v>411</v>
      </c>
      <c r="W810" s="82" t="s">
        <v>439</v>
      </c>
      <c r="X810" s="99" t="s">
        <v>2275</v>
      </c>
      <c r="Y810" s="81">
        <v>43173</v>
      </c>
      <c r="Z810" s="83">
        <v>54686940</v>
      </c>
      <c r="AA810" s="84" t="s">
        <v>1742</v>
      </c>
      <c r="AB810" s="85">
        <v>729</v>
      </c>
      <c r="AC810" s="81">
        <v>43175</v>
      </c>
      <c r="AD810" s="86">
        <v>54686940</v>
      </c>
      <c r="AE810" s="87">
        <f t="shared" si="82"/>
        <v>0</v>
      </c>
      <c r="AF810" s="85">
        <v>1829</v>
      </c>
      <c r="AG810" s="81">
        <v>43210</v>
      </c>
      <c r="AH810" s="86">
        <v>54686940</v>
      </c>
      <c r="AI810" s="63" t="s">
        <v>2276</v>
      </c>
      <c r="AJ810" s="63">
        <v>1877</v>
      </c>
      <c r="AK810" s="87">
        <f t="shared" si="84"/>
        <v>0</v>
      </c>
      <c r="AL810" s="86">
        <v>54686940</v>
      </c>
      <c r="AM810" s="86">
        <f t="shared" si="85"/>
        <v>0</v>
      </c>
      <c r="AN810" s="63" t="s">
        <v>1155</v>
      </c>
      <c r="AO810" s="86">
        <f t="shared" si="86"/>
        <v>0</v>
      </c>
      <c r="AP810" s="63"/>
      <c r="AQ810" s="81">
        <v>43172</v>
      </c>
      <c r="AR810" s="63" t="s">
        <v>2109</v>
      </c>
      <c r="AS810" s="81">
        <v>43173</v>
      </c>
      <c r="AT810" s="63" t="s">
        <v>2274</v>
      </c>
      <c r="AU810" s="220"/>
      <c r="AV810" s="220"/>
      <c r="AW810" s="220"/>
    </row>
    <row r="811" spans="1:49" s="221" customFormat="1" ht="370.5" x14ac:dyDescent="0.25">
      <c r="A811" s="63">
        <v>397</v>
      </c>
      <c r="B811" s="63" t="str">
        <f t="shared" si="83"/>
        <v>3075-397</v>
      </c>
      <c r="C811" s="76" t="s">
        <v>1141</v>
      </c>
      <c r="D811" s="76" t="s">
        <v>1142</v>
      </c>
      <c r="E811" s="76" t="s">
        <v>1424</v>
      </c>
      <c r="F811" s="76" t="s">
        <v>1175</v>
      </c>
      <c r="G811" s="77" t="s">
        <v>1176</v>
      </c>
      <c r="H811" s="78" t="s">
        <v>1425</v>
      </c>
      <c r="I811" s="76" t="s">
        <v>1147</v>
      </c>
      <c r="J811" s="76" t="s">
        <v>1148</v>
      </c>
      <c r="K811" s="76" t="s">
        <v>439</v>
      </c>
      <c r="L811" s="63" t="s">
        <v>1149</v>
      </c>
      <c r="M811" s="63" t="s">
        <v>58</v>
      </c>
      <c r="N811" s="63" t="s">
        <v>59</v>
      </c>
      <c r="O811" s="76" t="s">
        <v>1213</v>
      </c>
      <c r="P811" s="63" t="s">
        <v>2277</v>
      </c>
      <c r="Q811" s="83">
        <v>54686940</v>
      </c>
      <c r="R811" s="98">
        <v>1</v>
      </c>
      <c r="S811" s="80">
        <v>0</v>
      </c>
      <c r="T811" s="63"/>
      <c r="U811" s="63"/>
      <c r="V811" s="81"/>
      <c r="W811" s="82"/>
      <c r="X811" s="99" t="s">
        <v>2278</v>
      </c>
      <c r="Y811" s="81">
        <v>43173</v>
      </c>
      <c r="Z811" s="83">
        <v>0</v>
      </c>
      <c r="AA811" s="84" t="s">
        <v>1742</v>
      </c>
      <c r="AB811" s="85"/>
      <c r="AC811" s="81">
        <v>43175</v>
      </c>
      <c r="AD811" s="86">
        <v>0</v>
      </c>
      <c r="AE811" s="87">
        <f t="shared" si="82"/>
        <v>0</v>
      </c>
      <c r="AF811" s="85"/>
      <c r="AG811" s="81"/>
      <c r="AH811" s="86"/>
      <c r="AI811" s="63"/>
      <c r="AJ811" s="63"/>
      <c r="AK811" s="87">
        <f t="shared" si="84"/>
        <v>0</v>
      </c>
      <c r="AL811" s="86"/>
      <c r="AM811" s="86">
        <f t="shared" si="85"/>
        <v>0</v>
      </c>
      <c r="AN811" s="63" t="s">
        <v>1155</v>
      </c>
      <c r="AO811" s="86">
        <f t="shared" si="86"/>
        <v>0</v>
      </c>
      <c r="AP811" s="63" t="s">
        <v>2279</v>
      </c>
      <c r="AQ811" s="81">
        <v>43172</v>
      </c>
      <c r="AR811" s="63" t="s">
        <v>1157</v>
      </c>
      <c r="AS811" s="81">
        <v>43173</v>
      </c>
      <c r="AT811" s="63" t="s">
        <v>2277</v>
      </c>
      <c r="AU811" s="220"/>
      <c r="AV811" s="220"/>
      <c r="AW811" s="220"/>
    </row>
    <row r="812" spans="1:49" s="221" customFormat="1" ht="370.5" x14ac:dyDescent="0.25">
      <c r="A812" s="63">
        <v>398</v>
      </c>
      <c r="B812" s="63" t="str">
        <f t="shared" si="83"/>
        <v>3075-398</v>
      </c>
      <c r="C812" s="76" t="s">
        <v>1141</v>
      </c>
      <c r="D812" s="76" t="s">
        <v>1142</v>
      </c>
      <c r="E812" s="76" t="s">
        <v>1424</v>
      </c>
      <c r="F812" s="76" t="s">
        <v>1175</v>
      </c>
      <c r="G812" s="77" t="s">
        <v>1176</v>
      </c>
      <c r="H812" s="78" t="s">
        <v>1425</v>
      </c>
      <c r="I812" s="76" t="s">
        <v>1147</v>
      </c>
      <c r="J812" s="76" t="s">
        <v>1148</v>
      </c>
      <c r="K812" s="76" t="s">
        <v>439</v>
      </c>
      <c r="L812" s="63" t="s">
        <v>1149</v>
      </c>
      <c r="M812" s="63" t="s">
        <v>58</v>
      </c>
      <c r="N812" s="63" t="s">
        <v>59</v>
      </c>
      <c r="O812" s="76" t="s">
        <v>1213</v>
      </c>
      <c r="P812" s="63" t="s">
        <v>2280</v>
      </c>
      <c r="Q812" s="83">
        <v>54686940</v>
      </c>
      <c r="R812" s="98">
        <v>1</v>
      </c>
      <c r="S812" s="80">
        <v>54686940</v>
      </c>
      <c r="T812" s="63" t="s">
        <v>1171</v>
      </c>
      <c r="U812" s="63" t="s">
        <v>1171</v>
      </c>
      <c r="V812" s="81" t="s">
        <v>411</v>
      </c>
      <c r="W812" s="82" t="s">
        <v>439</v>
      </c>
      <c r="X812" s="99" t="s">
        <v>2281</v>
      </c>
      <c r="Y812" s="81">
        <v>43173</v>
      </c>
      <c r="Z812" s="83">
        <v>54686940</v>
      </c>
      <c r="AA812" s="84" t="s">
        <v>1742</v>
      </c>
      <c r="AB812" s="85">
        <v>733</v>
      </c>
      <c r="AC812" s="81">
        <v>43175</v>
      </c>
      <c r="AD812" s="86">
        <v>54686940</v>
      </c>
      <c r="AE812" s="87">
        <f t="shared" si="82"/>
        <v>0</v>
      </c>
      <c r="AF812" s="85">
        <v>1784</v>
      </c>
      <c r="AG812" s="81">
        <v>43202</v>
      </c>
      <c r="AH812" s="86">
        <v>54686940</v>
      </c>
      <c r="AI812" s="63" t="s">
        <v>2282</v>
      </c>
      <c r="AJ812" s="63">
        <v>1845</v>
      </c>
      <c r="AK812" s="87">
        <f t="shared" si="84"/>
        <v>0</v>
      </c>
      <c r="AL812" s="86">
        <v>54686940</v>
      </c>
      <c r="AM812" s="86">
        <f t="shared" si="85"/>
        <v>0</v>
      </c>
      <c r="AN812" s="63" t="s">
        <v>1155</v>
      </c>
      <c r="AO812" s="86">
        <f t="shared" si="86"/>
        <v>0</v>
      </c>
      <c r="AP812" s="63"/>
      <c r="AQ812" s="81">
        <v>43172</v>
      </c>
      <c r="AR812" s="63" t="s">
        <v>2109</v>
      </c>
      <c r="AS812" s="81">
        <v>43173</v>
      </c>
      <c r="AT812" s="63" t="s">
        <v>2280</v>
      </c>
      <c r="AU812" s="220"/>
      <c r="AV812" s="220"/>
      <c r="AW812" s="220"/>
    </row>
    <row r="813" spans="1:49" s="221" customFormat="1" ht="370.5" x14ac:dyDescent="0.25">
      <c r="A813" s="63">
        <v>399</v>
      </c>
      <c r="B813" s="63" t="str">
        <f t="shared" si="83"/>
        <v>3075-399</v>
      </c>
      <c r="C813" s="76" t="s">
        <v>1141</v>
      </c>
      <c r="D813" s="76" t="s">
        <v>1142</v>
      </c>
      <c r="E813" s="76" t="s">
        <v>1424</v>
      </c>
      <c r="F813" s="76" t="s">
        <v>1175</v>
      </c>
      <c r="G813" s="77" t="s">
        <v>1176</v>
      </c>
      <c r="H813" s="78" t="s">
        <v>1425</v>
      </c>
      <c r="I813" s="76" t="s">
        <v>1147</v>
      </c>
      <c r="J813" s="76" t="s">
        <v>1148</v>
      </c>
      <c r="K813" s="76" t="s">
        <v>439</v>
      </c>
      <c r="L813" s="63" t="s">
        <v>1149</v>
      </c>
      <c r="M813" s="63" t="s">
        <v>58</v>
      </c>
      <c r="N813" s="63" t="s">
        <v>59</v>
      </c>
      <c r="O813" s="76" t="s">
        <v>1213</v>
      </c>
      <c r="P813" s="63" t="s">
        <v>2283</v>
      </c>
      <c r="Q813" s="83">
        <v>54686940</v>
      </c>
      <c r="R813" s="98">
        <v>1</v>
      </c>
      <c r="S813" s="80">
        <v>54686940</v>
      </c>
      <c r="T813" s="63" t="s">
        <v>1171</v>
      </c>
      <c r="U813" s="63" t="s">
        <v>1171</v>
      </c>
      <c r="V813" s="81" t="s">
        <v>411</v>
      </c>
      <c r="W813" s="82" t="s">
        <v>439</v>
      </c>
      <c r="X813" s="99" t="s">
        <v>2284</v>
      </c>
      <c r="Y813" s="81">
        <v>43173</v>
      </c>
      <c r="Z813" s="83">
        <v>54686940</v>
      </c>
      <c r="AA813" s="84" t="s">
        <v>1742</v>
      </c>
      <c r="AB813" s="85">
        <v>736</v>
      </c>
      <c r="AC813" s="81">
        <v>43175</v>
      </c>
      <c r="AD813" s="86">
        <v>54686940</v>
      </c>
      <c r="AE813" s="87">
        <f t="shared" si="82"/>
        <v>0</v>
      </c>
      <c r="AF813" s="85">
        <v>1787</v>
      </c>
      <c r="AG813" s="81">
        <v>43202</v>
      </c>
      <c r="AH813" s="86">
        <v>54686940</v>
      </c>
      <c r="AI813" s="63" t="s">
        <v>2285</v>
      </c>
      <c r="AJ813" s="63">
        <v>1847</v>
      </c>
      <c r="AK813" s="87">
        <f t="shared" si="84"/>
        <v>0</v>
      </c>
      <c r="AL813" s="86">
        <v>54686940</v>
      </c>
      <c r="AM813" s="86">
        <f t="shared" si="85"/>
        <v>0</v>
      </c>
      <c r="AN813" s="63" t="s">
        <v>1155</v>
      </c>
      <c r="AO813" s="86">
        <f t="shared" si="86"/>
        <v>0</v>
      </c>
      <c r="AP813" s="63"/>
      <c r="AQ813" s="81">
        <v>43172</v>
      </c>
      <c r="AR813" s="63" t="s">
        <v>2109</v>
      </c>
      <c r="AS813" s="81">
        <v>43173</v>
      </c>
      <c r="AT813" s="63" t="s">
        <v>2283</v>
      </c>
      <c r="AU813" s="220"/>
      <c r="AV813" s="220"/>
      <c r="AW813" s="220"/>
    </row>
    <row r="814" spans="1:49" s="221" customFormat="1" ht="370.5" x14ac:dyDescent="0.25">
      <c r="A814" s="63">
        <v>400</v>
      </c>
      <c r="B814" s="63" t="str">
        <f t="shared" si="83"/>
        <v>3075-400</v>
      </c>
      <c r="C814" s="76" t="s">
        <v>1141</v>
      </c>
      <c r="D814" s="76" t="s">
        <v>1142</v>
      </c>
      <c r="E814" s="76" t="s">
        <v>1424</v>
      </c>
      <c r="F814" s="76" t="s">
        <v>1175</v>
      </c>
      <c r="G814" s="77" t="s">
        <v>1176</v>
      </c>
      <c r="H814" s="78" t="s">
        <v>1425</v>
      </c>
      <c r="I814" s="76" t="s">
        <v>1147</v>
      </c>
      <c r="J814" s="76" t="s">
        <v>1148</v>
      </c>
      <c r="K814" s="76" t="s">
        <v>439</v>
      </c>
      <c r="L814" s="63" t="s">
        <v>1149</v>
      </c>
      <c r="M814" s="63" t="s">
        <v>58</v>
      </c>
      <c r="N814" s="63" t="s">
        <v>59</v>
      </c>
      <c r="O814" s="76" t="s">
        <v>1213</v>
      </c>
      <c r="P814" s="63" t="s">
        <v>2286</v>
      </c>
      <c r="Q814" s="83">
        <v>54686940</v>
      </c>
      <c r="R814" s="98">
        <v>1</v>
      </c>
      <c r="S814" s="80">
        <v>54686940</v>
      </c>
      <c r="T814" s="63" t="s">
        <v>1171</v>
      </c>
      <c r="U814" s="63" t="s">
        <v>1171</v>
      </c>
      <c r="V814" s="81" t="s">
        <v>411</v>
      </c>
      <c r="W814" s="82" t="s">
        <v>439</v>
      </c>
      <c r="X814" s="99" t="s">
        <v>2287</v>
      </c>
      <c r="Y814" s="81">
        <v>43173</v>
      </c>
      <c r="Z814" s="83">
        <v>54686940</v>
      </c>
      <c r="AA814" s="84" t="s">
        <v>1742</v>
      </c>
      <c r="AB814" s="85">
        <v>738</v>
      </c>
      <c r="AC814" s="81">
        <v>43175</v>
      </c>
      <c r="AD814" s="86">
        <v>54686940</v>
      </c>
      <c r="AE814" s="87">
        <f t="shared" si="82"/>
        <v>0</v>
      </c>
      <c r="AF814" s="85">
        <v>1791</v>
      </c>
      <c r="AG814" s="81">
        <v>43202</v>
      </c>
      <c r="AH814" s="86">
        <v>54686940</v>
      </c>
      <c r="AI814" s="63" t="s">
        <v>2288</v>
      </c>
      <c r="AJ814" s="63">
        <v>1843</v>
      </c>
      <c r="AK814" s="87">
        <f t="shared" si="84"/>
        <v>0</v>
      </c>
      <c r="AL814" s="86">
        <v>54686940</v>
      </c>
      <c r="AM814" s="86">
        <f t="shared" si="85"/>
        <v>0</v>
      </c>
      <c r="AN814" s="63" t="s">
        <v>1155</v>
      </c>
      <c r="AO814" s="86">
        <f t="shared" si="86"/>
        <v>0</v>
      </c>
      <c r="AP814" s="63"/>
      <c r="AQ814" s="81">
        <v>43172</v>
      </c>
      <c r="AR814" s="63" t="s">
        <v>2109</v>
      </c>
      <c r="AS814" s="81">
        <v>43173</v>
      </c>
      <c r="AT814" s="63" t="s">
        <v>2286</v>
      </c>
      <c r="AU814" s="220"/>
      <c r="AV814" s="220"/>
      <c r="AW814" s="220"/>
    </row>
    <row r="815" spans="1:49" s="221" customFormat="1" ht="370.5" x14ac:dyDescent="0.25">
      <c r="A815" s="63">
        <v>401</v>
      </c>
      <c r="B815" s="63" t="str">
        <f t="shared" si="83"/>
        <v>3075-401</v>
      </c>
      <c r="C815" s="76" t="s">
        <v>1141</v>
      </c>
      <c r="D815" s="76" t="s">
        <v>1142</v>
      </c>
      <c r="E815" s="76" t="s">
        <v>1424</v>
      </c>
      <c r="F815" s="76" t="s">
        <v>1175</v>
      </c>
      <c r="G815" s="77" t="s">
        <v>1176</v>
      </c>
      <c r="H815" s="78" t="s">
        <v>1425</v>
      </c>
      <c r="I815" s="76" t="s">
        <v>1147</v>
      </c>
      <c r="J815" s="76" t="s">
        <v>1148</v>
      </c>
      <c r="K815" s="76" t="s">
        <v>439</v>
      </c>
      <c r="L815" s="63" t="s">
        <v>1149</v>
      </c>
      <c r="M815" s="63" t="s">
        <v>58</v>
      </c>
      <c r="N815" s="63" t="s">
        <v>59</v>
      </c>
      <c r="O815" s="76" t="s">
        <v>1213</v>
      </c>
      <c r="P815" s="63" t="s">
        <v>2289</v>
      </c>
      <c r="Q815" s="83">
        <v>54686940</v>
      </c>
      <c r="R815" s="98">
        <v>1</v>
      </c>
      <c r="S815" s="80">
        <v>54686940</v>
      </c>
      <c r="T815" s="63" t="s">
        <v>1171</v>
      </c>
      <c r="U815" s="63" t="s">
        <v>1171</v>
      </c>
      <c r="V815" s="81" t="s">
        <v>411</v>
      </c>
      <c r="W815" s="82" t="s">
        <v>439</v>
      </c>
      <c r="X815" s="99" t="s">
        <v>2290</v>
      </c>
      <c r="Y815" s="81">
        <v>43173</v>
      </c>
      <c r="Z815" s="83">
        <v>54686940</v>
      </c>
      <c r="AA815" s="84" t="s">
        <v>1742</v>
      </c>
      <c r="AB815" s="85">
        <v>744</v>
      </c>
      <c r="AC815" s="81">
        <v>43175</v>
      </c>
      <c r="AD815" s="86">
        <v>54686940</v>
      </c>
      <c r="AE815" s="87">
        <f t="shared" si="82"/>
        <v>0</v>
      </c>
      <c r="AF815" s="85">
        <v>1785</v>
      </c>
      <c r="AG815" s="81">
        <v>43202</v>
      </c>
      <c r="AH815" s="86">
        <v>54686940</v>
      </c>
      <c r="AI815" s="63" t="s">
        <v>2291</v>
      </c>
      <c r="AJ815" s="63">
        <v>1846</v>
      </c>
      <c r="AK815" s="87">
        <f t="shared" si="84"/>
        <v>0</v>
      </c>
      <c r="AL815" s="86">
        <v>54686940</v>
      </c>
      <c r="AM815" s="86">
        <f t="shared" si="85"/>
        <v>0</v>
      </c>
      <c r="AN815" s="63" t="s">
        <v>1155</v>
      </c>
      <c r="AO815" s="86">
        <f t="shared" si="86"/>
        <v>0</v>
      </c>
      <c r="AP815" s="63"/>
      <c r="AQ815" s="81">
        <v>43172</v>
      </c>
      <c r="AR815" s="63" t="s">
        <v>2109</v>
      </c>
      <c r="AS815" s="81">
        <v>43173</v>
      </c>
      <c r="AT815" s="63" t="s">
        <v>2289</v>
      </c>
      <c r="AU815" s="220"/>
      <c r="AV815" s="220"/>
      <c r="AW815" s="220"/>
    </row>
    <row r="816" spans="1:49" s="221" customFormat="1" ht="370.5" x14ac:dyDescent="0.25">
      <c r="A816" s="63">
        <v>402</v>
      </c>
      <c r="B816" s="63" t="str">
        <f t="shared" si="83"/>
        <v>3075-402</v>
      </c>
      <c r="C816" s="76" t="s">
        <v>1141</v>
      </c>
      <c r="D816" s="76" t="s">
        <v>1142</v>
      </c>
      <c r="E816" s="76" t="s">
        <v>1424</v>
      </c>
      <c r="F816" s="76" t="s">
        <v>1175</v>
      </c>
      <c r="G816" s="77" t="s">
        <v>1176</v>
      </c>
      <c r="H816" s="78" t="s">
        <v>1425</v>
      </c>
      <c r="I816" s="76" t="s">
        <v>1147</v>
      </c>
      <c r="J816" s="76" t="s">
        <v>1148</v>
      </c>
      <c r="K816" s="76" t="s">
        <v>439</v>
      </c>
      <c r="L816" s="63" t="s">
        <v>1149</v>
      </c>
      <c r="M816" s="63" t="s">
        <v>58</v>
      </c>
      <c r="N816" s="63" t="s">
        <v>59</v>
      </c>
      <c r="O816" s="76" t="s">
        <v>1213</v>
      </c>
      <c r="P816" s="63" t="s">
        <v>2292</v>
      </c>
      <c r="Q816" s="83">
        <v>54686940</v>
      </c>
      <c r="R816" s="98">
        <v>1</v>
      </c>
      <c r="S816" s="80">
        <v>54686940</v>
      </c>
      <c r="T816" s="63" t="s">
        <v>1171</v>
      </c>
      <c r="U816" s="63" t="s">
        <v>1171</v>
      </c>
      <c r="V816" s="81" t="s">
        <v>411</v>
      </c>
      <c r="W816" s="82" t="s">
        <v>439</v>
      </c>
      <c r="X816" s="99" t="s">
        <v>2293</v>
      </c>
      <c r="Y816" s="81">
        <v>43173</v>
      </c>
      <c r="Z816" s="83">
        <v>54686940</v>
      </c>
      <c r="AA816" s="84" t="s">
        <v>1742</v>
      </c>
      <c r="AB816" s="85">
        <v>745</v>
      </c>
      <c r="AC816" s="81">
        <v>43175</v>
      </c>
      <c r="AD816" s="86">
        <v>54686940</v>
      </c>
      <c r="AE816" s="87">
        <f t="shared" si="82"/>
        <v>0</v>
      </c>
      <c r="AF816" s="85">
        <v>1815</v>
      </c>
      <c r="AG816" s="81">
        <v>43209</v>
      </c>
      <c r="AH816" s="86">
        <v>54686940</v>
      </c>
      <c r="AI816" s="63" t="s">
        <v>2294</v>
      </c>
      <c r="AJ816" s="63">
        <v>1872</v>
      </c>
      <c r="AK816" s="87">
        <f t="shared" si="84"/>
        <v>0</v>
      </c>
      <c r="AL816" s="86">
        <v>54686940</v>
      </c>
      <c r="AM816" s="86">
        <f t="shared" si="85"/>
        <v>0</v>
      </c>
      <c r="AN816" s="63" t="s">
        <v>1155</v>
      </c>
      <c r="AO816" s="86">
        <f t="shared" si="86"/>
        <v>0</v>
      </c>
      <c r="AP816" s="63"/>
      <c r="AQ816" s="81">
        <v>43172</v>
      </c>
      <c r="AR816" s="63" t="s">
        <v>2109</v>
      </c>
      <c r="AS816" s="81">
        <v>43173</v>
      </c>
      <c r="AT816" s="63" t="s">
        <v>2292</v>
      </c>
      <c r="AU816" s="220"/>
      <c r="AV816" s="220"/>
      <c r="AW816" s="220"/>
    </row>
    <row r="817" spans="1:49" s="221" customFormat="1" ht="370.5" x14ac:dyDescent="0.25">
      <c r="A817" s="63">
        <v>403</v>
      </c>
      <c r="B817" s="63" t="str">
        <f t="shared" si="83"/>
        <v>3075-403</v>
      </c>
      <c r="C817" s="76" t="s">
        <v>1141</v>
      </c>
      <c r="D817" s="76" t="s">
        <v>1142</v>
      </c>
      <c r="E817" s="76" t="s">
        <v>1424</v>
      </c>
      <c r="F817" s="76" t="s">
        <v>1175</v>
      </c>
      <c r="G817" s="77" t="s">
        <v>1176</v>
      </c>
      <c r="H817" s="78" t="s">
        <v>1425</v>
      </c>
      <c r="I817" s="76" t="s">
        <v>1147</v>
      </c>
      <c r="J817" s="76" t="s">
        <v>1148</v>
      </c>
      <c r="K817" s="76" t="s">
        <v>439</v>
      </c>
      <c r="L817" s="63" t="s">
        <v>1149</v>
      </c>
      <c r="M817" s="63" t="s">
        <v>58</v>
      </c>
      <c r="N817" s="63" t="s">
        <v>59</v>
      </c>
      <c r="O817" s="76" t="s">
        <v>1213</v>
      </c>
      <c r="P817" s="63" t="s">
        <v>2295</v>
      </c>
      <c r="Q817" s="83">
        <v>54686940</v>
      </c>
      <c r="R817" s="98">
        <v>1</v>
      </c>
      <c r="S817" s="80">
        <v>54686940</v>
      </c>
      <c r="T817" s="63" t="s">
        <v>1171</v>
      </c>
      <c r="U817" s="63" t="s">
        <v>1171</v>
      </c>
      <c r="V817" s="81" t="s">
        <v>411</v>
      </c>
      <c r="W817" s="82" t="s">
        <v>439</v>
      </c>
      <c r="X817" s="99" t="s">
        <v>2296</v>
      </c>
      <c r="Y817" s="81">
        <v>43173</v>
      </c>
      <c r="Z817" s="83">
        <v>54686940</v>
      </c>
      <c r="AA817" s="84" t="s">
        <v>1742</v>
      </c>
      <c r="AB817" s="85">
        <v>747</v>
      </c>
      <c r="AC817" s="81">
        <v>43175</v>
      </c>
      <c r="AD817" s="86">
        <v>54686940</v>
      </c>
      <c r="AE817" s="87">
        <f t="shared" si="82"/>
        <v>0</v>
      </c>
      <c r="AF817" s="85">
        <v>1762</v>
      </c>
      <c r="AG817" s="81">
        <v>43201</v>
      </c>
      <c r="AH817" s="86">
        <v>54686940</v>
      </c>
      <c r="AI817" s="63" t="s">
        <v>2297</v>
      </c>
      <c r="AJ817" s="63">
        <v>1777</v>
      </c>
      <c r="AK817" s="87">
        <f t="shared" si="84"/>
        <v>0</v>
      </c>
      <c r="AL817" s="86">
        <v>54686940</v>
      </c>
      <c r="AM817" s="86">
        <f t="shared" si="85"/>
        <v>0</v>
      </c>
      <c r="AN817" s="63" t="s">
        <v>1155</v>
      </c>
      <c r="AO817" s="86">
        <f t="shared" si="86"/>
        <v>0</v>
      </c>
      <c r="AP817" s="63"/>
      <c r="AQ817" s="81">
        <v>43172</v>
      </c>
      <c r="AR817" s="63" t="s">
        <v>2109</v>
      </c>
      <c r="AS817" s="81">
        <v>43173</v>
      </c>
      <c r="AT817" s="63" t="s">
        <v>2295</v>
      </c>
      <c r="AU817" s="220"/>
      <c r="AV817" s="220"/>
      <c r="AW817" s="220"/>
    </row>
    <row r="818" spans="1:49" s="221" customFormat="1" ht="370.5" x14ac:dyDescent="0.25">
      <c r="A818" s="63">
        <v>404</v>
      </c>
      <c r="B818" s="63" t="str">
        <f t="shared" si="83"/>
        <v>3075-404</v>
      </c>
      <c r="C818" s="76" t="s">
        <v>1141</v>
      </c>
      <c r="D818" s="76" t="s">
        <v>1142</v>
      </c>
      <c r="E818" s="76" t="s">
        <v>1424</v>
      </c>
      <c r="F818" s="76" t="s">
        <v>1175</v>
      </c>
      <c r="G818" s="77" t="s">
        <v>1176</v>
      </c>
      <c r="H818" s="78" t="s">
        <v>1425</v>
      </c>
      <c r="I818" s="76" t="s">
        <v>1147</v>
      </c>
      <c r="J818" s="76" t="s">
        <v>1148</v>
      </c>
      <c r="K818" s="76" t="s">
        <v>439</v>
      </c>
      <c r="L818" s="63" t="s">
        <v>1149</v>
      </c>
      <c r="M818" s="63" t="s">
        <v>58</v>
      </c>
      <c r="N818" s="63" t="s">
        <v>59</v>
      </c>
      <c r="O818" s="76" t="s">
        <v>1213</v>
      </c>
      <c r="P818" s="63" t="s">
        <v>2298</v>
      </c>
      <c r="Q818" s="83">
        <v>54686940</v>
      </c>
      <c r="R818" s="98">
        <v>1</v>
      </c>
      <c r="S818" s="80">
        <v>54686940</v>
      </c>
      <c r="T818" s="63" t="s">
        <v>1171</v>
      </c>
      <c r="U818" s="63" t="s">
        <v>1171</v>
      </c>
      <c r="V818" s="81" t="s">
        <v>411</v>
      </c>
      <c r="W818" s="82" t="s">
        <v>439</v>
      </c>
      <c r="X818" s="99" t="s">
        <v>2299</v>
      </c>
      <c r="Y818" s="81">
        <v>43173</v>
      </c>
      <c r="Z818" s="83">
        <v>54686940</v>
      </c>
      <c r="AA818" s="84" t="s">
        <v>1742</v>
      </c>
      <c r="AB818" s="85">
        <v>732</v>
      </c>
      <c r="AC818" s="81">
        <v>43175</v>
      </c>
      <c r="AD818" s="86">
        <v>54686940</v>
      </c>
      <c r="AE818" s="87">
        <f t="shared" si="82"/>
        <v>0</v>
      </c>
      <c r="AF818" s="85">
        <v>1788</v>
      </c>
      <c r="AG818" s="81">
        <v>43202</v>
      </c>
      <c r="AH818" s="86">
        <v>54686940</v>
      </c>
      <c r="AI818" s="63" t="s">
        <v>2300</v>
      </c>
      <c r="AJ818" s="63">
        <v>1841</v>
      </c>
      <c r="AK818" s="87">
        <f t="shared" si="84"/>
        <v>0</v>
      </c>
      <c r="AL818" s="86">
        <v>54686940</v>
      </c>
      <c r="AM818" s="86">
        <f t="shared" si="85"/>
        <v>0</v>
      </c>
      <c r="AN818" s="63" t="s">
        <v>1155</v>
      </c>
      <c r="AO818" s="86">
        <f t="shared" si="86"/>
        <v>0</v>
      </c>
      <c r="AP818" s="63"/>
      <c r="AQ818" s="81">
        <v>43172</v>
      </c>
      <c r="AR818" s="63" t="s">
        <v>2109</v>
      </c>
      <c r="AS818" s="81">
        <v>43173</v>
      </c>
      <c r="AT818" s="63" t="s">
        <v>2298</v>
      </c>
      <c r="AU818" s="220"/>
      <c r="AV818" s="220"/>
      <c r="AW818" s="220"/>
    </row>
    <row r="819" spans="1:49" s="221" customFormat="1" ht="370.5" x14ac:dyDescent="0.25">
      <c r="A819" s="63">
        <v>405</v>
      </c>
      <c r="B819" s="63" t="str">
        <f t="shared" si="83"/>
        <v>3075-405</v>
      </c>
      <c r="C819" s="76" t="s">
        <v>1141</v>
      </c>
      <c r="D819" s="76" t="s">
        <v>1142</v>
      </c>
      <c r="E819" s="76" t="s">
        <v>1424</v>
      </c>
      <c r="F819" s="76" t="s">
        <v>1175</v>
      </c>
      <c r="G819" s="77" t="s">
        <v>1176</v>
      </c>
      <c r="H819" s="78" t="s">
        <v>1425</v>
      </c>
      <c r="I819" s="76" t="s">
        <v>1147</v>
      </c>
      <c r="J819" s="76" t="s">
        <v>1148</v>
      </c>
      <c r="K819" s="76" t="s">
        <v>439</v>
      </c>
      <c r="L819" s="63" t="s">
        <v>1149</v>
      </c>
      <c r="M819" s="63" t="s">
        <v>58</v>
      </c>
      <c r="N819" s="63" t="s">
        <v>59</v>
      </c>
      <c r="O819" s="76" t="s">
        <v>1213</v>
      </c>
      <c r="P819" s="63" t="s">
        <v>2301</v>
      </c>
      <c r="Q819" s="83">
        <v>54686940</v>
      </c>
      <c r="R819" s="98">
        <v>1</v>
      </c>
      <c r="S819" s="80">
        <v>54686940</v>
      </c>
      <c r="T819" s="63" t="s">
        <v>1171</v>
      </c>
      <c r="U819" s="63" t="s">
        <v>1171</v>
      </c>
      <c r="V819" s="81" t="s">
        <v>411</v>
      </c>
      <c r="W819" s="82" t="s">
        <v>439</v>
      </c>
      <c r="X819" s="99" t="s">
        <v>2302</v>
      </c>
      <c r="Y819" s="81">
        <v>43173</v>
      </c>
      <c r="Z819" s="83">
        <v>54686940</v>
      </c>
      <c r="AA819" s="84" t="s">
        <v>1742</v>
      </c>
      <c r="AB819" s="85">
        <v>734</v>
      </c>
      <c r="AC819" s="81">
        <v>43175</v>
      </c>
      <c r="AD819" s="86">
        <v>54686940</v>
      </c>
      <c r="AE819" s="87">
        <f t="shared" si="82"/>
        <v>0</v>
      </c>
      <c r="AF819" s="85">
        <v>1789</v>
      </c>
      <c r="AG819" s="81">
        <v>43202</v>
      </c>
      <c r="AH819" s="86">
        <v>54686940</v>
      </c>
      <c r="AI819" s="63" t="s">
        <v>2303</v>
      </c>
      <c r="AJ819" s="63">
        <v>1848</v>
      </c>
      <c r="AK819" s="87">
        <f t="shared" si="84"/>
        <v>0</v>
      </c>
      <c r="AL819" s="86">
        <v>54686940</v>
      </c>
      <c r="AM819" s="86">
        <f t="shared" si="85"/>
        <v>0</v>
      </c>
      <c r="AN819" s="63" t="s">
        <v>1155</v>
      </c>
      <c r="AO819" s="86">
        <f t="shared" si="86"/>
        <v>0</v>
      </c>
      <c r="AP819" s="63"/>
      <c r="AQ819" s="81">
        <v>43172</v>
      </c>
      <c r="AR819" s="63" t="s">
        <v>2109</v>
      </c>
      <c r="AS819" s="81">
        <v>43173</v>
      </c>
      <c r="AT819" s="63" t="s">
        <v>2301</v>
      </c>
      <c r="AU819" s="220"/>
      <c r="AV819" s="220"/>
      <c r="AW819" s="220"/>
    </row>
    <row r="820" spans="1:49" s="221" customFormat="1" ht="370.5" x14ac:dyDescent="0.25">
      <c r="A820" s="63">
        <v>406</v>
      </c>
      <c r="B820" s="63" t="str">
        <f t="shared" si="83"/>
        <v>3075-406</v>
      </c>
      <c r="C820" s="76" t="s">
        <v>1141</v>
      </c>
      <c r="D820" s="76" t="s">
        <v>1142</v>
      </c>
      <c r="E820" s="76" t="s">
        <v>1424</v>
      </c>
      <c r="F820" s="76" t="s">
        <v>1175</v>
      </c>
      <c r="G820" s="77" t="s">
        <v>1176</v>
      </c>
      <c r="H820" s="78" t="s">
        <v>1425</v>
      </c>
      <c r="I820" s="76" t="s">
        <v>1147</v>
      </c>
      <c r="J820" s="76" t="s">
        <v>1148</v>
      </c>
      <c r="K820" s="76" t="s">
        <v>439</v>
      </c>
      <c r="L820" s="63" t="s">
        <v>1149</v>
      </c>
      <c r="M820" s="63" t="s">
        <v>58</v>
      </c>
      <c r="N820" s="63" t="s">
        <v>59</v>
      </c>
      <c r="O820" s="76" t="s">
        <v>1213</v>
      </c>
      <c r="P820" s="63" t="s">
        <v>2304</v>
      </c>
      <c r="Q820" s="83">
        <v>54686940</v>
      </c>
      <c r="R820" s="98">
        <v>1</v>
      </c>
      <c r="S820" s="80">
        <v>54686940</v>
      </c>
      <c r="T820" s="63" t="s">
        <v>1171</v>
      </c>
      <c r="U820" s="63" t="s">
        <v>1171</v>
      </c>
      <c r="V820" s="81" t="s">
        <v>411</v>
      </c>
      <c r="W820" s="82" t="s">
        <v>439</v>
      </c>
      <c r="X820" s="99" t="s">
        <v>2305</v>
      </c>
      <c r="Y820" s="81">
        <v>43173</v>
      </c>
      <c r="Z820" s="83">
        <v>54686940</v>
      </c>
      <c r="AA820" s="84" t="s">
        <v>1742</v>
      </c>
      <c r="AB820" s="85">
        <v>735</v>
      </c>
      <c r="AC820" s="81">
        <v>43175</v>
      </c>
      <c r="AD820" s="86">
        <v>54686940</v>
      </c>
      <c r="AE820" s="87">
        <f t="shared" si="82"/>
        <v>0</v>
      </c>
      <c r="AF820" s="85">
        <v>1783</v>
      </c>
      <c r="AG820" s="81">
        <v>43202</v>
      </c>
      <c r="AH820" s="86">
        <v>54686940</v>
      </c>
      <c r="AI820" s="63" t="s">
        <v>2306</v>
      </c>
      <c r="AJ820" s="63">
        <v>1839</v>
      </c>
      <c r="AK820" s="87">
        <f t="shared" si="84"/>
        <v>0</v>
      </c>
      <c r="AL820" s="86">
        <v>54686940</v>
      </c>
      <c r="AM820" s="86">
        <f t="shared" si="85"/>
        <v>0</v>
      </c>
      <c r="AN820" s="63" t="s">
        <v>1155</v>
      </c>
      <c r="AO820" s="86">
        <f t="shared" si="86"/>
        <v>0</v>
      </c>
      <c r="AP820" s="63"/>
      <c r="AQ820" s="81">
        <v>43172</v>
      </c>
      <c r="AR820" s="63" t="s">
        <v>2109</v>
      </c>
      <c r="AS820" s="81">
        <v>43173</v>
      </c>
      <c r="AT820" s="63" t="s">
        <v>2304</v>
      </c>
      <c r="AU820" s="220"/>
      <c r="AV820" s="220"/>
      <c r="AW820" s="220"/>
    </row>
    <row r="821" spans="1:49" s="221" customFormat="1" ht="228" x14ac:dyDescent="0.25">
      <c r="A821" s="63">
        <v>407</v>
      </c>
      <c r="B821" s="63" t="str">
        <f t="shared" si="83"/>
        <v>3075-407</v>
      </c>
      <c r="C821" s="76" t="s">
        <v>1141</v>
      </c>
      <c r="D821" s="76" t="s">
        <v>1142</v>
      </c>
      <c r="E821" s="76" t="s">
        <v>1174</v>
      </c>
      <c r="F821" s="76" t="s">
        <v>1175</v>
      </c>
      <c r="G821" s="77" t="s">
        <v>1176</v>
      </c>
      <c r="H821" s="78" t="s">
        <v>1177</v>
      </c>
      <c r="I821" s="76" t="s">
        <v>1147</v>
      </c>
      <c r="J821" s="76" t="s">
        <v>1178</v>
      </c>
      <c r="K821" s="76" t="s">
        <v>439</v>
      </c>
      <c r="L821" s="63" t="s">
        <v>1149</v>
      </c>
      <c r="M821" s="63" t="s">
        <v>58</v>
      </c>
      <c r="N821" s="63" t="s">
        <v>59</v>
      </c>
      <c r="O821" s="76" t="s">
        <v>1169</v>
      </c>
      <c r="P821" s="76" t="s">
        <v>2307</v>
      </c>
      <c r="Q821" s="79">
        <v>39062100</v>
      </c>
      <c r="R821" s="63">
        <v>1</v>
      </c>
      <c r="S821" s="80">
        <v>39062100</v>
      </c>
      <c r="T821" s="63" t="s">
        <v>1171</v>
      </c>
      <c r="U821" s="63" t="s">
        <v>1171</v>
      </c>
      <c r="V821" s="81" t="s">
        <v>411</v>
      </c>
      <c r="W821" s="82" t="s">
        <v>439</v>
      </c>
      <c r="X821" s="99" t="s">
        <v>2308</v>
      </c>
      <c r="Y821" s="81">
        <v>43173</v>
      </c>
      <c r="Z821" s="83">
        <v>39062100</v>
      </c>
      <c r="AA821" s="84" t="s">
        <v>2024</v>
      </c>
      <c r="AB821" s="85">
        <v>737</v>
      </c>
      <c r="AC821" s="81">
        <v>43175</v>
      </c>
      <c r="AD821" s="86">
        <v>39062100</v>
      </c>
      <c r="AE821" s="87">
        <f t="shared" si="82"/>
        <v>0</v>
      </c>
      <c r="AF821" s="85">
        <v>1761</v>
      </c>
      <c r="AG821" s="81">
        <v>43201</v>
      </c>
      <c r="AH821" s="86">
        <v>39062100</v>
      </c>
      <c r="AI821" s="63" t="s">
        <v>2309</v>
      </c>
      <c r="AJ821" s="63">
        <v>1783</v>
      </c>
      <c r="AK821" s="87">
        <f t="shared" si="84"/>
        <v>0</v>
      </c>
      <c r="AL821" s="86">
        <v>39062100</v>
      </c>
      <c r="AM821" s="86">
        <f t="shared" si="85"/>
        <v>0</v>
      </c>
      <c r="AN821" s="63" t="s">
        <v>1155</v>
      </c>
      <c r="AO821" s="86">
        <f t="shared" si="86"/>
        <v>0</v>
      </c>
      <c r="AP821" s="63"/>
      <c r="AQ821" s="81">
        <v>43172</v>
      </c>
      <c r="AR821" s="63" t="s">
        <v>2109</v>
      </c>
      <c r="AS821" s="81">
        <v>43173</v>
      </c>
      <c r="AT821" s="63" t="s">
        <v>2307</v>
      </c>
      <c r="AU821" s="220"/>
      <c r="AV821" s="220"/>
      <c r="AW821" s="220"/>
    </row>
    <row r="822" spans="1:49" s="221" customFormat="1" ht="228" x14ac:dyDescent="0.25">
      <c r="A822" s="63">
        <v>408</v>
      </c>
      <c r="B822" s="63" t="str">
        <f t="shared" si="83"/>
        <v>3075-408</v>
      </c>
      <c r="C822" s="76" t="s">
        <v>1141</v>
      </c>
      <c r="D822" s="76" t="s">
        <v>1142</v>
      </c>
      <c r="E822" s="76" t="s">
        <v>1174</v>
      </c>
      <c r="F822" s="76" t="s">
        <v>1175</v>
      </c>
      <c r="G822" s="77" t="s">
        <v>1176</v>
      </c>
      <c r="H822" s="78" t="s">
        <v>1177</v>
      </c>
      <c r="I822" s="76" t="s">
        <v>1147</v>
      </c>
      <c r="J822" s="76" t="s">
        <v>1178</v>
      </c>
      <c r="K822" s="76" t="s">
        <v>439</v>
      </c>
      <c r="L822" s="63" t="s">
        <v>1149</v>
      </c>
      <c r="M822" s="63" t="s">
        <v>58</v>
      </c>
      <c r="N822" s="63" t="s">
        <v>59</v>
      </c>
      <c r="O822" s="76" t="s">
        <v>1169</v>
      </c>
      <c r="P822" s="76" t="s">
        <v>2310</v>
      </c>
      <c r="Q822" s="79">
        <v>39062100</v>
      </c>
      <c r="R822" s="63">
        <v>1</v>
      </c>
      <c r="S822" s="80">
        <v>39062100</v>
      </c>
      <c r="T822" s="63" t="s">
        <v>1171</v>
      </c>
      <c r="U822" s="63" t="s">
        <v>1171</v>
      </c>
      <c r="V822" s="81" t="s">
        <v>411</v>
      </c>
      <c r="W822" s="82" t="s">
        <v>439</v>
      </c>
      <c r="X822" s="99" t="s">
        <v>2311</v>
      </c>
      <c r="Y822" s="81">
        <v>43173</v>
      </c>
      <c r="Z822" s="83">
        <v>39062100</v>
      </c>
      <c r="AA822" s="84" t="s">
        <v>2024</v>
      </c>
      <c r="AB822" s="85">
        <v>739</v>
      </c>
      <c r="AC822" s="81">
        <v>43175</v>
      </c>
      <c r="AD822" s="86">
        <v>39062100</v>
      </c>
      <c r="AE822" s="87">
        <f t="shared" si="82"/>
        <v>0</v>
      </c>
      <c r="AF822" s="85">
        <v>1792</v>
      </c>
      <c r="AG822" s="81">
        <v>43203</v>
      </c>
      <c r="AH822" s="86">
        <v>39062100</v>
      </c>
      <c r="AI822" s="63" t="s">
        <v>2312</v>
      </c>
      <c r="AJ822" s="63">
        <v>1862</v>
      </c>
      <c r="AK822" s="87">
        <f t="shared" si="84"/>
        <v>0</v>
      </c>
      <c r="AL822" s="86">
        <v>0</v>
      </c>
      <c r="AM822" s="86">
        <f t="shared" si="85"/>
        <v>39062100</v>
      </c>
      <c r="AN822" s="63" t="s">
        <v>1155</v>
      </c>
      <c r="AO822" s="86">
        <f t="shared" si="86"/>
        <v>0</v>
      </c>
      <c r="AP822" s="63"/>
      <c r="AQ822" s="81">
        <v>43172</v>
      </c>
      <c r="AR822" s="63" t="s">
        <v>2109</v>
      </c>
      <c r="AS822" s="81">
        <v>43173</v>
      </c>
      <c r="AT822" s="63" t="s">
        <v>2310</v>
      </c>
      <c r="AU822" s="220"/>
      <c r="AV822" s="220"/>
      <c r="AW822" s="220"/>
    </row>
    <row r="823" spans="1:49" s="221" customFormat="1" ht="156.75" x14ac:dyDescent="0.25">
      <c r="A823" s="63">
        <v>409</v>
      </c>
      <c r="B823" s="63" t="str">
        <f t="shared" si="83"/>
        <v>3075-409</v>
      </c>
      <c r="C823" s="76" t="s">
        <v>1141</v>
      </c>
      <c r="D823" s="76" t="s">
        <v>1142</v>
      </c>
      <c r="E823" s="76" t="s">
        <v>1174</v>
      </c>
      <c r="F823" s="76" t="s">
        <v>1175</v>
      </c>
      <c r="G823" s="77" t="s">
        <v>1176</v>
      </c>
      <c r="H823" s="78" t="s">
        <v>1177</v>
      </c>
      <c r="I823" s="76" t="s">
        <v>1147</v>
      </c>
      <c r="J823" s="76" t="s">
        <v>1178</v>
      </c>
      <c r="K823" s="76" t="s">
        <v>439</v>
      </c>
      <c r="L823" s="63" t="s">
        <v>1149</v>
      </c>
      <c r="M823" s="63" t="s">
        <v>58</v>
      </c>
      <c r="N823" s="63" t="s">
        <v>59</v>
      </c>
      <c r="O823" s="76" t="s">
        <v>1169</v>
      </c>
      <c r="P823" s="76" t="s">
        <v>2313</v>
      </c>
      <c r="Q823" s="79">
        <v>39062100</v>
      </c>
      <c r="R823" s="63">
        <v>1</v>
      </c>
      <c r="S823" s="80">
        <v>39062100</v>
      </c>
      <c r="T823" s="63"/>
      <c r="U823" s="63" t="s">
        <v>1171</v>
      </c>
      <c r="V823" s="81" t="s">
        <v>1164</v>
      </c>
      <c r="W823" s="82" t="s">
        <v>439</v>
      </c>
      <c r="X823" s="99" t="s">
        <v>2314</v>
      </c>
      <c r="Y823" s="81">
        <v>43173</v>
      </c>
      <c r="Z823" s="83">
        <f>39062100-39062100</f>
        <v>0</v>
      </c>
      <c r="AA823" s="84" t="s">
        <v>2024</v>
      </c>
      <c r="AB823" s="85" t="s">
        <v>2315</v>
      </c>
      <c r="AC823" s="81">
        <v>43175</v>
      </c>
      <c r="AD823" s="86">
        <v>0</v>
      </c>
      <c r="AE823" s="87">
        <f t="shared" si="82"/>
        <v>39062100</v>
      </c>
      <c r="AF823" s="85"/>
      <c r="AG823" s="81"/>
      <c r="AH823" s="86"/>
      <c r="AI823" s="63"/>
      <c r="AJ823" s="63"/>
      <c r="AK823" s="87">
        <f t="shared" si="84"/>
        <v>0</v>
      </c>
      <c r="AL823" s="86"/>
      <c r="AM823" s="86">
        <f t="shared" si="85"/>
        <v>0</v>
      </c>
      <c r="AN823" s="63" t="s">
        <v>1155</v>
      </c>
      <c r="AO823" s="86">
        <f t="shared" si="86"/>
        <v>39062100</v>
      </c>
      <c r="AP823" s="63"/>
      <c r="AQ823" s="81">
        <v>43172</v>
      </c>
      <c r="AR823" s="63" t="s">
        <v>2109</v>
      </c>
      <c r="AS823" s="81">
        <v>43173</v>
      </c>
      <c r="AT823" s="63"/>
      <c r="AU823" s="220"/>
      <c r="AV823" s="220"/>
      <c r="AW823" s="220"/>
    </row>
    <row r="824" spans="1:49" s="221" customFormat="1" ht="128.25" x14ac:dyDescent="0.25">
      <c r="A824" s="63">
        <v>410</v>
      </c>
      <c r="B824" s="63" t="str">
        <f t="shared" si="83"/>
        <v>3075-410</v>
      </c>
      <c r="C824" s="76" t="s">
        <v>1141</v>
      </c>
      <c r="D824" s="76" t="s">
        <v>1142</v>
      </c>
      <c r="E824" s="76" t="s">
        <v>1165</v>
      </c>
      <c r="F824" s="76" t="s">
        <v>1166</v>
      </c>
      <c r="G824" s="77" t="s">
        <v>1167</v>
      </c>
      <c r="H824" s="78" t="s">
        <v>1168</v>
      </c>
      <c r="I824" s="76" t="s">
        <v>1147</v>
      </c>
      <c r="J824" s="76" t="s">
        <v>1148</v>
      </c>
      <c r="K824" s="76" t="s">
        <v>439</v>
      </c>
      <c r="L824" s="63" t="s">
        <v>1149</v>
      </c>
      <c r="M824" s="63" t="s">
        <v>58</v>
      </c>
      <c r="N824" s="63" t="s">
        <v>59</v>
      </c>
      <c r="O824" s="76" t="s">
        <v>1169</v>
      </c>
      <c r="P824" s="63" t="s">
        <v>2228</v>
      </c>
      <c r="Q824" s="79">
        <v>119476956</v>
      </c>
      <c r="R824" s="63">
        <v>1</v>
      </c>
      <c r="S824" s="80">
        <f>119476956+33401186-152878142</f>
        <v>0</v>
      </c>
      <c r="T824" s="63"/>
      <c r="U824" s="63"/>
      <c r="V824" s="81"/>
      <c r="W824" s="82"/>
      <c r="X824" s="99" t="s">
        <v>2316</v>
      </c>
      <c r="Y824" s="81">
        <v>43215</v>
      </c>
      <c r="Z824" s="83">
        <f>152878142-152878142</f>
        <v>0</v>
      </c>
      <c r="AA824" s="84" t="s">
        <v>2317</v>
      </c>
      <c r="AB824" s="85"/>
      <c r="AC824" s="81">
        <v>43216</v>
      </c>
      <c r="AD824" s="86">
        <v>0</v>
      </c>
      <c r="AE824" s="87">
        <f t="shared" si="82"/>
        <v>0</v>
      </c>
      <c r="AF824" s="85"/>
      <c r="AG824" s="81"/>
      <c r="AH824" s="86"/>
      <c r="AI824" s="63"/>
      <c r="AJ824" s="63"/>
      <c r="AK824" s="87">
        <f t="shared" si="84"/>
        <v>0</v>
      </c>
      <c r="AL824" s="86"/>
      <c r="AM824" s="86">
        <f t="shared" si="85"/>
        <v>0</v>
      </c>
      <c r="AN824" s="63" t="s">
        <v>1155</v>
      </c>
      <c r="AO824" s="86">
        <f t="shared" si="86"/>
        <v>0</v>
      </c>
      <c r="AP824" s="63" t="s">
        <v>2318</v>
      </c>
      <c r="AQ824" s="81">
        <v>43215</v>
      </c>
      <c r="AR824" s="63" t="s">
        <v>1157</v>
      </c>
      <c r="AS824" s="81">
        <v>43215</v>
      </c>
      <c r="AT824" s="63" t="s">
        <v>2228</v>
      </c>
      <c r="AU824" s="220"/>
      <c r="AV824" s="220"/>
      <c r="AW824" s="220"/>
    </row>
    <row r="825" spans="1:49" s="221" customFormat="1" ht="156.75" x14ac:dyDescent="0.25">
      <c r="A825" s="63">
        <v>411</v>
      </c>
      <c r="B825" s="63" t="str">
        <f t="shared" si="83"/>
        <v>3075-411</v>
      </c>
      <c r="C825" s="76" t="s">
        <v>1141</v>
      </c>
      <c r="D825" s="76" t="s">
        <v>1142</v>
      </c>
      <c r="E825" s="76" t="s">
        <v>1174</v>
      </c>
      <c r="F825" s="76" t="s">
        <v>1175</v>
      </c>
      <c r="G825" s="77" t="s">
        <v>1176</v>
      </c>
      <c r="H825" s="78" t="s">
        <v>1177</v>
      </c>
      <c r="I825" s="76" t="s">
        <v>1147</v>
      </c>
      <c r="J825" s="76" t="s">
        <v>1148</v>
      </c>
      <c r="K825" s="76" t="s">
        <v>439</v>
      </c>
      <c r="L825" s="63" t="s">
        <v>1149</v>
      </c>
      <c r="M825" s="63" t="s">
        <v>58</v>
      </c>
      <c r="N825" s="63" t="s">
        <v>59</v>
      </c>
      <c r="O825" s="76" t="s">
        <v>1169</v>
      </c>
      <c r="P825" s="63" t="s">
        <v>2228</v>
      </c>
      <c r="Q825" s="79">
        <v>37295000</v>
      </c>
      <c r="R825" s="63">
        <v>1</v>
      </c>
      <c r="S825" s="80">
        <f>37295000-29475000-1000000-6820000</f>
        <v>0</v>
      </c>
      <c r="T825" s="63"/>
      <c r="U825" s="63"/>
      <c r="V825" s="81"/>
      <c r="W825" s="82"/>
      <c r="X825" s="99" t="s">
        <v>2319</v>
      </c>
      <c r="Y825" s="81">
        <v>43248</v>
      </c>
      <c r="Z825" s="83">
        <f>6820000-6820000</f>
        <v>0</v>
      </c>
      <c r="AA825" s="84" t="s">
        <v>1786</v>
      </c>
      <c r="AB825" s="85"/>
      <c r="AC825" s="81">
        <v>43248</v>
      </c>
      <c r="AD825" s="86">
        <v>0</v>
      </c>
      <c r="AE825" s="87">
        <f t="shared" si="82"/>
        <v>0</v>
      </c>
      <c r="AF825" s="85"/>
      <c r="AG825" s="81"/>
      <c r="AH825" s="86"/>
      <c r="AI825" s="63"/>
      <c r="AJ825" s="63"/>
      <c r="AK825" s="87">
        <f t="shared" si="84"/>
        <v>0</v>
      </c>
      <c r="AL825" s="86"/>
      <c r="AM825" s="86">
        <f t="shared" si="85"/>
        <v>0</v>
      </c>
      <c r="AN825" s="63" t="s">
        <v>1155</v>
      </c>
      <c r="AO825" s="86">
        <f t="shared" si="86"/>
        <v>0</v>
      </c>
      <c r="AP825" s="63" t="s">
        <v>2318</v>
      </c>
      <c r="AQ825" s="81">
        <v>43248</v>
      </c>
      <c r="AR825" s="63" t="s">
        <v>1157</v>
      </c>
      <c r="AS825" s="81">
        <v>43248</v>
      </c>
      <c r="AT825" s="63" t="s">
        <v>2228</v>
      </c>
      <c r="AU825" s="220"/>
      <c r="AV825" s="220"/>
      <c r="AW825" s="220"/>
    </row>
    <row r="826" spans="1:49" s="221" customFormat="1" ht="313.5" x14ac:dyDescent="0.25">
      <c r="A826" s="63">
        <v>412</v>
      </c>
      <c r="B826" s="63" t="str">
        <f t="shared" si="83"/>
        <v>3075-412</v>
      </c>
      <c r="C826" s="76" t="s">
        <v>1141</v>
      </c>
      <c r="D826" s="76" t="s">
        <v>1142</v>
      </c>
      <c r="E826" s="76" t="s">
        <v>1143</v>
      </c>
      <c r="F826" s="76" t="s">
        <v>1166</v>
      </c>
      <c r="G826" s="88" t="s">
        <v>2053</v>
      </c>
      <c r="H826" s="92" t="s">
        <v>2054</v>
      </c>
      <c r="I826" s="76" t="s">
        <v>1147</v>
      </c>
      <c r="J826" s="76" t="s">
        <v>1148</v>
      </c>
      <c r="K826" s="93" t="s">
        <v>439</v>
      </c>
      <c r="L826" s="63" t="s">
        <v>1149</v>
      </c>
      <c r="M826" s="63" t="s">
        <v>58</v>
      </c>
      <c r="N826" s="63" t="s">
        <v>59</v>
      </c>
      <c r="O826" s="76" t="s">
        <v>1199</v>
      </c>
      <c r="P826" s="76" t="s">
        <v>2320</v>
      </c>
      <c r="Q826" s="83">
        <v>122953</v>
      </c>
      <c r="R826" s="63">
        <v>1</v>
      </c>
      <c r="S826" s="80">
        <v>122953</v>
      </c>
      <c r="T826" s="63" t="s">
        <v>1171</v>
      </c>
      <c r="U826" s="63" t="s">
        <v>1171</v>
      </c>
      <c r="V826" s="81" t="s">
        <v>411</v>
      </c>
      <c r="W826" s="82" t="s">
        <v>439</v>
      </c>
      <c r="X826" s="63" t="s">
        <v>2321</v>
      </c>
      <c r="Y826" s="89">
        <v>43174</v>
      </c>
      <c r="Z826" s="83">
        <v>122953</v>
      </c>
      <c r="AA826" s="84" t="s">
        <v>2322</v>
      </c>
      <c r="AB826" s="85">
        <v>718</v>
      </c>
      <c r="AC826" s="81">
        <v>43174</v>
      </c>
      <c r="AD826" s="86">
        <v>122953</v>
      </c>
      <c r="AE826" s="87">
        <f t="shared" si="82"/>
        <v>0</v>
      </c>
      <c r="AF826" s="85">
        <v>1778</v>
      </c>
      <c r="AG826" s="81">
        <v>43202</v>
      </c>
      <c r="AH826" s="86">
        <v>122953</v>
      </c>
      <c r="AI826" s="63" t="s">
        <v>2058</v>
      </c>
      <c r="AJ826" s="63">
        <v>1758</v>
      </c>
      <c r="AK826" s="87">
        <f t="shared" si="84"/>
        <v>0</v>
      </c>
      <c r="AL826" s="86">
        <v>122953</v>
      </c>
      <c r="AM826" s="86">
        <f t="shared" si="85"/>
        <v>0</v>
      </c>
      <c r="AN826" s="63" t="s">
        <v>1155</v>
      </c>
      <c r="AO826" s="86">
        <f t="shared" si="86"/>
        <v>0</v>
      </c>
      <c r="AP826" s="63"/>
      <c r="AQ826" s="81">
        <v>43173</v>
      </c>
      <c r="AR826" s="63" t="s">
        <v>2109</v>
      </c>
      <c r="AS826" s="81">
        <v>43174</v>
      </c>
      <c r="AT826" s="63" t="s">
        <v>2323</v>
      </c>
      <c r="AU826" s="220"/>
      <c r="AV826" s="220"/>
      <c r="AW826" s="220"/>
    </row>
    <row r="827" spans="1:49" s="221" customFormat="1" ht="342" x14ac:dyDescent="0.25">
      <c r="A827" s="63">
        <v>413</v>
      </c>
      <c r="B827" s="63" t="str">
        <f t="shared" si="83"/>
        <v>3075-413</v>
      </c>
      <c r="C827" s="76" t="s">
        <v>1141</v>
      </c>
      <c r="D827" s="76" t="s">
        <v>1142</v>
      </c>
      <c r="E827" s="76" t="s">
        <v>1424</v>
      </c>
      <c r="F827" s="76" t="s">
        <v>1175</v>
      </c>
      <c r="G827" s="77" t="s">
        <v>1176</v>
      </c>
      <c r="H827" s="78" t="s">
        <v>1425</v>
      </c>
      <c r="I827" s="76" t="s">
        <v>1147</v>
      </c>
      <c r="J827" s="76" t="s">
        <v>1148</v>
      </c>
      <c r="K827" s="76" t="s">
        <v>439</v>
      </c>
      <c r="L827" s="63" t="s">
        <v>1149</v>
      </c>
      <c r="M827" s="63" t="s">
        <v>58</v>
      </c>
      <c r="N827" s="63" t="s">
        <v>59</v>
      </c>
      <c r="O827" s="76" t="s">
        <v>1213</v>
      </c>
      <c r="P827" s="63" t="s">
        <v>2324</v>
      </c>
      <c r="Q827" s="83">
        <v>54686940</v>
      </c>
      <c r="R827" s="98">
        <v>1</v>
      </c>
      <c r="S827" s="80">
        <v>54686940</v>
      </c>
      <c r="T827" s="63" t="s">
        <v>1171</v>
      </c>
      <c r="U827" s="63" t="s">
        <v>1171</v>
      </c>
      <c r="V827" s="81" t="s">
        <v>411</v>
      </c>
      <c r="W827" s="82" t="s">
        <v>439</v>
      </c>
      <c r="X827" s="99" t="s">
        <v>2325</v>
      </c>
      <c r="Y827" s="81">
        <v>43175</v>
      </c>
      <c r="Z827" s="83">
        <v>54686940</v>
      </c>
      <c r="AA827" s="84" t="s">
        <v>1742</v>
      </c>
      <c r="AB827" s="85">
        <v>750</v>
      </c>
      <c r="AC827" s="81">
        <v>43179</v>
      </c>
      <c r="AD827" s="86">
        <v>54686940</v>
      </c>
      <c r="AE827" s="87">
        <f t="shared" si="82"/>
        <v>0</v>
      </c>
      <c r="AF827" s="85">
        <v>1816</v>
      </c>
      <c r="AG827" s="81">
        <v>43209</v>
      </c>
      <c r="AH827" s="86">
        <v>54686940</v>
      </c>
      <c r="AI827" s="63" t="s">
        <v>2326</v>
      </c>
      <c r="AJ827" s="63">
        <v>1870</v>
      </c>
      <c r="AK827" s="87">
        <f t="shared" si="84"/>
        <v>0</v>
      </c>
      <c r="AL827" s="86">
        <v>54686940</v>
      </c>
      <c r="AM827" s="86">
        <f t="shared" si="85"/>
        <v>0</v>
      </c>
      <c r="AN827" s="63" t="s">
        <v>1155</v>
      </c>
      <c r="AO827" s="86">
        <f t="shared" si="86"/>
        <v>0</v>
      </c>
      <c r="AP827" s="63"/>
      <c r="AQ827" s="63" t="s">
        <v>2327</v>
      </c>
      <c r="AR827" s="63" t="s">
        <v>2109</v>
      </c>
      <c r="AS827" s="81">
        <v>43175</v>
      </c>
      <c r="AT827" s="63"/>
      <c r="AU827" s="220"/>
      <c r="AV827" s="220"/>
      <c r="AW827" s="220"/>
    </row>
    <row r="828" spans="1:49" s="221" customFormat="1" ht="342" x14ac:dyDescent="0.25">
      <c r="A828" s="63">
        <v>414</v>
      </c>
      <c r="B828" s="63" t="str">
        <f t="shared" si="83"/>
        <v>3075-414</v>
      </c>
      <c r="C828" s="76" t="s">
        <v>1141</v>
      </c>
      <c r="D828" s="76" t="s">
        <v>1142</v>
      </c>
      <c r="E828" s="76" t="s">
        <v>1424</v>
      </c>
      <c r="F828" s="76" t="s">
        <v>1175</v>
      </c>
      <c r="G828" s="77" t="s">
        <v>1176</v>
      </c>
      <c r="H828" s="78" t="s">
        <v>1425</v>
      </c>
      <c r="I828" s="76" t="s">
        <v>1147</v>
      </c>
      <c r="J828" s="76" t="s">
        <v>1148</v>
      </c>
      <c r="K828" s="76" t="s">
        <v>439</v>
      </c>
      <c r="L828" s="63" t="s">
        <v>1149</v>
      </c>
      <c r="M828" s="63" t="s">
        <v>58</v>
      </c>
      <c r="N828" s="63" t="s">
        <v>59</v>
      </c>
      <c r="O828" s="76" t="s">
        <v>1213</v>
      </c>
      <c r="P828" s="63" t="s">
        <v>2328</v>
      </c>
      <c r="Q828" s="83">
        <v>54686940</v>
      </c>
      <c r="R828" s="98">
        <v>1</v>
      </c>
      <c r="S828" s="80">
        <v>54686940</v>
      </c>
      <c r="T828" s="63" t="s">
        <v>1171</v>
      </c>
      <c r="U828" s="63" t="s">
        <v>1171</v>
      </c>
      <c r="V828" s="81" t="s">
        <v>411</v>
      </c>
      <c r="W828" s="82" t="s">
        <v>439</v>
      </c>
      <c r="X828" s="63" t="s">
        <v>2329</v>
      </c>
      <c r="Y828" s="81">
        <v>43175</v>
      </c>
      <c r="Z828" s="83">
        <v>54686940</v>
      </c>
      <c r="AA828" s="84" t="s">
        <v>1742</v>
      </c>
      <c r="AB828" s="85">
        <v>751</v>
      </c>
      <c r="AC828" s="81">
        <v>43179</v>
      </c>
      <c r="AD828" s="86">
        <v>54686940</v>
      </c>
      <c r="AE828" s="87">
        <f t="shared" si="82"/>
        <v>0</v>
      </c>
      <c r="AF828" s="85">
        <v>1826</v>
      </c>
      <c r="AG828" s="81">
        <v>43210</v>
      </c>
      <c r="AH828" s="86">
        <v>54686940</v>
      </c>
      <c r="AI828" s="63" t="s">
        <v>2330</v>
      </c>
      <c r="AJ828" s="63">
        <v>1876</v>
      </c>
      <c r="AK828" s="87">
        <f t="shared" si="84"/>
        <v>0</v>
      </c>
      <c r="AL828" s="86">
        <v>54686940</v>
      </c>
      <c r="AM828" s="86">
        <f t="shared" si="85"/>
        <v>0</v>
      </c>
      <c r="AN828" s="63" t="s">
        <v>1155</v>
      </c>
      <c r="AO828" s="86">
        <f t="shared" si="86"/>
        <v>0</v>
      </c>
      <c r="AP828" s="63"/>
      <c r="AQ828" s="63" t="s">
        <v>2327</v>
      </c>
      <c r="AR828" s="63" t="s">
        <v>2109</v>
      </c>
      <c r="AS828" s="81">
        <v>43175</v>
      </c>
      <c r="AT828" s="63"/>
      <c r="AU828" s="220"/>
      <c r="AV828" s="220"/>
      <c r="AW828" s="220"/>
    </row>
    <row r="829" spans="1:49" s="221" customFormat="1" ht="342" x14ac:dyDescent="0.25">
      <c r="A829" s="63">
        <v>415</v>
      </c>
      <c r="B829" s="63" t="str">
        <f t="shared" si="83"/>
        <v>3075-415</v>
      </c>
      <c r="C829" s="76" t="s">
        <v>1141</v>
      </c>
      <c r="D829" s="76" t="s">
        <v>1142</v>
      </c>
      <c r="E829" s="76" t="s">
        <v>1424</v>
      </c>
      <c r="F829" s="76" t="s">
        <v>1175</v>
      </c>
      <c r="G829" s="77" t="s">
        <v>1176</v>
      </c>
      <c r="H829" s="78" t="s">
        <v>1425</v>
      </c>
      <c r="I829" s="76" t="s">
        <v>1147</v>
      </c>
      <c r="J829" s="76" t="s">
        <v>1148</v>
      </c>
      <c r="K829" s="76" t="s">
        <v>439</v>
      </c>
      <c r="L829" s="63" t="s">
        <v>1149</v>
      </c>
      <c r="M829" s="63" t="s">
        <v>58</v>
      </c>
      <c r="N829" s="63" t="s">
        <v>59</v>
      </c>
      <c r="O829" s="76" t="s">
        <v>1213</v>
      </c>
      <c r="P829" s="63" t="s">
        <v>2331</v>
      </c>
      <c r="Q829" s="83">
        <v>54686940</v>
      </c>
      <c r="R829" s="98">
        <v>1</v>
      </c>
      <c r="S829" s="80">
        <v>54686940</v>
      </c>
      <c r="T829" s="63" t="s">
        <v>1171</v>
      </c>
      <c r="U829" s="63" t="s">
        <v>1171</v>
      </c>
      <c r="V829" s="81" t="s">
        <v>411</v>
      </c>
      <c r="W829" s="82" t="s">
        <v>439</v>
      </c>
      <c r="X829" s="99" t="s">
        <v>2332</v>
      </c>
      <c r="Y829" s="81">
        <v>43175</v>
      </c>
      <c r="Z829" s="83">
        <v>54686940</v>
      </c>
      <c r="AA829" s="84" t="s">
        <v>1742</v>
      </c>
      <c r="AB829" s="85">
        <v>752</v>
      </c>
      <c r="AC829" s="81">
        <v>43179</v>
      </c>
      <c r="AD829" s="86">
        <v>54686940</v>
      </c>
      <c r="AE829" s="87">
        <f t="shared" si="82"/>
        <v>0</v>
      </c>
      <c r="AF829" s="85">
        <v>1767</v>
      </c>
      <c r="AG829" s="81">
        <v>43201</v>
      </c>
      <c r="AH829" s="86">
        <v>54686940</v>
      </c>
      <c r="AI829" s="63" t="s">
        <v>2333</v>
      </c>
      <c r="AJ829" s="63">
        <v>1775</v>
      </c>
      <c r="AK829" s="87">
        <f t="shared" si="84"/>
        <v>0</v>
      </c>
      <c r="AL829" s="86">
        <v>54686940</v>
      </c>
      <c r="AM829" s="86">
        <f t="shared" si="85"/>
        <v>0</v>
      </c>
      <c r="AN829" s="63" t="s">
        <v>1155</v>
      </c>
      <c r="AO829" s="86">
        <f t="shared" si="86"/>
        <v>0</v>
      </c>
      <c r="AP829" s="63"/>
      <c r="AQ829" s="63" t="s">
        <v>2327</v>
      </c>
      <c r="AR829" s="63" t="s">
        <v>2109</v>
      </c>
      <c r="AS829" s="81">
        <v>43175</v>
      </c>
      <c r="AT829" s="63"/>
      <c r="AU829" s="220"/>
      <c r="AV829" s="220"/>
      <c r="AW829" s="220"/>
    </row>
    <row r="830" spans="1:49" s="221" customFormat="1" ht="342" x14ac:dyDescent="0.25">
      <c r="A830" s="63">
        <v>416</v>
      </c>
      <c r="B830" s="63" t="str">
        <f t="shared" si="83"/>
        <v>3075-416</v>
      </c>
      <c r="C830" s="76" t="s">
        <v>1141</v>
      </c>
      <c r="D830" s="76" t="s">
        <v>1142</v>
      </c>
      <c r="E830" s="76" t="s">
        <v>1424</v>
      </c>
      <c r="F830" s="76" t="s">
        <v>1175</v>
      </c>
      <c r="G830" s="77" t="s">
        <v>1176</v>
      </c>
      <c r="H830" s="78" t="s">
        <v>1425</v>
      </c>
      <c r="I830" s="76" t="s">
        <v>1147</v>
      </c>
      <c r="J830" s="76" t="s">
        <v>1148</v>
      </c>
      <c r="K830" s="76" t="s">
        <v>439</v>
      </c>
      <c r="L830" s="63" t="s">
        <v>1149</v>
      </c>
      <c r="M830" s="63" t="s">
        <v>58</v>
      </c>
      <c r="N830" s="63" t="s">
        <v>59</v>
      </c>
      <c r="O830" s="76" t="s">
        <v>1213</v>
      </c>
      <c r="P830" s="63" t="s">
        <v>2334</v>
      </c>
      <c r="Q830" s="83">
        <v>54686940</v>
      </c>
      <c r="R830" s="98">
        <v>1</v>
      </c>
      <c r="S830" s="80">
        <v>54686940</v>
      </c>
      <c r="T830" s="63" t="s">
        <v>1171</v>
      </c>
      <c r="U830" s="63" t="s">
        <v>1171</v>
      </c>
      <c r="V830" s="81" t="s">
        <v>411</v>
      </c>
      <c r="W830" s="82" t="s">
        <v>439</v>
      </c>
      <c r="X830" s="63" t="s">
        <v>2335</v>
      </c>
      <c r="Y830" s="81">
        <v>43180</v>
      </c>
      <c r="Z830" s="83">
        <v>54686940</v>
      </c>
      <c r="AA830" s="84" t="s">
        <v>1742</v>
      </c>
      <c r="AB830" s="85">
        <v>756</v>
      </c>
      <c r="AC830" s="81">
        <v>43182</v>
      </c>
      <c r="AD830" s="86">
        <v>54686940</v>
      </c>
      <c r="AE830" s="87">
        <f t="shared" si="82"/>
        <v>0</v>
      </c>
      <c r="AF830" s="85">
        <v>1780</v>
      </c>
      <c r="AG830" s="81">
        <v>43202</v>
      </c>
      <c r="AH830" s="86">
        <v>54686940</v>
      </c>
      <c r="AI830" s="63" t="s">
        <v>2336</v>
      </c>
      <c r="AJ830" s="63">
        <v>1844</v>
      </c>
      <c r="AK830" s="87">
        <f t="shared" si="84"/>
        <v>0</v>
      </c>
      <c r="AL830" s="86">
        <v>54686940</v>
      </c>
      <c r="AM830" s="86">
        <f t="shared" si="85"/>
        <v>0</v>
      </c>
      <c r="AN830" s="63" t="s">
        <v>1155</v>
      </c>
      <c r="AO830" s="86">
        <f t="shared" si="86"/>
        <v>0</v>
      </c>
      <c r="AP830" s="63"/>
      <c r="AQ830" s="81">
        <v>43180</v>
      </c>
      <c r="AR830" s="63" t="s">
        <v>2109</v>
      </c>
      <c r="AS830" s="81">
        <v>43180</v>
      </c>
      <c r="AT830" s="63"/>
      <c r="AU830" s="220"/>
      <c r="AV830" s="220"/>
      <c r="AW830" s="220"/>
    </row>
    <row r="831" spans="1:49" s="221" customFormat="1" ht="342" x14ac:dyDescent="0.25">
      <c r="A831" s="63">
        <v>417</v>
      </c>
      <c r="B831" s="63" t="str">
        <f t="shared" si="83"/>
        <v>3075-417</v>
      </c>
      <c r="C831" s="76" t="s">
        <v>1141</v>
      </c>
      <c r="D831" s="76" t="s">
        <v>1142</v>
      </c>
      <c r="E831" s="76" t="s">
        <v>1424</v>
      </c>
      <c r="F831" s="76" t="s">
        <v>1175</v>
      </c>
      <c r="G831" s="77" t="s">
        <v>1176</v>
      </c>
      <c r="H831" s="78" t="s">
        <v>1425</v>
      </c>
      <c r="I831" s="76" t="s">
        <v>1147</v>
      </c>
      <c r="J831" s="76" t="s">
        <v>1148</v>
      </c>
      <c r="K831" s="76" t="s">
        <v>439</v>
      </c>
      <c r="L831" s="63" t="s">
        <v>1149</v>
      </c>
      <c r="M831" s="63" t="s">
        <v>58</v>
      </c>
      <c r="N831" s="63" t="s">
        <v>59</v>
      </c>
      <c r="O831" s="76" t="s">
        <v>1213</v>
      </c>
      <c r="P831" s="63" t="s">
        <v>1426</v>
      </c>
      <c r="Q831" s="83">
        <v>54686940</v>
      </c>
      <c r="R831" s="98">
        <v>1</v>
      </c>
      <c r="S831" s="80">
        <v>54686940</v>
      </c>
      <c r="T831" s="63" t="s">
        <v>1171</v>
      </c>
      <c r="U831" s="63" t="s">
        <v>1171</v>
      </c>
      <c r="V831" s="81" t="s">
        <v>1023</v>
      </c>
      <c r="W831" s="82" t="s">
        <v>439</v>
      </c>
      <c r="X831" s="99" t="s">
        <v>2337</v>
      </c>
      <c r="Y831" s="102">
        <v>43186</v>
      </c>
      <c r="Z831" s="103">
        <v>54686940</v>
      </c>
      <c r="AA831" s="84" t="s">
        <v>1742</v>
      </c>
      <c r="AB831" s="85">
        <v>762</v>
      </c>
      <c r="AC831" s="81">
        <v>43192</v>
      </c>
      <c r="AD831" s="86">
        <v>54686940</v>
      </c>
      <c r="AE831" s="87">
        <f t="shared" si="82"/>
        <v>0</v>
      </c>
      <c r="AF831" s="85">
        <v>1850</v>
      </c>
      <c r="AG831" s="81">
        <v>43222</v>
      </c>
      <c r="AH831" s="86">
        <v>54686940</v>
      </c>
      <c r="AI831" s="63" t="s">
        <v>2338</v>
      </c>
      <c r="AJ831" s="63">
        <v>1962</v>
      </c>
      <c r="AK831" s="87">
        <f t="shared" si="84"/>
        <v>0</v>
      </c>
      <c r="AL831" s="86">
        <v>54686940</v>
      </c>
      <c r="AM831" s="86">
        <f t="shared" si="85"/>
        <v>0</v>
      </c>
      <c r="AN831" s="63" t="s">
        <v>1155</v>
      </c>
      <c r="AO831" s="86">
        <f t="shared" si="86"/>
        <v>0</v>
      </c>
      <c r="AP831" s="243"/>
      <c r="AQ831" s="243"/>
      <c r="AR831" s="243"/>
      <c r="AS831" s="243"/>
      <c r="AT831" s="243"/>
      <c r="AU831" s="220"/>
      <c r="AV831" s="220"/>
      <c r="AW831" s="220"/>
    </row>
    <row r="832" spans="1:49" s="221" customFormat="1" ht="342" x14ac:dyDescent="0.25">
      <c r="A832" s="63">
        <v>418</v>
      </c>
      <c r="B832" s="63" t="str">
        <f t="shared" si="83"/>
        <v>3075-418</v>
      </c>
      <c r="C832" s="76" t="s">
        <v>1141</v>
      </c>
      <c r="D832" s="76" t="s">
        <v>1142</v>
      </c>
      <c r="E832" s="76" t="s">
        <v>1424</v>
      </c>
      <c r="F832" s="76" t="s">
        <v>1175</v>
      </c>
      <c r="G832" s="77" t="s">
        <v>1176</v>
      </c>
      <c r="H832" s="78" t="s">
        <v>1425</v>
      </c>
      <c r="I832" s="76" t="s">
        <v>1147</v>
      </c>
      <c r="J832" s="76" t="s">
        <v>1148</v>
      </c>
      <c r="K832" s="76" t="s">
        <v>439</v>
      </c>
      <c r="L832" s="63" t="s">
        <v>1149</v>
      </c>
      <c r="M832" s="63" t="s">
        <v>58</v>
      </c>
      <c r="N832" s="63" t="s">
        <v>59</v>
      </c>
      <c r="O832" s="76" t="s">
        <v>1213</v>
      </c>
      <c r="P832" s="63" t="s">
        <v>1426</v>
      </c>
      <c r="Q832" s="83">
        <v>54686940</v>
      </c>
      <c r="R832" s="98">
        <v>1</v>
      </c>
      <c r="S832" s="80">
        <v>54686940</v>
      </c>
      <c r="T832" s="63" t="s">
        <v>1171</v>
      </c>
      <c r="U832" s="63" t="s">
        <v>1171</v>
      </c>
      <c r="V832" s="81" t="s">
        <v>1023</v>
      </c>
      <c r="W832" s="82" t="s">
        <v>439</v>
      </c>
      <c r="X832" s="63" t="s">
        <v>2339</v>
      </c>
      <c r="Y832" s="102">
        <v>43186</v>
      </c>
      <c r="Z832" s="103">
        <v>54686940</v>
      </c>
      <c r="AA832" s="84" t="s">
        <v>1742</v>
      </c>
      <c r="AB832" s="85">
        <v>763</v>
      </c>
      <c r="AC832" s="81">
        <v>43192</v>
      </c>
      <c r="AD832" s="86">
        <v>54686940</v>
      </c>
      <c r="AE832" s="243"/>
      <c r="AF832" s="85">
        <v>1854</v>
      </c>
      <c r="AG832" s="81">
        <v>43223</v>
      </c>
      <c r="AH832" s="86">
        <v>54686940</v>
      </c>
      <c r="AI832" s="63" t="s">
        <v>2340</v>
      </c>
      <c r="AJ832" s="63">
        <v>1964</v>
      </c>
      <c r="AK832" s="87">
        <f t="shared" si="84"/>
        <v>0</v>
      </c>
      <c r="AL832" s="86">
        <v>54686940</v>
      </c>
      <c r="AM832" s="86">
        <f t="shared" si="85"/>
        <v>0</v>
      </c>
      <c r="AN832" s="63" t="s">
        <v>1155</v>
      </c>
      <c r="AO832" s="86">
        <f t="shared" si="86"/>
        <v>0</v>
      </c>
      <c r="AP832" s="243"/>
      <c r="AQ832" s="243"/>
      <c r="AR832" s="243"/>
      <c r="AS832" s="243"/>
      <c r="AT832" s="243"/>
      <c r="AU832" s="220"/>
      <c r="AV832" s="220"/>
      <c r="AW832" s="220"/>
    </row>
    <row r="833" spans="1:49" s="221" customFormat="1" ht="342" x14ac:dyDescent="0.25">
      <c r="A833" s="63">
        <v>419</v>
      </c>
      <c r="B833" s="63" t="str">
        <f t="shared" si="83"/>
        <v>3075-419</v>
      </c>
      <c r="C833" s="76" t="s">
        <v>1141</v>
      </c>
      <c r="D833" s="76" t="s">
        <v>1142</v>
      </c>
      <c r="E833" s="76" t="s">
        <v>1424</v>
      </c>
      <c r="F833" s="76" t="s">
        <v>1175</v>
      </c>
      <c r="G833" s="77" t="s">
        <v>1176</v>
      </c>
      <c r="H833" s="78" t="s">
        <v>1425</v>
      </c>
      <c r="I833" s="76" t="s">
        <v>1147</v>
      </c>
      <c r="J833" s="76" t="s">
        <v>1148</v>
      </c>
      <c r="K833" s="76" t="s">
        <v>439</v>
      </c>
      <c r="L833" s="63" t="s">
        <v>1149</v>
      </c>
      <c r="M833" s="63" t="s">
        <v>58</v>
      </c>
      <c r="N833" s="63" t="s">
        <v>59</v>
      </c>
      <c r="O833" s="76" t="s">
        <v>1213</v>
      </c>
      <c r="P833" s="63" t="s">
        <v>2341</v>
      </c>
      <c r="Q833" s="83">
        <v>57510750</v>
      </c>
      <c r="R833" s="98">
        <v>0.95089944053937747</v>
      </c>
      <c r="S833" s="80">
        <v>54686940</v>
      </c>
      <c r="T833" s="63" t="s">
        <v>1171</v>
      </c>
      <c r="U833" s="63" t="s">
        <v>1171</v>
      </c>
      <c r="V833" s="81" t="s">
        <v>411</v>
      </c>
      <c r="W833" s="82" t="s">
        <v>439</v>
      </c>
      <c r="X833" s="63" t="s">
        <v>2342</v>
      </c>
      <c r="Y833" s="81">
        <v>43192</v>
      </c>
      <c r="Z833" s="104">
        <v>54686940</v>
      </c>
      <c r="AA833" s="84" t="s">
        <v>1742</v>
      </c>
      <c r="AB833" s="85">
        <v>766</v>
      </c>
      <c r="AC833" s="81">
        <v>43195</v>
      </c>
      <c r="AD833" s="86">
        <v>54686940</v>
      </c>
      <c r="AE833" s="87">
        <f t="shared" ref="AE833:AE896" si="87">S833-Z833</f>
        <v>0</v>
      </c>
      <c r="AF833" s="85">
        <v>1843</v>
      </c>
      <c r="AG833" s="81">
        <v>43215</v>
      </c>
      <c r="AH833" s="86">
        <v>54686940</v>
      </c>
      <c r="AI833" s="63" t="s">
        <v>2343</v>
      </c>
      <c r="AJ833" s="63">
        <v>1931</v>
      </c>
      <c r="AK833" s="87">
        <f t="shared" si="84"/>
        <v>0</v>
      </c>
      <c r="AL833" s="86">
        <v>54686940</v>
      </c>
      <c r="AM833" s="86">
        <f t="shared" si="85"/>
        <v>0</v>
      </c>
      <c r="AN833" s="63" t="s">
        <v>1155</v>
      </c>
      <c r="AO833" s="86">
        <f t="shared" si="86"/>
        <v>0</v>
      </c>
      <c r="AP833" s="63" t="s">
        <v>2344</v>
      </c>
      <c r="AQ833" s="63"/>
      <c r="AR833" s="63"/>
      <c r="AS833" s="63"/>
      <c r="AT833" s="63"/>
      <c r="AU833" s="220"/>
      <c r="AV833" s="220"/>
      <c r="AW833" s="220"/>
    </row>
    <row r="834" spans="1:49" s="221" customFormat="1" ht="342" x14ac:dyDescent="0.25">
      <c r="A834" s="63">
        <v>420</v>
      </c>
      <c r="B834" s="63" t="str">
        <f t="shared" si="83"/>
        <v>3075-420</v>
      </c>
      <c r="C834" s="76" t="s">
        <v>1141</v>
      </c>
      <c r="D834" s="76" t="s">
        <v>1142</v>
      </c>
      <c r="E834" s="76" t="s">
        <v>1424</v>
      </c>
      <c r="F834" s="76" t="s">
        <v>1175</v>
      </c>
      <c r="G834" s="77" t="s">
        <v>1176</v>
      </c>
      <c r="H834" s="78" t="s">
        <v>1425</v>
      </c>
      <c r="I834" s="76" t="s">
        <v>1147</v>
      </c>
      <c r="J834" s="76" t="s">
        <v>1148</v>
      </c>
      <c r="K834" s="76" t="s">
        <v>439</v>
      </c>
      <c r="L834" s="63" t="s">
        <v>1149</v>
      </c>
      <c r="M834" s="63" t="s">
        <v>58</v>
      </c>
      <c r="N834" s="63" t="s">
        <v>59</v>
      </c>
      <c r="O834" s="76" t="s">
        <v>1213</v>
      </c>
      <c r="P834" s="63" t="s">
        <v>2345</v>
      </c>
      <c r="Q834" s="83">
        <v>57510750</v>
      </c>
      <c r="R834" s="98">
        <v>0.95089944053937747</v>
      </c>
      <c r="S834" s="80">
        <v>54686940</v>
      </c>
      <c r="T834" s="63" t="s">
        <v>1171</v>
      </c>
      <c r="U834" s="63" t="s">
        <v>1171</v>
      </c>
      <c r="V834" s="81" t="s">
        <v>1023</v>
      </c>
      <c r="W834" s="82" t="s">
        <v>439</v>
      </c>
      <c r="X834" s="63" t="s">
        <v>2346</v>
      </c>
      <c r="Y834" s="81">
        <v>43192</v>
      </c>
      <c r="Z834" s="104">
        <v>54686940</v>
      </c>
      <c r="AA834" s="84" t="s">
        <v>1742</v>
      </c>
      <c r="AB834" s="85">
        <v>764</v>
      </c>
      <c r="AC834" s="81">
        <v>43195</v>
      </c>
      <c r="AD834" s="86">
        <v>54686940</v>
      </c>
      <c r="AE834" s="87">
        <f t="shared" si="87"/>
        <v>0</v>
      </c>
      <c r="AF834" s="85">
        <v>1858</v>
      </c>
      <c r="AG834" s="81">
        <v>43227</v>
      </c>
      <c r="AH834" s="86">
        <v>54686940</v>
      </c>
      <c r="AI834" s="63" t="s">
        <v>2347</v>
      </c>
      <c r="AJ834" s="63">
        <v>1963</v>
      </c>
      <c r="AK834" s="87">
        <f t="shared" si="84"/>
        <v>0</v>
      </c>
      <c r="AL834" s="86">
        <v>54686940</v>
      </c>
      <c r="AM834" s="86">
        <f t="shared" si="85"/>
        <v>0</v>
      </c>
      <c r="AN834" s="63" t="s">
        <v>1155</v>
      </c>
      <c r="AO834" s="86">
        <f t="shared" si="86"/>
        <v>0</v>
      </c>
      <c r="AP834" s="63" t="s">
        <v>2344</v>
      </c>
      <c r="AQ834" s="63"/>
      <c r="AR834" s="63"/>
      <c r="AS834" s="63"/>
      <c r="AT834" s="63"/>
      <c r="AU834" s="220"/>
      <c r="AV834" s="220"/>
      <c r="AW834" s="220"/>
    </row>
    <row r="835" spans="1:49" s="221" customFormat="1" ht="313.5" x14ac:dyDescent="0.25">
      <c r="A835" s="63">
        <v>421</v>
      </c>
      <c r="B835" s="63" t="str">
        <f t="shared" si="83"/>
        <v>3075-421</v>
      </c>
      <c r="C835" s="76" t="s">
        <v>1141</v>
      </c>
      <c r="D835" s="76" t="s">
        <v>1142</v>
      </c>
      <c r="E835" s="76" t="s">
        <v>1174</v>
      </c>
      <c r="F835" s="76" t="s">
        <v>1175</v>
      </c>
      <c r="G835" s="77" t="s">
        <v>1176</v>
      </c>
      <c r="H835" s="78" t="s">
        <v>1177</v>
      </c>
      <c r="I835" s="76" t="s">
        <v>1147</v>
      </c>
      <c r="J835" s="76" t="s">
        <v>1182</v>
      </c>
      <c r="K835" s="76" t="s">
        <v>439</v>
      </c>
      <c r="L835" s="63" t="s">
        <v>1149</v>
      </c>
      <c r="M835" s="63" t="s">
        <v>58</v>
      </c>
      <c r="N835" s="63" t="s">
        <v>59</v>
      </c>
      <c r="O835" s="76" t="s">
        <v>1169</v>
      </c>
      <c r="P835" s="76" t="s">
        <v>2348</v>
      </c>
      <c r="Q835" s="79">
        <v>138036400</v>
      </c>
      <c r="R835" s="63">
        <v>1</v>
      </c>
      <c r="S835" s="80">
        <f t="shared" ref="S835:S857" si="88">Q835*R835</f>
        <v>138036400</v>
      </c>
      <c r="T835" s="63" t="s">
        <v>1171</v>
      </c>
      <c r="U835" s="63" t="s">
        <v>1171</v>
      </c>
      <c r="V835" s="81" t="s">
        <v>1023</v>
      </c>
      <c r="W835" s="82" t="s">
        <v>439</v>
      </c>
      <c r="X835" s="63" t="s">
        <v>2349</v>
      </c>
      <c r="Y835" s="81">
        <v>43195</v>
      </c>
      <c r="Z835" s="83">
        <v>138036400</v>
      </c>
      <c r="AA835" s="84" t="s">
        <v>2140</v>
      </c>
      <c r="AB835" s="85">
        <v>768</v>
      </c>
      <c r="AC835" s="81">
        <v>43201</v>
      </c>
      <c r="AD835" s="86">
        <v>138036400</v>
      </c>
      <c r="AE835" s="87">
        <f t="shared" si="87"/>
        <v>0</v>
      </c>
      <c r="AF835" s="85">
        <v>1942</v>
      </c>
      <c r="AG835" s="81">
        <v>43243</v>
      </c>
      <c r="AH835" s="86">
        <v>138036400</v>
      </c>
      <c r="AI835" s="63" t="s">
        <v>2350</v>
      </c>
      <c r="AJ835" s="63">
        <v>2077</v>
      </c>
      <c r="AK835" s="87">
        <f t="shared" si="84"/>
        <v>0</v>
      </c>
      <c r="AL835" s="86">
        <v>0</v>
      </c>
      <c r="AM835" s="86">
        <f t="shared" si="85"/>
        <v>138036400</v>
      </c>
      <c r="AN835" s="63" t="s">
        <v>1155</v>
      </c>
      <c r="AO835" s="86">
        <f t="shared" si="86"/>
        <v>0</v>
      </c>
      <c r="AP835" s="63"/>
      <c r="AQ835" s="81">
        <v>43195</v>
      </c>
      <c r="AR835" s="63" t="s">
        <v>2109</v>
      </c>
      <c r="AS835" s="81">
        <v>43195</v>
      </c>
      <c r="AT835" s="63" t="s">
        <v>2348</v>
      </c>
      <c r="AU835" s="220"/>
      <c r="AV835" s="220"/>
      <c r="AW835" s="220"/>
    </row>
    <row r="836" spans="1:49" s="221" customFormat="1" ht="256.5" x14ac:dyDescent="0.25">
      <c r="A836" s="63">
        <v>422</v>
      </c>
      <c r="B836" s="63" t="str">
        <f t="shared" si="83"/>
        <v>3075-422</v>
      </c>
      <c r="C836" s="76" t="s">
        <v>1141</v>
      </c>
      <c r="D836" s="76" t="s">
        <v>1142</v>
      </c>
      <c r="E836" s="76" t="s">
        <v>1174</v>
      </c>
      <c r="F836" s="76" t="s">
        <v>1175</v>
      </c>
      <c r="G836" s="77" t="s">
        <v>1176</v>
      </c>
      <c r="H836" s="78" t="s">
        <v>1177</v>
      </c>
      <c r="I836" s="76" t="s">
        <v>1147</v>
      </c>
      <c r="J836" s="76" t="s">
        <v>1182</v>
      </c>
      <c r="K836" s="76" t="s">
        <v>439</v>
      </c>
      <c r="L836" s="63" t="s">
        <v>1149</v>
      </c>
      <c r="M836" s="63" t="s">
        <v>58</v>
      </c>
      <c r="N836" s="63" t="s">
        <v>59</v>
      </c>
      <c r="O836" s="76" t="s">
        <v>1169</v>
      </c>
      <c r="P836" s="76" t="s">
        <v>2351</v>
      </c>
      <c r="Q836" s="79">
        <v>39062100</v>
      </c>
      <c r="R836" s="63">
        <v>1</v>
      </c>
      <c r="S836" s="80">
        <f t="shared" si="88"/>
        <v>39062100</v>
      </c>
      <c r="T836" s="63" t="s">
        <v>1171</v>
      </c>
      <c r="U836" s="63" t="s">
        <v>1171</v>
      </c>
      <c r="V836" s="81" t="s">
        <v>1023</v>
      </c>
      <c r="W836" s="82" t="s">
        <v>439</v>
      </c>
      <c r="X836" s="63" t="s">
        <v>2352</v>
      </c>
      <c r="Y836" s="81">
        <v>43195</v>
      </c>
      <c r="Z836" s="83">
        <v>39062100</v>
      </c>
      <c r="AA836" s="84" t="s">
        <v>2140</v>
      </c>
      <c r="AB836" s="85">
        <v>769</v>
      </c>
      <c r="AC836" s="81">
        <v>43201</v>
      </c>
      <c r="AD836" s="86">
        <v>39062100</v>
      </c>
      <c r="AE836" s="87">
        <f t="shared" si="87"/>
        <v>0</v>
      </c>
      <c r="AF836" s="85">
        <v>1891</v>
      </c>
      <c r="AG836" s="81">
        <v>43230</v>
      </c>
      <c r="AH836" s="86">
        <v>39062100</v>
      </c>
      <c r="AI836" s="63" t="s">
        <v>2353</v>
      </c>
      <c r="AJ836" s="63">
        <v>1968</v>
      </c>
      <c r="AK836" s="87">
        <f t="shared" si="84"/>
        <v>0</v>
      </c>
      <c r="AL836" s="86">
        <v>0</v>
      </c>
      <c r="AM836" s="86">
        <f t="shared" si="85"/>
        <v>39062100</v>
      </c>
      <c r="AN836" s="63" t="s">
        <v>1155</v>
      </c>
      <c r="AO836" s="86">
        <f t="shared" si="86"/>
        <v>0</v>
      </c>
      <c r="AP836" s="63"/>
      <c r="AQ836" s="81">
        <v>43195</v>
      </c>
      <c r="AR836" s="63" t="s">
        <v>2109</v>
      </c>
      <c r="AS836" s="81">
        <v>43195</v>
      </c>
      <c r="AT836" s="63" t="s">
        <v>2351</v>
      </c>
      <c r="AU836" s="220"/>
      <c r="AV836" s="220"/>
      <c r="AW836" s="220"/>
    </row>
    <row r="837" spans="1:49" s="221" customFormat="1" ht="213.75" x14ac:dyDescent="0.25">
      <c r="A837" s="63">
        <v>423</v>
      </c>
      <c r="B837" s="63" t="str">
        <f t="shared" si="83"/>
        <v>3075-423</v>
      </c>
      <c r="C837" s="76" t="s">
        <v>1141</v>
      </c>
      <c r="D837" s="76" t="s">
        <v>1142</v>
      </c>
      <c r="E837" s="76" t="s">
        <v>1174</v>
      </c>
      <c r="F837" s="76" t="s">
        <v>1175</v>
      </c>
      <c r="G837" s="77" t="s">
        <v>1176</v>
      </c>
      <c r="H837" s="78" t="s">
        <v>1177</v>
      </c>
      <c r="I837" s="76" t="s">
        <v>1147</v>
      </c>
      <c r="J837" s="76" t="s">
        <v>1182</v>
      </c>
      <c r="K837" s="76" t="s">
        <v>439</v>
      </c>
      <c r="L837" s="63" t="s">
        <v>1149</v>
      </c>
      <c r="M837" s="63" t="s">
        <v>58</v>
      </c>
      <c r="N837" s="63" t="s">
        <v>59</v>
      </c>
      <c r="O837" s="76" t="s">
        <v>1169</v>
      </c>
      <c r="P837" s="76" t="s">
        <v>2354</v>
      </c>
      <c r="Q837" s="79">
        <v>35479385</v>
      </c>
      <c r="R837" s="63">
        <v>1</v>
      </c>
      <c r="S837" s="80">
        <f t="shared" si="88"/>
        <v>35479385</v>
      </c>
      <c r="T837" s="63" t="s">
        <v>1171</v>
      </c>
      <c r="U837" s="63" t="s">
        <v>1171</v>
      </c>
      <c r="V837" s="81" t="s">
        <v>1208</v>
      </c>
      <c r="W837" s="82" t="s">
        <v>439</v>
      </c>
      <c r="X837" s="63" t="s">
        <v>2355</v>
      </c>
      <c r="Y837" s="81">
        <v>43195</v>
      </c>
      <c r="Z837" s="83">
        <v>35479385</v>
      </c>
      <c r="AA837" s="84" t="s">
        <v>2140</v>
      </c>
      <c r="AB837" s="85">
        <v>770</v>
      </c>
      <c r="AC837" s="81">
        <v>43201</v>
      </c>
      <c r="AD837" s="86">
        <v>35479385</v>
      </c>
      <c r="AE837" s="87">
        <f t="shared" si="87"/>
        <v>0</v>
      </c>
      <c r="AF837" s="85">
        <v>2408</v>
      </c>
      <c r="AG837" s="81">
        <v>43280</v>
      </c>
      <c r="AH837" s="86">
        <v>35479385</v>
      </c>
      <c r="AI837" s="63" t="s">
        <v>2356</v>
      </c>
      <c r="AJ837" s="63">
        <v>2828</v>
      </c>
      <c r="AK837" s="87">
        <f t="shared" si="84"/>
        <v>0</v>
      </c>
      <c r="AL837" s="86">
        <v>35479385</v>
      </c>
      <c r="AM837" s="86">
        <f t="shared" si="85"/>
        <v>0</v>
      </c>
      <c r="AN837" s="63" t="s">
        <v>1155</v>
      </c>
      <c r="AO837" s="86">
        <f t="shared" si="86"/>
        <v>0</v>
      </c>
      <c r="AP837" s="63"/>
      <c r="AQ837" s="81">
        <v>43195</v>
      </c>
      <c r="AR837" s="63" t="s">
        <v>2109</v>
      </c>
      <c r="AS837" s="81">
        <v>43195</v>
      </c>
      <c r="AT837" s="63" t="s">
        <v>2354</v>
      </c>
      <c r="AU837" s="220"/>
      <c r="AV837" s="220"/>
      <c r="AW837" s="220"/>
    </row>
    <row r="838" spans="1:49" s="221" customFormat="1" ht="228" x14ac:dyDescent="0.25">
      <c r="A838" s="63">
        <v>424</v>
      </c>
      <c r="B838" s="63" t="str">
        <f t="shared" si="83"/>
        <v>3075-424</v>
      </c>
      <c r="C838" s="76" t="s">
        <v>1141</v>
      </c>
      <c r="D838" s="76" t="s">
        <v>1142</v>
      </c>
      <c r="E838" s="76" t="s">
        <v>1165</v>
      </c>
      <c r="F838" s="76" t="s">
        <v>1166</v>
      </c>
      <c r="G838" s="77" t="s">
        <v>1167</v>
      </c>
      <c r="H838" s="78" t="s">
        <v>1168</v>
      </c>
      <c r="I838" s="76" t="s">
        <v>1147</v>
      </c>
      <c r="J838" s="76" t="s">
        <v>1148</v>
      </c>
      <c r="K838" s="76" t="s">
        <v>439</v>
      </c>
      <c r="L838" s="63" t="s">
        <v>1149</v>
      </c>
      <c r="M838" s="63" t="s">
        <v>58</v>
      </c>
      <c r="N838" s="63" t="s">
        <v>59</v>
      </c>
      <c r="O838" s="76" t="s">
        <v>1169</v>
      </c>
      <c r="P838" s="63" t="s">
        <v>2357</v>
      </c>
      <c r="Q838" s="79">
        <v>65920800</v>
      </c>
      <c r="R838" s="63">
        <v>1</v>
      </c>
      <c r="S838" s="80">
        <f t="shared" si="88"/>
        <v>65920800</v>
      </c>
      <c r="T838" s="63" t="s">
        <v>1171</v>
      </c>
      <c r="U838" s="63" t="s">
        <v>1171</v>
      </c>
      <c r="V838" s="81" t="s">
        <v>1023</v>
      </c>
      <c r="W838" s="82" t="s">
        <v>439</v>
      </c>
      <c r="X838" s="63" t="s">
        <v>2358</v>
      </c>
      <c r="Y838" s="81">
        <v>43195</v>
      </c>
      <c r="Z838" s="83">
        <v>65920800</v>
      </c>
      <c r="AA838" s="84" t="s">
        <v>2359</v>
      </c>
      <c r="AB838" s="85">
        <v>774</v>
      </c>
      <c r="AC838" s="81">
        <v>43201</v>
      </c>
      <c r="AD838" s="86">
        <v>65920800</v>
      </c>
      <c r="AE838" s="87">
        <f t="shared" si="87"/>
        <v>0</v>
      </c>
      <c r="AF838" s="85">
        <v>1859</v>
      </c>
      <c r="AG838" s="81">
        <v>43227</v>
      </c>
      <c r="AH838" s="86">
        <v>65920800</v>
      </c>
      <c r="AI838" s="63" t="s">
        <v>1787</v>
      </c>
      <c r="AJ838" s="63">
        <v>2010</v>
      </c>
      <c r="AK838" s="87">
        <f t="shared" si="84"/>
        <v>0</v>
      </c>
      <c r="AL838" s="86">
        <v>0</v>
      </c>
      <c r="AM838" s="86">
        <f t="shared" si="85"/>
        <v>65920800</v>
      </c>
      <c r="AN838" s="63" t="s">
        <v>1155</v>
      </c>
      <c r="AO838" s="86">
        <f t="shared" si="86"/>
        <v>0</v>
      </c>
      <c r="AP838" s="63"/>
      <c r="AQ838" s="81">
        <v>43195</v>
      </c>
      <c r="AR838" s="63" t="s">
        <v>2109</v>
      </c>
      <c r="AS838" s="81">
        <v>43195</v>
      </c>
      <c r="AT838" s="63" t="s">
        <v>2357</v>
      </c>
      <c r="AU838" s="220"/>
      <c r="AV838" s="220"/>
      <c r="AW838" s="220"/>
    </row>
    <row r="839" spans="1:49" s="221" customFormat="1" ht="242.25" x14ac:dyDescent="0.25">
      <c r="A839" s="63">
        <v>425</v>
      </c>
      <c r="B839" s="63" t="str">
        <f t="shared" si="83"/>
        <v>3075-425</v>
      </c>
      <c r="C839" s="76" t="s">
        <v>1141</v>
      </c>
      <c r="D839" s="76" t="s">
        <v>1142</v>
      </c>
      <c r="E839" s="76" t="s">
        <v>1174</v>
      </c>
      <c r="F839" s="76" t="s">
        <v>1175</v>
      </c>
      <c r="G839" s="77" t="s">
        <v>1176</v>
      </c>
      <c r="H839" s="78" t="s">
        <v>1177</v>
      </c>
      <c r="I839" s="76" t="s">
        <v>1147</v>
      </c>
      <c r="J839" s="76" t="s">
        <v>1182</v>
      </c>
      <c r="K839" s="76" t="s">
        <v>439</v>
      </c>
      <c r="L839" s="63" t="s">
        <v>1149</v>
      </c>
      <c r="M839" s="63" t="s">
        <v>58</v>
      </c>
      <c r="N839" s="63" t="s">
        <v>59</v>
      </c>
      <c r="O839" s="76" t="s">
        <v>1169</v>
      </c>
      <c r="P839" s="76" t="s">
        <v>2360</v>
      </c>
      <c r="Q839" s="79">
        <v>39062100</v>
      </c>
      <c r="R839" s="63">
        <v>1</v>
      </c>
      <c r="S839" s="80">
        <f t="shared" si="88"/>
        <v>39062100</v>
      </c>
      <c r="T839" s="63" t="s">
        <v>1171</v>
      </c>
      <c r="U839" s="63" t="s">
        <v>1171</v>
      </c>
      <c r="V839" s="81" t="s">
        <v>1023</v>
      </c>
      <c r="W839" s="82" t="s">
        <v>439</v>
      </c>
      <c r="X839" s="63" t="s">
        <v>2361</v>
      </c>
      <c r="Y839" s="89">
        <v>43195</v>
      </c>
      <c r="Z839" s="83">
        <v>39062100</v>
      </c>
      <c r="AA839" s="84" t="s">
        <v>2140</v>
      </c>
      <c r="AB839" s="85">
        <v>772</v>
      </c>
      <c r="AC839" s="81">
        <v>43201</v>
      </c>
      <c r="AD839" s="86">
        <v>39062100</v>
      </c>
      <c r="AE839" s="87">
        <f t="shared" si="87"/>
        <v>0</v>
      </c>
      <c r="AF839" s="85">
        <v>1855</v>
      </c>
      <c r="AG839" s="81">
        <v>43224</v>
      </c>
      <c r="AH839" s="86">
        <v>39062100</v>
      </c>
      <c r="AI839" s="63" t="s">
        <v>2362</v>
      </c>
      <c r="AJ839" s="63">
        <v>1969</v>
      </c>
      <c r="AK839" s="87">
        <f t="shared" si="84"/>
        <v>0</v>
      </c>
      <c r="AL839" s="86">
        <v>0</v>
      </c>
      <c r="AM839" s="86">
        <f t="shared" si="85"/>
        <v>39062100</v>
      </c>
      <c r="AN839" s="63" t="s">
        <v>1155</v>
      </c>
      <c r="AO839" s="86">
        <f t="shared" si="86"/>
        <v>0</v>
      </c>
      <c r="AP839" s="63"/>
      <c r="AQ839" s="81">
        <v>43195</v>
      </c>
      <c r="AR839" s="63" t="s">
        <v>2109</v>
      </c>
      <c r="AS839" s="81">
        <v>43195</v>
      </c>
      <c r="AT839" s="63" t="s">
        <v>2360</v>
      </c>
      <c r="AU839" s="220"/>
      <c r="AV839" s="220"/>
      <c r="AW839" s="220"/>
    </row>
    <row r="840" spans="1:49" s="221" customFormat="1" ht="185.25" x14ac:dyDescent="0.25">
      <c r="A840" s="63">
        <v>426</v>
      </c>
      <c r="B840" s="63" t="str">
        <f t="shared" si="83"/>
        <v>3075-426</v>
      </c>
      <c r="C840" s="76" t="s">
        <v>1141</v>
      </c>
      <c r="D840" s="76" t="s">
        <v>1142</v>
      </c>
      <c r="E840" s="76" t="s">
        <v>1174</v>
      </c>
      <c r="F840" s="76" t="s">
        <v>1175</v>
      </c>
      <c r="G840" s="77" t="s">
        <v>1176</v>
      </c>
      <c r="H840" s="78" t="s">
        <v>1177</v>
      </c>
      <c r="I840" s="76" t="s">
        <v>1147</v>
      </c>
      <c r="J840" s="76" t="s">
        <v>1182</v>
      </c>
      <c r="K840" s="76" t="s">
        <v>439</v>
      </c>
      <c r="L840" s="63" t="s">
        <v>1149</v>
      </c>
      <c r="M840" s="63" t="s">
        <v>58</v>
      </c>
      <c r="N840" s="63" t="s">
        <v>59</v>
      </c>
      <c r="O840" s="76" t="s">
        <v>1169</v>
      </c>
      <c r="P840" s="76" t="s">
        <v>2363</v>
      </c>
      <c r="Q840" s="79">
        <v>39062100</v>
      </c>
      <c r="R840" s="63">
        <v>1</v>
      </c>
      <c r="S840" s="80">
        <f t="shared" si="88"/>
        <v>39062100</v>
      </c>
      <c r="T840" s="63" t="s">
        <v>1171</v>
      </c>
      <c r="U840" s="63" t="s">
        <v>1171</v>
      </c>
      <c r="V840" s="81" t="s">
        <v>1023</v>
      </c>
      <c r="W840" s="82" t="s">
        <v>439</v>
      </c>
      <c r="X840" s="63" t="s">
        <v>2364</v>
      </c>
      <c r="Y840" s="89">
        <v>43195</v>
      </c>
      <c r="Z840" s="83">
        <v>39062100</v>
      </c>
      <c r="AA840" s="84" t="s">
        <v>2140</v>
      </c>
      <c r="AB840" s="85">
        <v>771</v>
      </c>
      <c r="AC840" s="81">
        <v>43201</v>
      </c>
      <c r="AD840" s="86">
        <v>39062100</v>
      </c>
      <c r="AE840" s="87">
        <f t="shared" si="87"/>
        <v>0</v>
      </c>
      <c r="AF840" s="85">
        <v>1862</v>
      </c>
      <c r="AG840" s="81">
        <v>43227</v>
      </c>
      <c r="AH840" s="86">
        <v>39062100</v>
      </c>
      <c r="AI840" s="63" t="s">
        <v>2365</v>
      </c>
      <c r="AJ840" s="63">
        <v>2004</v>
      </c>
      <c r="AK840" s="87">
        <f t="shared" si="84"/>
        <v>0</v>
      </c>
      <c r="AL840" s="86">
        <v>0</v>
      </c>
      <c r="AM840" s="86">
        <f t="shared" si="85"/>
        <v>39062100</v>
      </c>
      <c r="AN840" s="63" t="s">
        <v>1155</v>
      </c>
      <c r="AO840" s="86">
        <f t="shared" si="86"/>
        <v>0</v>
      </c>
      <c r="AP840" s="63"/>
      <c r="AQ840" s="81">
        <v>43195</v>
      </c>
      <c r="AR840" s="63" t="s">
        <v>2109</v>
      </c>
      <c r="AS840" s="81">
        <v>43195</v>
      </c>
      <c r="AT840" s="63" t="s">
        <v>2363</v>
      </c>
      <c r="AU840" s="220"/>
      <c r="AV840" s="220"/>
      <c r="AW840" s="220"/>
    </row>
    <row r="841" spans="1:49" s="221" customFormat="1" ht="242.25" x14ac:dyDescent="0.25">
      <c r="A841" s="63">
        <v>427</v>
      </c>
      <c r="B841" s="63" t="str">
        <f t="shared" si="83"/>
        <v>3075-427</v>
      </c>
      <c r="C841" s="76" t="s">
        <v>1141</v>
      </c>
      <c r="D841" s="76" t="s">
        <v>1142</v>
      </c>
      <c r="E841" s="76" t="s">
        <v>1174</v>
      </c>
      <c r="F841" s="76" t="s">
        <v>1175</v>
      </c>
      <c r="G841" s="77" t="s">
        <v>1176</v>
      </c>
      <c r="H841" s="78" t="s">
        <v>1177</v>
      </c>
      <c r="I841" s="76" t="s">
        <v>1147</v>
      </c>
      <c r="J841" s="76" t="s">
        <v>1182</v>
      </c>
      <c r="K841" s="76" t="s">
        <v>439</v>
      </c>
      <c r="L841" s="63" t="s">
        <v>1149</v>
      </c>
      <c r="M841" s="63" t="s">
        <v>58</v>
      </c>
      <c r="N841" s="63" t="s">
        <v>59</v>
      </c>
      <c r="O841" s="76" t="s">
        <v>1169</v>
      </c>
      <c r="P841" s="76" t="s">
        <v>2366</v>
      </c>
      <c r="Q841" s="79">
        <v>69667715</v>
      </c>
      <c r="R841" s="63">
        <v>1</v>
      </c>
      <c r="S841" s="80">
        <f t="shared" si="88"/>
        <v>69667715</v>
      </c>
      <c r="T841" s="63" t="s">
        <v>1171</v>
      </c>
      <c r="U841" s="63" t="s">
        <v>1171</v>
      </c>
      <c r="V841" s="81" t="s">
        <v>844</v>
      </c>
      <c r="W841" s="82" t="s">
        <v>439</v>
      </c>
      <c r="X841" s="63" t="s">
        <v>2367</v>
      </c>
      <c r="Y841" s="89">
        <v>43202</v>
      </c>
      <c r="Z841" s="83">
        <v>69667715</v>
      </c>
      <c r="AA841" s="84" t="s">
        <v>1185</v>
      </c>
      <c r="AB841" s="85">
        <v>782</v>
      </c>
      <c r="AC841" s="81">
        <v>43203</v>
      </c>
      <c r="AD841" s="86">
        <v>69667715</v>
      </c>
      <c r="AE841" s="87">
        <f t="shared" si="87"/>
        <v>0</v>
      </c>
      <c r="AF841" s="85">
        <v>2438</v>
      </c>
      <c r="AG841" s="81">
        <v>43286</v>
      </c>
      <c r="AH841" s="86">
        <v>69667715</v>
      </c>
      <c r="AI841" s="63" t="s">
        <v>2368</v>
      </c>
      <c r="AJ841" s="63">
        <v>2833</v>
      </c>
      <c r="AK841" s="87">
        <f t="shared" si="84"/>
        <v>0</v>
      </c>
      <c r="AL841" s="86">
        <v>69667715</v>
      </c>
      <c r="AM841" s="86">
        <f t="shared" si="85"/>
        <v>0</v>
      </c>
      <c r="AN841" s="63" t="s">
        <v>1155</v>
      </c>
      <c r="AO841" s="86">
        <f t="shared" si="86"/>
        <v>0</v>
      </c>
      <c r="AP841" s="63"/>
      <c r="AQ841" s="81">
        <v>43201</v>
      </c>
      <c r="AR841" s="63" t="s">
        <v>2109</v>
      </c>
      <c r="AS841" s="81">
        <v>43202</v>
      </c>
      <c r="AT841" s="63" t="s">
        <v>2366</v>
      </c>
      <c r="AU841" s="220"/>
      <c r="AV841" s="220"/>
      <c r="AW841" s="220"/>
    </row>
    <row r="842" spans="1:49" s="221" customFormat="1" ht="228" x14ac:dyDescent="0.25">
      <c r="A842" s="63">
        <v>428</v>
      </c>
      <c r="B842" s="63" t="str">
        <f t="shared" si="83"/>
        <v>3075-428</v>
      </c>
      <c r="C842" s="76" t="s">
        <v>1141</v>
      </c>
      <c r="D842" s="76" t="s">
        <v>1142</v>
      </c>
      <c r="E842" s="76" t="s">
        <v>1165</v>
      </c>
      <c r="F842" s="76" t="s">
        <v>1166</v>
      </c>
      <c r="G842" s="77" t="s">
        <v>1167</v>
      </c>
      <c r="H842" s="78" t="s">
        <v>1168</v>
      </c>
      <c r="I842" s="76" t="s">
        <v>1147</v>
      </c>
      <c r="J842" s="76" t="s">
        <v>1148</v>
      </c>
      <c r="K842" s="76" t="s">
        <v>439</v>
      </c>
      <c r="L842" s="63" t="s">
        <v>1149</v>
      </c>
      <c r="M842" s="63" t="s">
        <v>58</v>
      </c>
      <c r="N842" s="63" t="s">
        <v>59</v>
      </c>
      <c r="O842" s="76" t="s">
        <v>1169</v>
      </c>
      <c r="P842" s="63" t="s">
        <v>2369</v>
      </c>
      <c r="Q842" s="79">
        <v>4536000</v>
      </c>
      <c r="R842" s="63">
        <v>1</v>
      </c>
      <c r="S842" s="80">
        <f t="shared" si="88"/>
        <v>4536000</v>
      </c>
      <c r="T842" s="63" t="s">
        <v>1171</v>
      </c>
      <c r="U842" s="63" t="s">
        <v>1171</v>
      </c>
      <c r="V842" s="81" t="s">
        <v>1023</v>
      </c>
      <c r="W842" s="82" t="s">
        <v>439</v>
      </c>
      <c r="X842" s="63" t="s">
        <v>2370</v>
      </c>
      <c r="Y842" s="89">
        <v>43202</v>
      </c>
      <c r="Z842" s="83">
        <v>4536000</v>
      </c>
      <c r="AA842" s="84" t="s">
        <v>1782</v>
      </c>
      <c r="AB842" s="85">
        <v>783</v>
      </c>
      <c r="AC842" s="81">
        <v>43203</v>
      </c>
      <c r="AD842" s="86">
        <v>4536000</v>
      </c>
      <c r="AE842" s="87">
        <f t="shared" si="87"/>
        <v>0</v>
      </c>
      <c r="AF842" s="85">
        <v>1861</v>
      </c>
      <c r="AG842" s="81">
        <v>43227</v>
      </c>
      <c r="AH842" s="86">
        <v>4536000</v>
      </c>
      <c r="AI842" s="63" t="s">
        <v>2371</v>
      </c>
      <c r="AJ842" s="63">
        <v>2009</v>
      </c>
      <c r="AK842" s="87">
        <f t="shared" si="84"/>
        <v>0</v>
      </c>
      <c r="AL842" s="86">
        <v>0</v>
      </c>
      <c r="AM842" s="86">
        <f t="shared" si="85"/>
        <v>4536000</v>
      </c>
      <c r="AN842" s="63" t="s">
        <v>1155</v>
      </c>
      <c r="AO842" s="86">
        <f t="shared" si="86"/>
        <v>0</v>
      </c>
      <c r="AP842" s="63"/>
      <c r="AQ842" s="81">
        <v>43201</v>
      </c>
      <c r="AR842" s="63" t="s">
        <v>2109</v>
      </c>
      <c r="AS842" s="81">
        <v>43202</v>
      </c>
      <c r="AT842" s="63" t="s">
        <v>2369</v>
      </c>
      <c r="AU842" s="220"/>
      <c r="AV842" s="220"/>
      <c r="AW842" s="220"/>
    </row>
    <row r="843" spans="1:49" s="221" customFormat="1" ht="213.75" x14ac:dyDescent="0.25">
      <c r="A843" s="63">
        <v>429</v>
      </c>
      <c r="B843" s="63" t="str">
        <f t="shared" si="83"/>
        <v>3075-429</v>
      </c>
      <c r="C843" s="76" t="s">
        <v>1141</v>
      </c>
      <c r="D843" s="76" t="s">
        <v>1142</v>
      </c>
      <c r="E843" s="76" t="s">
        <v>1165</v>
      </c>
      <c r="F843" s="76" t="s">
        <v>1166</v>
      </c>
      <c r="G843" s="77" t="s">
        <v>1167</v>
      </c>
      <c r="H843" s="78" t="s">
        <v>1168</v>
      </c>
      <c r="I843" s="76" t="s">
        <v>1147</v>
      </c>
      <c r="J843" s="76" t="s">
        <v>1148</v>
      </c>
      <c r="K843" s="76" t="s">
        <v>439</v>
      </c>
      <c r="L843" s="63" t="s">
        <v>1149</v>
      </c>
      <c r="M843" s="63" t="s">
        <v>58</v>
      </c>
      <c r="N843" s="63" t="s">
        <v>59</v>
      </c>
      <c r="O843" s="76" t="s">
        <v>1169</v>
      </c>
      <c r="P843" s="63" t="s">
        <v>2372</v>
      </c>
      <c r="Q843" s="79">
        <v>95276430</v>
      </c>
      <c r="R843" s="63">
        <v>1</v>
      </c>
      <c r="S843" s="80">
        <f t="shared" si="88"/>
        <v>95276430</v>
      </c>
      <c r="T843" s="63" t="s">
        <v>1171</v>
      </c>
      <c r="U843" s="63" t="s">
        <v>1171</v>
      </c>
      <c r="V843" s="81" t="s">
        <v>1023</v>
      </c>
      <c r="W843" s="82" t="s">
        <v>439</v>
      </c>
      <c r="X843" s="63" t="s">
        <v>2373</v>
      </c>
      <c r="Y843" s="89">
        <v>43202</v>
      </c>
      <c r="Z843" s="83">
        <v>95276430</v>
      </c>
      <c r="AA843" s="84" t="s">
        <v>1782</v>
      </c>
      <c r="AB843" s="85">
        <v>784</v>
      </c>
      <c r="AC843" s="81">
        <v>43203</v>
      </c>
      <c r="AD843" s="86">
        <v>95276430</v>
      </c>
      <c r="AE843" s="87">
        <f t="shared" si="87"/>
        <v>0</v>
      </c>
      <c r="AF843" s="85">
        <v>1860</v>
      </c>
      <c r="AG843" s="81">
        <v>43227</v>
      </c>
      <c r="AH843" s="86">
        <v>95276430</v>
      </c>
      <c r="AI843" s="63" t="s">
        <v>2374</v>
      </c>
      <c r="AJ843" s="63">
        <v>2005</v>
      </c>
      <c r="AK843" s="87">
        <f t="shared" si="84"/>
        <v>0</v>
      </c>
      <c r="AL843" s="86">
        <v>28582929</v>
      </c>
      <c r="AM843" s="86">
        <f t="shared" si="85"/>
        <v>66693501</v>
      </c>
      <c r="AN843" s="63" t="s">
        <v>1155</v>
      </c>
      <c r="AO843" s="86">
        <f t="shared" si="86"/>
        <v>0</v>
      </c>
      <c r="AP843" s="63"/>
      <c r="AQ843" s="81">
        <v>43201</v>
      </c>
      <c r="AR843" s="63" t="s">
        <v>2109</v>
      </c>
      <c r="AS843" s="81">
        <v>43202</v>
      </c>
      <c r="AT843" s="63" t="s">
        <v>2375</v>
      </c>
      <c r="AU843" s="220"/>
      <c r="AV843" s="220"/>
      <c r="AW843" s="220"/>
    </row>
    <row r="844" spans="1:49" s="221" customFormat="1" ht="228" x14ac:dyDescent="0.25">
      <c r="A844" s="63">
        <v>430</v>
      </c>
      <c r="B844" s="63" t="str">
        <f t="shared" si="83"/>
        <v>3075-430</v>
      </c>
      <c r="C844" s="76" t="s">
        <v>1141</v>
      </c>
      <c r="D844" s="76" t="s">
        <v>1142</v>
      </c>
      <c r="E844" s="76" t="s">
        <v>1165</v>
      </c>
      <c r="F844" s="76" t="s">
        <v>1166</v>
      </c>
      <c r="G844" s="77" t="s">
        <v>1167</v>
      </c>
      <c r="H844" s="78" t="s">
        <v>1168</v>
      </c>
      <c r="I844" s="76" t="s">
        <v>1147</v>
      </c>
      <c r="J844" s="76" t="s">
        <v>1148</v>
      </c>
      <c r="K844" s="76" t="s">
        <v>439</v>
      </c>
      <c r="L844" s="63" t="s">
        <v>1149</v>
      </c>
      <c r="M844" s="63" t="s">
        <v>58</v>
      </c>
      <c r="N844" s="63" t="s">
        <v>59</v>
      </c>
      <c r="O844" s="76" t="s">
        <v>1169</v>
      </c>
      <c r="P844" s="63" t="s">
        <v>2376</v>
      </c>
      <c r="Q844" s="79">
        <v>7733250</v>
      </c>
      <c r="R844" s="63">
        <v>1</v>
      </c>
      <c r="S844" s="80">
        <f t="shared" si="88"/>
        <v>7733250</v>
      </c>
      <c r="T844" s="63" t="s">
        <v>1171</v>
      </c>
      <c r="U844" s="63" t="s">
        <v>1171</v>
      </c>
      <c r="V844" s="81" t="s">
        <v>1023</v>
      </c>
      <c r="W844" s="82" t="s">
        <v>439</v>
      </c>
      <c r="X844" s="63" t="s">
        <v>2377</v>
      </c>
      <c r="Y844" s="89">
        <v>43202</v>
      </c>
      <c r="Z844" s="83">
        <v>7733250</v>
      </c>
      <c r="AA844" s="84" t="s">
        <v>1782</v>
      </c>
      <c r="AB844" s="85">
        <v>785</v>
      </c>
      <c r="AC844" s="81">
        <v>43203</v>
      </c>
      <c r="AD844" s="86">
        <v>7733250</v>
      </c>
      <c r="AE844" s="87">
        <f t="shared" si="87"/>
        <v>0</v>
      </c>
      <c r="AF844" s="85">
        <v>1937</v>
      </c>
      <c r="AG844" s="81">
        <v>43242</v>
      </c>
      <c r="AH844" s="86">
        <v>7733250</v>
      </c>
      <c r="AI844" s="63" t="s">
        <v>2378</v>
      </c>
      <c r="AJ844" s="63">
        <v>2080</v>
      </c>
      <c r="AK844" s="87">
        <f t="shared" si="84"/>
        <v>0</v>
      </c>
      <c r="AL844" s="86">
        <v>7733250</v>
      </c>
      <c r="AM844" s="86">
        <f t="shared" si="85"/>
        <v>0</v>
      </c>
      <c r="AN844" s="63" t="s">
        <v>1155</v>
      </c>
      <c r="AO844" s="86">
        <f t="shared" si="86"/>
        <v>0</v>
      </c>
      <c r="AP844" s="63"/>
      <c r="AQ844" s="81">
        <v>43201</v>
      </c>
      <c r="AR844" s="63" t="s">
        <v>2109</v>
      </c>
      <c r="AS844" s="81">
        <v>43202</v>
      </c>
      <c r="AT844" s="63" t="s">
        <v>2376</v>
      </c>
      <c r="AU844" s="220"/>
      <c r="AV844" s="220"/>
      <c r="AW844" s="220"/>
    </row>
    <row r="845" spans="1:49" s="221" customFormat="1" ht="199.5" x14ac:dyDescent="0.25">
      <c r="A845" s="63">
        <v>431</v>
      </c>
      <c r="B845" s="63" t="str">
        <f t="shared" si="83"/>
        <v>3075-431</v>
      </c>
      <c r="C845" s="76" t="s">
        <v>1141</v>
      </c>
      <c r="D845" s="76" t="s">
        <v>1142</v>
      </c>
      <c r="E845" s="76" t="s">
        <v>1174</v>
      </c>
      <c r="F845" s="76" t="s">
        <v>1175</v>
      </c>
      <c r="G845" s="77" t="s">
        <v>1176</v>
      </c>
      <c r="H845" s="78" t="s">
        <v>1177</v>
      </c>
      <c r="I845" s="76" t="s">
        <v>1147</v>
      </c>
      <c r="J845" s="76" t="s">
        <v>1182</v>
      </c>
      <c r="K845" s="76" t="s">
        <v>439</v>
      </c>
      <c r="L845" s="63" t="s">
        <v>1149</v>
      </c>
      <c r="M845" s="63" t="s">
        <v>58</v>
      </c>
      <c r="N845" s="63" t="s">
        <v>59</v>
      </c>
      <c r="O845" s="76" t="s">
        <v>1169</v>
      </c>
      <c r="P845" s="76" t="s">
        <v>2379</v>
      </c>
      <c r="Q845" s="79">
        <v>39062100</v>
      </c>
      <c r="R845" s="63">
        <v>1</v>
      </c>
      <c r="S845" s="80">
        <f t="shared" si="88"/>
        <v>39062100</v>
      </c>
      <c r="T845" s="63" t="s">
        <v>1171</v>
      </c>
      <c r="U845" s="63" t="s">
        <v>1171</v>
      </c>
      <c r="V845" s="81" t="s">
        <v>1023</v>
      </c>
      <c r="W845" s="82" t="s">
        <v>439</v>
      </c>
      <c r="X845" s="63" t="s">
        <v>2380</v>
      </c>
      <c r="Y845" s="89">
        <v>43202</v>
      </c>
      <c r="Z845" s="83">
        <v>39062100</v>
      </c>
      <c r="AA845" s="84" t="s">
        <v>1185</v>
      </c>
      <c r="AB845" s="85">
        <v>777</v>
      </c>
      <c r="AC845" s="81">
        <v>43203</v>
      </c>
      <c r="AD845" s="86">
        <v>39062100</v>
      </c>
      <c r="AE845" s="87">
        <f t="shared" si="87"/>
        <v>0</v>
      </c>
      <c r="AF845" s="85">
        <v>1915</v>
      </c>
      <c r="AG845" s="81">
        <v>43237</v>
      </c>
      <c r="AH845" s="86">
        <v>39062100</v>
      </c>
      <c r="AI845" s="63" t="s">
        <v>2381</v>
      </c>
      <c r="AJ845" s="63">
        <v>2069</v>
      </c>
      <c r="AK845" s="87">
        <f t="shared" si="84"/>
        <v>0</v>
      </c>
      <c r="AL845" s="86">
        <v>0</v>
      </c>
      <c r="AM845" s="86">
        <f t="shared" si="85"/>
        <v>39062100</v>
      </c>
      <c r="AN845" s="63" t="s">
        <v>1155</v>
      </c>
      <c r="AO845" s="86">
        <f t="shared" si="86"/>
        <v>0</v>
      </c>
      <c r="AP845" s="63"/>
      <c r="AQ845" s="81">
        <v>43201</v>
      </c>
      <c r="AR845" s="63" t="s">
        <v>2109</v>
      </c>
      <c r="AS845" s="81">
        <v>43202</v>
      </c>
      <c r="AT845" s="63" t="s">
        <v>2379</v>
      </c>
      <c r="AU845" s="220"/>
      <c r="AV845" s="220"/>
      <c r="AW845" s="220"/>
    </row>
    <row r="846" spans="1:49" s="221" customFormat="1" ht="256.5" x14ac:dyDescent="0.25">
      <c r="A846" s="63">
        <v>432</v>
      </c>
      <c r="B846" s="63" t="str">
        <f t="shared" si="83"/>
        <v>3075-432</v>
      </c>
      <c r="C846" s="76" t="s">
        <v>1141</v>
      </c>
      <c r="D846" s="76" t="s">
        <v>1142</v>
      </c>
      <c r="E846" s="76" t="s">
        <v>1165</v>
      </c>
      <c r="F846" s="76" t="s">
        <v>1166</v>
      </c>
      <c r="G846" s="77" t="s">
        <v>1167</v>
      </c>
      <c r="H846" s="78" t="s">
        <v>1168</v>
      </c>
      <c r="I846" s="76" t="s">
        <v>1147</v>
      </c>
      <c r="J846" s="76" t="s">
        <v>1148</v>
      </c>
      <c r="K846" s="76" t="s">
        <v>439</v>
      </c>
      <c r="L846" s="63" t="s">
        <v>1149</v>
      </c>
      <c r="M846" s="63" t="s">
        <v>58</v>
      </c>
      <c r="N846" s="63" t="s">
        <v>59</v>
      </c>
      <c r="O846" s="76" t="s">
        <v>1169</v>
      </c>
      <c r="P846" s="63" t="s">
        <v>2382</v>
      </c>
      <c r="Q846" s="79">
        <v>7392000</v>
      </c>
      <c r="R846" s="63">
        <v>1</v>
      </c>
      <c r="S846" s="80">
        <f t="shared" si="88"/>
        <v>7392000</v>
      </c>
      <c r="T846" s="63" t="s">
        <v>1171</v>
      </c>
      <c r="U846" s="63" t="s">
        <v>1171</v>
      </c>
      <c r="V846" s="81" t="s">
        <v>1023</v>
      </c>
      <c r="W846" s="82" t="s">
        <v>439</v>
      </c>
      <c r="X846" s="63" t="s">
        <v>2383</v>
      </c>
      <c r="Y846" s="89">
        <v>43202</v>
      </c>
      <c r="Z846" s="83">
        <v>7392000</v>
      </c>
      <c r="AA846" s="84" t="s">
        <v>1782</v>
      </c>
      <c r="AB846" s="85">
        <v>778</v>
      </c>
      <c r="AC846" s="81">
        <v>43203</v>
      </c>
      <c r="AD846" s="86">
        <v>7392000</v>
      </c>
      <c r="AE846" s="87">
        <f t="shared" si="87"/>
        <v>0</v>
      </c>
      <c r="AF846" s="85">
        <v>1857</v>
      </c>
      <c r="AG846" s="81">
        <v>43227</v>
      </c>
      <c r="AH846" s="86">
        <v>7392000</v>
      </c>
      <c r="AI846" s="63" t="s">
        <v>2384</v>
      </c>
      <c r="AJ846" s="63">
        <v>2008</v>
      </c>
      <c r="AK846" s="87">
        <f t="shared" si="84"/>
        <v>0</v>
      </c>
      <c r="AL846" s="86">
        <v>0</v>
      </c>
      <c r="AM846" s="86">
        <f t="shared" si="85"/>
        <v>7392000</v>
      </c>
      <c r="AN846" s="63" t="s">
        <v>1155</v>
      </c>
      <c r="AO846" s="86">
        <f t="shared" si="86"/>
        <v>0</v>
      </c>
      <c r="AP846" s="63"/>
      <c r="AQ846" s="81">
        <v>43201</v>
      </c>
      <c r="AR846" s="63" t="s">
        <v>2109</v>
      </c>
      <c r="AS846" s="81">
        <v>43202</v>
      </c>
      <c r="AT846" s="63" t="s">
        <v>2382</v>
      </c>
      <c r="AU846" s="220"/>
      <c r="AV846" s="220"/>
      <c r="AW846" s="220"/>
    </row>
    <row r="847" spans="1:49" s="221" customFormat="1" ht="228" x14ac:dyDescent="0.25">
      <c r="A847" s="63">
        <v>433</v>
      </c>
      <c r="B847" s="63" t="str">
        <f t="shared" si="83"/>
        <v>3075-433</v>
      </c>
      <c r="C847" s="76" t="s">
        <v>1141</v>
      </c>
      <c r="D847" s="76" t="s">
        <v>1142</v>
      </c>
      <c r="E847" s="76" t="s">
        <v>1174</v>
      </c>
      <c r="F847" s="76" t="s">
        <v>1175</v>
      </c>
      <c r="G847" s="77" t="s">
        <v>1176</v>
      </c>
      <c r="H847" s="78" t="s">
        <v>1177</v>
      </c>
      <c r="I847" s="76" t="s">
        <v>1147</v>
      </c>
      <c r="J847" s="76" t="s">
        <v>1182</v>
      </c>
      <c r="K847" s="76" t="s">
        <v>439</v>
      </c>
      <c r="L847" s="63" t="s">
        <v>1149</v>
      </c>
      <c r="M847" s="63" t="s">
        <v>58</v>
      </c>
      <c r="N847" s="63" t="s">
        <v>59</v>
      </c>
      <c r="O847" s="76" t="s">
        <v>1169</v>
      </c>
      <c r="P847" s="76" t="s">
        <v>2385</v>
      </c>
      <c r="Q847" s="79">
        <v>62779330</v>
      </c>
      <c r="R847" s="63">
        <v>1</v>
      </c>
      <c r="S847" s="80">
        <f t="shared" si="88"/>
        <v>62779330</v>
      </c>
      <c r="T847" s="63" t="s">
        <v>1171</v>
      </c>
      <c r="U847" s="63" t="s">
        <v>1171</v>
      </c>
      <c r="V847" s="81" t="s">
        <v>1023</v>
      </c>
      <c r="W847" s="82" t="s">
        <v>439</v>
      </c>
      <c r="X847" s="63" t="s">
        <v>2386</v>
      </c>
      <c r="Y847" s="89">
        <v>43202</v>
      </c>
      <c r="Z847" s="83">
        <v>62779330</v>
      </c>
      <c r="AA847" s="84" t="s">
        <v>1185</v>
      </c>
      <c r="AB847" s="85">
        <v>779</v>
      </c>
      <c r="AC847" s="81">
        <v>43203</v>
      </c>
      <c r="AD847" s="86">
        <v>62779330</v>
      </c>
      <c r="AE847" s="87">
        <f t="shared" si="87"/>
        <v>0</v>
      </c>
      <c r="AF847" s="85">
        <v>1935</v>
      </c>
      <c r="AG847" s="81">
        <v>43242</v>
      </c>
      <c r="AH847" s="86">
        <v>62779330</v>
      </c>
      <c r="AI847" s="63" t="s">
        <v>2387</v>
      </c>
      <c r="AJ847" s="63">
        <v>2083</v>
      </c>
      <c r="AK847" s="87">
        <f t="shared" si="84"/>
        <v>0</v>
      </c>
      <c r="AL847" s="86">
        <v>62779330</v>
      </c>
      <c r="AM847" s="86">
        <f t="shared" si="85"/>
        <v>0</v>
      </c>
      <c r="AN847" s="63" t="s">
        <v>1155</v>
      </c>
      <c r="AO847" s="86">
        <f t="shared" si="86"/>
        <v>0</v>
      </c>
      <c r="AP847" s="63"/>
      <c r="AQ847" s="81">
        <v>43201</v>
      </c>
      <c r="AR847" s="63" t="s">
        <v>2109</v>
      </c>
      <c r="AS847" s="81">
        <v>43202</v>
      </c>
      <c r="AT847" s="63" t="s">
        <v>2385</v>
      </c>
      <c r="AU847" s="220"/>
      <c r="AV847" s="220"/>
      <c r="AW847" s="220"/>
    </row>
    <row r="848" spans="1:49" s="221" customFormat="1" ht="228" x14ac:dyDescent="0.25">
      <c r="A848" s="63">
        <v>434</v>
      </c>
      <c r="B848" s="63" t="str">
        <f t="shared" si="83"/>
        <v>3075-434</v>
      </c>
      <c r="C848" s="76" t="s">
        <v>1141</v>
      </c>
      <c r="D848" s="76" t="s">
        <v>1142</v>
      </c>
      <c r="E848" s="76" t="s">
        <v>1174</v>
      </c>
      <c r="F848" s="76" t="s">
        <v>1175</v>
      </c>
      <c r="G848" s="77" t="s">
        <v>1176</v>
      </c>
      <c r="H848" s="78" t="s">
        <v>1177</v>
      </c>
      <c r="I848" s="76" t="s">
        <v>1147</v>
      </c>
      <c r="J848" s="76" t="s">
        <v>1182</v>
      </c>
      <c r="K848" s="76" t="s">
        <v>439</v>
      </c>
      <c r="L848" s="63" t="s">
        <v>1149</v>
      </c>
      <c r="M848" s="63" t="s">
        <v>58</v>
      </c>
      <c r="N848" s="63" t="s">
        <v>59</v>
      </c>
      <c r="O848" s="76" t="s">
        <v>1169</v>
      </c>
      <c r="P848" s="76" t="s">
        <v>2388</v>
      </c>
      <c r="Q848" s="79">
        <v>39062100</v>
      </c>
      <c r="R848" s="63">
        <v>1</v>
      </c>
      <c r="S848" s="80">
        <f t="shared" si="88"/>
        <v>39062100</v>
      </c>
      <c r="T848" s="63" t="s">
        <v>1171</v>
      </c>
      <c r="U848" s="63" t="s">
        <v>1171</v>
      </c>
      <c r="V848" s="81" t="s">
        <v>411</v>
      </c>
      <c r="W848" s="82" t="s">
        <v>439</v>
      </c>
      <c r="X848" s="63" t="s">
        <v>2389</v>
      </c>
      <c r="Y848" s="89">
        <v>43202</v>
      </c>
      <c r="Z848" s="83">
        <v>39062100</v>
      </c>
      <c r="AA848" s="84" t="s">
        <v>1185</v>
      </c>
      <c r="AB848" s="85">
        <v>786</v>
      </c>
      <c r="AC848" s="81">
        <v>43203</v>
      </c>
      <c r="AD848" s="86">
        <v>39062100</v>
      </c>
      <c r="AE848" s="87">
        <f t="shared" si="87"/>
        <v>0</v>
      </c>
      <c r="AF848" s="85">
        <v>1846</v>
      </c>
      <c r="AG848" s="81">
        <v>43216</v>
      </c>
      <c r="AH848" s="86">
        <v>39062100</v>
      </c>
      <c r="AI848" s="63" t="s">
        <v>2390</v>
      </c>
      <c r="AJ848" s="63">
        <v>1933</v>
      </c>
      <c r="AK848" s="87">
        <f t="shared" si="84"/>
        <v>0</v>
      </c>
      <c r="AL848" s="86">
        <v>0</v>
      </c>
      <c r="AM848" s="86">
        <f t="shared" si="85"/>
        <v>39062100</v>
      </c>
      <c r="AN848" s="63" t="s">
        <v>1155</v>
      </c>
      <c r="AO848" s="86">
        <f t="shared" si="86"/>
        <v>0</v>
      </c>
      <c r="AP848" s="63"/>
      <c r="AQ848" s="81">
        <v>43201</v>
      </c>
      <c r="AR848" s="63" t="s">
        <v>2109</v>
      </c>
      <c r="AS848" s="81">
        <v>43202</v>
      </c>
      <c r="AT848" s="63" t="s">
        <v>2388</v>
      </c>
      <c r="AU848" s="220"/>
      <c r="AV848" s="220"/>
      <c r="AW848" s="220"/>
    </row>
    <row r="849" spans="1:49" s="221" customFormat="1" ht="199.5" x14ac:dyDescent="0.25">
      <c r="A849" s="63">
        <v>435</v>
      </c>
      <c r="B849" s="63" t="str">
        <f t="shared" si="83"/>
        <v>3075-435</v>
      </c>
      <c r="C849" s="76" t="s">
        <v>1141</v>
      </c>
      <c r="D849" s="76" t="s">
        <v>1142</v>
      </c>
      <c r="E849" s="76" t="s">
        <v>1165</v>
      </c>
      <c r="F849" s="76" t="s">
        <v>1166</v>
      </c>
      <c r="G849" s="77" t="s">
        <v>1167</v>
      </c>
      <c r="H849" s="78" t="s">
        <v>1168</v>
      </c>
      <c r="I849" s="76" t="s">
        <v>1147</v>
      </c>
      <c r="J849" s="76" t="s">
        <v>1148</v>
      </c>
      <c r="K849" s="76" t="s">
        <v>439</v>
      </c>
      <c r="L849" s="63" t="s">
        <v>1149</v>
      </c>
      <c r="M849" s="63" t="s">
        <v>58</v>
      </c>
      <c r="N849" s="63" t="s">
        <v>59</v>
      </c>
      <c r="O849" s="76" t="s">
        <v>1169</v>
      </c>
      <c r="P849" s="63" t="s">
        <v>2391</v>
      </c>
      <c r="Q849" s="79">
        <v>52944200</v>
      </c>
      <c r="R849" s="63">
        <v>1</v>
      </c>
      <c r="S849" s="80">
        <f t="shared" si="88"/>
        <v>52944200</v>
      </c>
      <c r="T849" s="63" t="s">
        <v>1171</v>
      </c>
      <c r="U849" s="63" t="s">
        <v>1171</v>
      </c>
      <c r="V849" s="81" t="s">
        <v>1208</v>
      </c>
      <c r="W849" s="82" t="s">
        <v>439</v>
      </c>
      <c r="X849" s="63" t="s">
        <v>2392</v>
      </c>
      <c r="Y849" s="89">
        <v>43202</v>
      </c>
      <c r="Z849" s="83">
        <v>52944200</v>
      </c>
      <c r="AA849" s="84" t="s">
        <v>2359</v>
      </c>
      <c r="AB849" s="85">
        <v>787</v>
      </c>
      <c r="AC849" s="81">
        <v>43203</v>
      </c>
      <c r="AD849" s="86">
        <v>52944200</v>
      </c>
      <c r="AE849" s="87">
        <f t="shared" si="87"/>
        <v>0</v>
      </c>
      <c r="AF849" s="85">
        <v>2024</v>
      </c>
      <c r="AG849" s="81">
        <v>43266</v>
      </c>
      <c r="AH849" s="86">
        <v>52944200</v>
      </c>
      <c r="AI849" s="63" t="s">
        <v>2393</v>
      </c>
      <c r="AJ849" s="63">
        <v>2220</v>
      </c>
      <c r="AK849" s="87">
        <f t="shared" si="84"/>
        <v>0</v>
      </c>
      <c r="AL849" s="86">
        <v>0</v>
      </c>
      <c r="AM849" s="86">
        <f t="shared" si="85"/>
        <v>52944200</v>
      </c>
      <c r="AN849" s="63" t="s">
        <v>1155</v>
      </c>
      <c r="AO849" s="86">
        <f t="shared" si="86"/>
        <v>0</v>
      </c>
      <c r="AP849" s="63"/>
      <c r="AQ849" s="81">
        <v>43201</v>
      </c>
      <c r="AR849" s="63" t="s">
        <v>2109</v>
      </c>
      <c r="AS849" s="81">
        <v>43202</v>
      </c>
      <c r="AT849" s="63" t="s">
        <v>2391</v>
      </c>
      <c r="AU849" s="220"/>
      <c r="AV849" s="220"/>
      <c r="AW849" s="220"/>
    </row>
    <row r="850" spans="1:49" s="221" customFormat="1" ht="213.75" x14ac:dyDescent="0.25">
      <c r="A850" s="63">
        <v>436</v>
      </c>
      <c r="B850" s="63" t="str">
        <f t="shared" si="83"/>
        <v>3075-436</v>
      </c>
      <c r="C850" s="76" t="s">
        <v>1141</v>
      </c>
      <c r="D850" s="76" t="s">
        <v>1142</v>
      </c>
      <c r="E850" s="76" t="s">
        <v>1174</v>
      </c>
      <c r="F850" s="76" t="s">
        <v>1175</v>
      </c>
      <c r="G850" s="77" t="s">
        <v>1176</v>
      </c>
      <c r="H850" s="78" t="s">
        <v>1177</v>
      </c>
      <c r="I850" s="76" t="s">
        <v>1147</v>
      </c>
      <c r="J850" s="76" t="s">
        <v>1178</v>
      </c>
      <c r="K850" s="76" t="s">
        <v>439</v>
      </c>
      <c r="L850" s="63" t="s">
        <v>1149</v>
      </c>
      <c r="M850" s="63" t="s">
        <v>58</v>
      </c>
      <c r="N850" s="63" t="s">
        <v>59</v>
      </c>
      <c r="O850" s="76" t="s">
        <v>1169</v>
      </c>
      <c r="P850" s="76" t="s">
        <v>2394</v>
      </c>
      <c r="Q850" s="79">
        <v>8741700</v>
      </c>
      <c r="R850" s="63">
        <v>1</v>
      </c>
      <c r="S850" s="80">
        <f t="shared" si="88"/>
        <v>8741700</v>
      </c>
      <c r="T850" s="63" t="s">
        <v>1171</v>
      </c>
      <c r="U850" s="63" t="s">
        <v>1171</v>
      </c>
      <c r="V850" s="81" t="s">
        <v>1023</v>
      </c>
      <c r="W850" s="82" t="s">
        <v>439</v>
      </c>
      <c r="X850" s="63" t="s">
        <v>2395</v>
      </c>
      <c r="Y850" s="89">
        <v>43202</v>
      </c>
      <c r="Z850" s="83">
        <v>8741700</v>
      </c>
      <c r="AA850" s="84" t="s">
        <v>2024</v>
      </c>
      <c r="AB850" s="85">
        <v>780</v>
      </c>
      <c r="AC850" s="81">
        <v>43203</v>
      </c>
      <c r="AD850" s="86">
        <v>8741700</v>
      </c>
      <c r="AE850" s="87">
        <f t="shared" si="87"/>
        <v>0</v>
      </c>
      <c r="AF850" s="85">
        <v>1913</v>
      </c>
      <c r="AG850" s="81">
        <v>43237</v>
      </c>
      <c r="AH850" s="86">
        <v>8741700</v>
      </c>
      <c r="AI850" s="63" t="s">
        <v>2396</v>
      </c>
      <c r="AJ850" s="63">
        <v>2072</v>
      </c>
      <c r="AK850" s="87">
        <f t="shared" si="84"/>
        <v>0</v>
      </c>
      <c r="AL850" s="86">
        <v>0</v>
      </c>
      <c r="AM850" s="86">
        <f t="shared" si="85"/>
        <v>8741700</v>
      </c>
      <c r="AN850" s="63" t="s">
        <v>1155</v>
      </c>
      <c r="AO850" s="86">
        <f t="shared" si="86"/>
        <v>0</v>
      </c>
      <c r="AP850" s="63"/>
      <c r="AQ850" s="81">
        <v>43201</v>
      </c>
      <c r="AR850" s="63" t="s">
        <v>2109</v>
      </c>
      <c r="AS850" s="81">
        <v>43202</v>
      </c>
      <c r="AT850" s="63" t="s">
        <v>2394</v>
      </c>
      <c r="AU850" s="220"/>
      <c r="AV850" s="220"/>
      <c r="AW850" s="220"/>
    </row>
    <row r="851" spans="1:49" s="221" customFormat="1" ht="242.25" x14ac:dyDescent="0.25">
      <c r="A851" s="63">
        <v>437</v>
      </c>
      <c r="B851" s="63" t="str">
        <f t="shared" si="83"/>
        <v>3075-437</v>
      </c>
      <c r="C851" s="76" t="s">
        <v>1141</v>
      </c>
      <c r="D851" s="76" t="s">
        <v>1142</v>
      </c>
      <c r="E851" s="76" t="s">
        <v>1174</v>
      </c>
      <c r="F851" s="76" t="s">
        <v>1175</v>
      </c>
      <c r="G851" s="77" t="s">
        <v>1176</v>
      </c>
      <c r="H851" s="78" t="s">
        <v>1177</v>
      </c>
      <c r="I851" s="76" t="s">
        <v>1147</v>
      </c>
      <c r="J851" s="76" t="s">
        <v>1178</v>
      </c>
      <c r="K851" s="76" t="s">
        <v>439</v>
      </c>
      <c r="L851" s="63" t="s">
        <v>1149</v>
      </c>
      <c r="M851" s="63" t="s">
        <v>58</v>
      </c>
      <c r="N851" s="63" t="s">
        <v>59</v>
      </c>
      <c r="O851" s="76" t="s">
        <v>1169</v>
      </c>
      <c r="P851" s="76" t="s">
        <v>2397</v>
      </c>
      <c r="Q851" s="79">
        <v>480610</v>
      </c>
      <c r="R851" s="63">
        <v>1</v>
      </c>
      <c r="S851" s="80">
        <f t="shared" si="88"/>
        <v>480610</v>
      </c>
      <c r="T851" s="63" t="s">
        <v>1171</v>
      </c>
      <c r="U851" s="63" t="s">
        <v>1171</v>
      </c>
      <c r="V851" s="81" t="s">
        <v>1023</v>
      </c>
      <c r="W851" s="82" t="s">
        <v>439</v>
      </c>
      <c r="X851" s="63" t="s">
        <v>2398</v>
      </c>
      <c r="Y851" s="89">
        <v>43202</v>
      </c>
      <c r="Z851" s="83">
        <v>480610</v>
      </c>
      <c r="AA851" s="84" t="s">
        <v>2024</v>
      </c>
      <c r="AB851" s="85">
        <v>781</v>
      </c>
      <c r="AC851" s="81">
        <v>43203</v>
      </c>
      <c r="AD851" s="86">
        <v>480610</v>
      </c>
      <c r="AE851" s="87">
        <f t="shared" si="87"/>
        <v>0</v>
      </c>
      <c r="AF851" s="85">
        <v>1933</v>
      </c>
      <c r="AG851" s="81">
        <v>43242</v>
      </c>
      <c r="AH851" s="86">
        <v>480610</v>
      </c>
      <c r="AI851" s="63" t="s">
        <v>2399</v>
      </c>
      <c r="AJ851" s="63">
        <v>2082</v>
      </c>
      <c r="AK851" s="87">
        <f t="shared" si="84"/>
        <v>0</v>
      </c>
      <c r="AL851" s="86">
        <v>480610</v>
      </c>
      <c r="AM851" s="86">
        <f t="shared" si="85"/>
        <v>0</v>
      </c>
      <c r="AN851" s="63" t="s">
        <v>1155</v>
      </c>
      <c r="AO851" s="86">
        <f t="shared" si="86"/>
        <v>0</v>
      </c>
      <c r="AP851" s="63"/>
      <c r="AQ851" s="81">
        <v>43201</v>
      </c>
      <c r="AR851" s="63" t="s">
        <v>2109</v>
      </c>
      <c r="AS851" s="81">
        <v>43202</v>
      </c>
      <c r="AT851" s="63" t="s">
        <v>2397</v>
      </c>
      <c r="AU851" s="220"/>
      <c r="AV851" s="220"/>
      <c r="AW851" s="220"/>
    </row>
    <row r="852" spans="1:49" s="221" customFormat="1" ht="370.5" x14ac:dyDescent="0.25">
      <c r="A852" s="63">
        <v>438</v>
      </c>
      <c r="B852" s="63" t="str">
        <f t="shared" si="83"/>
        <v>3075-438</v>
      </c>
      <c r="C852" s="76" t="s">
        <v>1141</v>
      </c>
      <c r="D852" s="76" t="s">
        <v>1142</v>
      </c>
      <c r="E852" s="76" t="s">
        <v>1143</v>
      </c>
      <c r="F852" s="76" t="s">
        <v>1166</v>
      </c>
      <c r="G852" s="88" t="s">
        <v>2053</v>
      </c>
      <c r="H852" s="92" t="s">
        <v>2054</v>
      </c>
      <c r="I852" s="76" t="s">
        <v>1147</v>
      </c>
      <c r="J852" s="76" t="s">
        <v>1148</v>
      </c>
      <c r="K852" s="76" t="s">
        <v>439</v>
      </c>
      <c r="L852" s="63" t="s">
        <v>1149</v>
      </c>
      <c r="M852" s="63" t="s">
        <v>58</v>
      </c>
      <c r="N852" s="63" t="s">
        <v>59</v>
      </c>
      <c r="O852" s="76" t="s">
        <v>1199</v>
      </c>
      <c r="P852" s="76" t="s">
        <v>2400</v>
      </c>
      <c r="Q852" s="79">
        <v>406560</v>
      </c>
      <c r="R852" s="63">
        <v>1</v>
      </c>
      <c r="S852" s="80">
        <f t="shared" si="88"/>
        <v>406560</v>
      </c>
      <c r="T852" s="63" t="s">
        <v>1171</v>
      </c>
      <c r="U852" s="63" t="s">
        <v>1171</v>
      </c>
      <c r="V852" s="81" t="s">
        <v>411</v>
      </c>
      <c r="W852" s="82" t="s">
        <v>439</v>
      </c>
      <c r="X852" s="91" t="s">
        <v>2401</v>
      </c>
      <c r="Y852" s="81">
        <v>43208</v>
      </c>
      <c r="Z852" s="83">
        <v>406560</v>
      </c>
      <c r="AA852" s="84" t="s">
        <v>2402</v>
      </c>
      <c r="AB852" s="85">
        <v>798</v>
      </c>
      <c r="AC852" s="81">
        <v>43208</v>
      </c>
      <c r="AD852" s="86">
        <v>406560</v>
      </c>
      <c r="AE852" s="87">
        <f t="shared" si="87"/>
        <v>0</v>
      </c>
      <c r="AF852" s="85">
        <v>1814</v>
      </c>
      <c r="AG852" s="81">
        <v>43209</v>
      </c>
      <c r="AH852" s="86">
        <v>406560</v>
      </c>
      <c r="AI852" s="63" t="s">
        <v>2403</v>
      </c>
      <c r="AJ852" s="63">
        <v>1894</v>
      </c>
      <c r="AK852" s="87">
        <f t="shared" si="84"/>
        <v>0</v>
      </c>
      <c r="AL852" s="86">
        <v>406560</v>
      </c>
      <c r="AM852" s="86">
        <f t="shared" si="85"/>
        <v>0</v>
      </c>
      <c r="AN852" s="63" t="s">
        <v>1155</v>
      </c>
      <c r="AO852" s="86">
        <f t="shared" si="86"/>
        <v>0</v>
      </c>
      <c r="AP852" s="63"/>
      <c r="AQ852" s="81">
        <v>43208</v>
      </c>
      <c r="AR852" s="63" t="s">
        <v>2109</v>
      </c>
      <c r="AS852" s="81">
        <v>43208</v>
      </c>
      <c r="AT852" s="63" t="s">
        <v>2404</v>
      </c>
      <c r="AU852" s="220"/>
      <c r="AV852" s="220"/>
      <c r="AW852" s="220"/>
    </row>
    <row r="853" spans="1:49" s="221" customFormat="1" ht="185.25" x14ac:dyDescent="0.25">
      <c r="A853" s="63">
        <v>439</v>
      </c>
      <c r="B853" s="63" t="str">
        <f t="shared" si="83"/>
        <v>3075-439</v>
      </c>
      <c r="C853" s="76" t="s">
        <v>1141</v>
      </c>
      <c r="D853" s="76" t="s">
        <v>1142</v>
      </c>
      <c r="E853" s="76" t="s">
        <v>1165</v>
      </c>
      <c r="F853" s="76" t="s">
        <v>1166</v>
      </c>
      <c r="G853" s="77" t="s">
        <v>1167</v>
      </c>
      <c r="H853" s="78" t="s">
        <v>1168</v>
      </c>
      <c r="I853" s="76" t="s">
        <v>1147</v>
      </c>
      <c r="J853" s="76" t="s">
        <v>1148</v>
      </c>
      <c r="K853" s="76" t="s">
        <v>439</v>
      </c>
      <c r="L853" s="63" t="s">
        <v>1149</v>
      </c>
      <c r="M853" s="63" t="s">
        <v>58</v>
      </c>
      <c r="N853" s="63" t="s">
        <v>59</v>
      </c>
      <c r="O853" s="76" t="s">
        <v>1169</v>
      </c>
      <c r="P853" s="63" t="s">
        <v>2405</v>
      </c>
      <c r="Q853" s="79">
        <v>22194000</v>
      </c>
      <c r="R853" s="63">
        <v>1</v>
      </c>
      <c r="S853" s="80">
        <f t="shared" si="88"/>
        <v>22194000</v>
      </c>
      <c r="T853" s="63" t="s">
        <v>1171</v>
      </c>
      <c r="U853" s="63" t="s">
        <v>1171</v>
      </c>
      <c r="V853" s="81" t="s">
        <v>1023</v>
      </c>
      <c r="W853" s="82" t="s">
        <v>439</v>
      </c>
      <c r="X853" s="63" t="s">
        <v>2406</v>
      </c>
      <c r="Y853" s="89">
        <v>43208</v>
      </c>
      <c r="Z853" s="83">
        <v>22194000</v>
      </c>
      <c r="AA853" s="84" t="s">
        <v>1782</v>
      </c>
      <c r="AB853" s="85">
        <v>801</v>
      </c>
      <c r="AC853" s="81">
        <v>43210</v>
      </c>
      <c r="AD853" s="86">
        <v>22194000</v>
      </c>
      <c r="AE853" s="87">
        <f t="shared" si="87"/>
        <v>0</v>
      </c>
      <c r="AF853" s="85">
        <v>1932</v>
      </c>
      <c r="AG853" s="81">
        <v>43242</v>
      </c>
      <c r="AH853" s="86">
        <v>22194000</v>
      </c>
      <c r="AI853" s="63" t="s">
        <v>2407</v>
      </c>
      <c r="AJ853" s="63">
        <v>2079</v>
      </c>
      <c r="AK853" s="87">
        <f t="shared" si="84"/>
        <v>0</v>
      </c>
      <c r="AL853" s="86">
        <v>0</v>
      </c>
      <c r="AM853" s="86">
        <f t="shared" si="85"/>
        <v>22194000</v>
      </c>
      <c r="AN853" s="63" t="s">
        <v>1155</v>
      </c>
      <c r="AO853" s="86">
        <f t="shared" si="86"/>
        <v>0</v>
      </c>
      <c r="AP853" s="63"/>
      <c r="AQ853" s="81">
        <v>43207</v>
      </c>
      <c r="AR853" s="63" t="s">
        <v>2109</v>
      </c>
      <c r="AS853" s="81">
        <v>43208</v>
      </c>
      <c r="AT853" s="63" t="s">
        <v>2405</v>
      </c>
      <c r="AU853" s="220"/>
      <c r="AV853" s="220"/>
      <c r="AW853" s="220"/>
    </row>
    <row r="854" spans="1:49" s="221" customFormat="1" ht="228" x14ac:dyDescent="0.25">
      <c r="A854" s="63">
        <v>440</v>
      </c>
      <c r="B854" s="63" t="str">
        <f t="shared" si="83"/>
        <v>3075-440</v>
      </c>
      <c r="C854" s="76" t="s">
        <v>1141</v>
      </c>
      <c r="D854" s="76" t="s">
        <v>1142</v>
      </c>
      <c r="E854" s="76" t="s">
        <v>1174</v>
      </c>
      <c r="F854" s="76" t="s">
        <v>1175</v>
      </c>
      <c r="G854" s="77" t="s">
        <v>1176</v>
      </c>
      <c r="H854" s="78" t="s">
        <v>1177</v>
      </c>
      <c r="I854" s="76" t="s">
        <v>1147</v>
      </c>
      <c r="J854" s="76" t="s">
        <v>1178</v>
      </c>
      <c r="K854" s="76" t="s">
        <v>439</v>
      </c>
      <c r="L854" s="63" t="s">
        <v>1149</v>
      </c>
      <c r="M854" s="63" t="s">
        <v>58</v>
      </c>
      <c r="N854" s="63" t="s">
        <v>59</v>
      </c>
      <c r="O854" s="76" t="s">
        <v>1169</v>
      </c>
      <c r="P854" s="76" t="s">
        <v>2408</v>
      </c>
      <c r="Q854" s="79">
        <v>4151008</v>
      </c>
      <c r="R854" s="63">
        <v>1</v>
      </c>
      <c r="S854" s="80">
        <f t="shared" si="88"/>
        <v>4151008</v>
      </c>
      <c r="T854" s="63" t="s">
        <v>1171</v>
      </c>
      <c r="U854" s="63" t="s">
        <v>1171</v>
      </c>
      <c r="V854" s="81" t="s">
        <v>1208</v>
      </c>
      <c r="W854" s="82" t="s">
        <v>439</v>
      </c>
      <c r="X854" s="90" t="s">
        <v>2409</v>
      </c>
      <c r="Y854" s="89">
        <v>43215</v>
      </c>
      <c r="Z854" s="83">
        <v>4151008</v>
      </c>
      <c r="AA854" s="84" t="s">
        <v>2024</v>
      </c>
      <c r="AB854" s="85">
        <v>813</v>
      </c>
      <c r="AC854" s="81">
        <v>43220</v>
      </c>
      <c r="AD854" s="86">
        <v>4151008</v>
      </c>
      <c r="AE854" s="87">
        <f t="shared" si="87"/>
        <v>0</v>
      </c>
      <c r="AF854" s="85">
        <v>2011</v>
      </c>
      <c r="AG854" s="81">
        <v>43263</v>
      </c>
      <c r="AH854" s="86">
        <v>4151008</v>
      </c>
      <c r="AI854" s="63" t="s">
        <v>2410</v>
      </c>
      <c r="AJ854" s="63">
        <v>2204</v>
      </c>
      <c r="AK854" s="87">
        <f t="shared" si="84"/>
        <v>0</v>
      </c>
      <c r="AL854" s="86">
        <v>0</v>
      </c>
      <c r="AM854" s="86">
        <f t="shared" si="85"/>
        <v>4151008</v>
      </c>
      <c r="AN854" s="63" t="s">
        <v>1155</v>
      </c>
      <c r="AO854" s="86">
        <f t="shared" si="86"/>
        <v>0</v>
      </c>
      <c r="AP854" s="63"/>
      <c r="AQ854" s="81">
        <v>43215</v>
      </c>
      <c r="AR854" s="63" t="s">
        <v>2109</v>
      </c>
      <c r="AS854" s="81">
        <v>43215</v>
      </c>
      <c r="AT854" s="63" t="s">
        <v>2408</v>
      </c>
      <c r="AU854" s="220"/>
      <c r="AV854" s="220"/>
      <c r="AW854" s="220"/>
    </row>
    <row r="855" spans="1:49" s="221" customFormat="1" ht="156.75" x14ac:dyDescent="0.25">
      <c r="A855" s="63">
        <v>441</v>
      </c>
      <c r="B855" s="63" t="str">
        <f t="shared" si="83"/>
        <v>3075-441</v>
      </c>
      <c r="C855" s="76" t="s">
        <v>1141</v>
      </c>
      <c r="D855" s="76" t="s">
        <v>1142</v>
      </c>
      <c r="E855" s="76" t="s">
        <v>1174</v>
      </c>
      <c r="F855" s="76" t="s">
        <v>1175</v>
      </c>
      <c r="G855" s="77" t="s">
        <v>1176</v>
      </c>
      <c r="H855" s="78" t="s">
        <v>1177</v>
      </c>
      <c r="I855" s="76" t="s">
        <v>1147</v>
      </c>
      <c r="J855" s="76" t="s">
        <v>1182</v>
      </c>
      <c r="K855" s="76" t="s">
        <v>439</v>
      </c>
      <c r="L855" s="63" t="s">
        <v>1149</v>
      </c>
      <c r="M855" s="63" t="s">
        <v>58</v>
      </c>
      <c r="N855" s="63" t="s">
        <v>59</v>
      </c>
      <c r="O855" s="76" t="s">
        <v>1169</v>
      </c>
      <c r="P855" s="76" t="s">
        <v>2408</v>
      </c>
      <c r="Q855" s="79">
        <v>34911092</v>
      </c>
      <c r="R855" s="63">
        <v>1</v>
      </c>
      <c r="S855" s="80">
        <f t="shared" si="88"/>
        <v>34911092</v>
      </c>
      <c r="T855" s="63" t="s">
        <v>1171</v>
      </c>
      <c r="U855" s="63" t="s">
        <v>1171</v>
      </c>
      <c r="V855" s="81" t="s">
        <v>1208</v>
      </c>
      <c r="W855" s="82" t="s">
        <v>439</v>
      </c>
      <c r="X855" s="90" t="s">
        <v>2411</v>
      </c>
      <c r="Y855" s="89">
        <v>43215</v>
      </c>
      <c r="Z855" s="83">
        <v>34911092</v>
      </c>
      <c r="AA855" s="84" t="s">
        <v>1185</v>
      </c>
      <c r="AB855" s="85">
        <v>812</v>
      </c>
      <c r="AC855" s="81">
        <v>43220</v>
      </c>
      <c r="AD855" s="86">
        <v>34911092</v>
      </c>
      <c r="AE855" s="87">
        <f t="shared" si="87"/>
        <v>0</v>
      </c>
      <c r="AF855" s="85">
        <v>2010</v>
      </c>
      <c r="AG855" s="81">
        <v>43263</v>
      </c>
      <c r="AH855" s="86">
        <v>34911092</v>
      </c>
      <c r="AI855" s="63" t="s">
        <v>2410</v>
      </c>
      <c r="AJ855" s="63">
        <v>2204</v>
      </c>
      <c r="AK855" s="87">
        <f t="shared" si="84"/>
        <v>0</v>
      </c>
      <c r="AL855" s="86">
        <v>0</v>
      </c>
      <c r="AM855" s="86">
        <f t="shared" si="85"/>
        <v>34911092</v>
      </c>
      <c r="AN855" s="63" t="s">
        <v>1155</v>
      </c>
      <c r="AO855" s="86">
        <f t="shared" si="86"/>
        <v>0</v>
      </c>
      <c r="AP855" s="63"/>
      <c r="AQ855" s="81">
        <v>43215</v>
      </c>
      <c r="AR855" s="63" t="s">
        <v>2109</v>
      </c>
      <c r="AS855" s="81">
        <v>43215</v>
      </c>
      <c r="AT855" s="63" t="s">
        <v>2137</v>
      </c>
      <c r="AU855" s="220"/>
      <c r="AV855" s="220"/>
      <c r="AW855" s="220"/>
    </row>
    <row r="856" spans="1:49" s="221" customFormat="1" ht="342" x14ac:dyDescent="0.25">
      <c r="A856" s="63">
        <v>442</v>
      </c>
      <c r="B856" s="63" t="str">
        <f t="shared" si="83"/>
        <v>3075-442</v>
      </c>
      <c r="C856" s="76" t="s">
        <v>1141</v>
      </c>
      <c r="D856" s="76" t="s">
        <v>1142</v>
      </c>
      <c r="E856" s="76" t="s">
        <v>1174</v>
      </c>
      <c r="F856" s="76" t="s">
        <v>1175</v>
      </c>
      <c r="G856" s="77" t="s">
        <v>1176</v>
      </c>
      <c r="H856" s="78" t="s">
        <v>2412</v>
      </c>
      <c r="I856" s="76" t="s">
        <v>1147</v>
      </c>
      <c r="J856" s="76" t="s">
        <v>1148</v>
      </c>
      <c r="K856" s="76" t="s">
        <v>439</v>
      </c>
      <c r="L856" s="63" t="s">
        <v>1149</v>
      </c>
      <c r="M856" s="63" t="s">
        <v>58</v>
      </c>
      <c r="N856" s="63" t="s">
        <v>59</v>
      </c>
      <c r="O856" s="76" t="s">
        <v>1169</v>
      </c>
      <c r="P856" s="76" t="s">
        <v>2413</v>
      </c>
      <c r="Q856" s="79">
        <v>54686940</v>
      </c>
      <c r="R856" s="63">
        <v>1</v>
      </c>
      <c r="S856" s="80">
        <f t="shared" si="88"/>
        <v>54686940</v>
      </c>
      <c r="T856" s="63" t="s">
        <v>1171</v>
      </c>
      <c r="U856" s="63" t="s">
        <v>1171</v>
      </c>
      <c r="V856" s="81" t="s">
        <v>1208</v>
      </c>
      <c r="W856" s="82" t="s">
        <v>439</v>
      </c>
      <c r="X856" s="63" t="s">
        <v>2414</v>
      </c>
      <c r="Y856" s="89">
        <v>43215</v>
      </c>
      <c r="Z856" s="86">
        <v>54686940</v>
      </c>
      <c r="AA856" s="84" t="s">
        <v>2415</v>
      </c>
      <c r="AB856" s="85">
        <v>809</v>
      </c>
      <c r="AC856" s="81">
        <v>43220</v>
      </c>
      <c r="AD856" s="86">
        <v>54686940</v>
      </c>
      <c r="AE856" s="87">
        <f t="shared" si="87"/>
        <v>0</v>
      </c>
      <c r="AF856" s="85">
        <v>2013</v>
      </c>
      <c r="AG856" s="81">
        <v>43263</v>
      </c>
      <c r="AH856" s="86">
        <v>54686940</v>
      </c>
      <c r="AI856" s="63" t="s">
        <v>2416</v>
      </c>
      <c r="AJ856" s="63">
        <v>2223</v>
      </c>
      <c r="AK856" s="87">
        <f t="shared" si="84"/>
        <v>0</v>
      </c>
      <c r="AL856" s="86">
        <v>54686940</v>
      </c>
      <c r="AM856" s="86">
        <f t="shared" si="85"/>
        <v>0</v>
      </c>
      <c r="AN856" s="63" t="s">
        <v>1155</v>
      </c>
      <c r="AO856" s="86">
        <f t="shared" si="86"/>
        <v>0</v>
      </c>
      <c r="AP856" s="63"/>
      <c r="AQ856" s="81">
        <v>43215</v>
      </c>
      <c r="AR856" s="63" t="s">
        <v>2109</v>
      </c>
      <c r="AS856" s="81">
        <v>43215</v>
      </c>
      <c r="AT856" s="63" t="s">
        <v>2413</v>
      </c>
      <c r="AU856" s="220"/>
      <c r="AV856" s="220"/>
      <c r="AW856" s="220"/>
    </row>
    <row r="857" spans="1:49" s="221" customFormat="1" ht="342" x14ac:dyDescent="0.25">
      <c r="A857" s="63">
        <v>443</v>
      </c>
      <c r="B857" s="63" t="str">
        <f t="shared" si="83"/>
        <v>3075-443</v>
      </c>
      <c r="C857" s="76" t="s">
        <v>1141</v>
      </c>
      <c r="D857" s="76" t="s">
        <v>1142</v>
      </c>
      <c r="E857" s="76" t="s">
        <v>1174</v>
      </c>
      <c r="F857" s="76" t="s">
        <v>1175</v>
      </c>
      <c r="G857" s="77" t="s">
        <v>1176</v>
      </c>
      <c r="H857" s="78" t="s">
        <v>2412</v>
      </c>
      <c r="I857" s="76" t="s">
        <v>1147</v>
      </c>
      <c r="J857" s="76" t="s">
        <v>1148</v>
      </c>
      <c r="K857" s="76" t="s">
        <v>439</v>
      </c>
      <c r="L857" s="63" t="s">
        <v>1149</v>
      </c>
      <c r="M857" s="63" t="s">
        <v>58</v>
      </c>
      <c r="N857" s="63" t="s">
        <v>59</v>
      </c>
      <c r="O857" s="76" t="s">
        <v>1169</v>
      </c>
      <c r="P857" s="76" t="s">
        <v>2417</v>
      </c>
      <c r="Q857" s="79">
        <v>54686940</v>
      </c>
      <c r="R857" s="63">
        <v>1</v>
      </c>
      <c r="S857" s="80">
        <f t="shared" si="88"/>
        <v>54686940</v>
      </c>
      <c r="T857" s="63" t="s">
        <v>1171</v>
      </c>
      <c r="U857" s="63" t="s">
        <v>1171</v>
      </c>
      <c r="V857" s="81" t="s">
        <v>1208</v>
      </c>
      <c r="W857" s="82" t="s">
        <v>439</v>
      </c>
      <c r="X857" s="63" t="s">
        <v>2418</v>
      </c>
      <c r="Y857" s="89">
        <v>43215</v>
      </c>
      <c r="Z857" s="86">
        <v>54686940</v>
      </c>
      <c r="AA857" s="84" t="s">
        <v>2415</v>
      </c>
      <c r="AB857" s="85">
        <v>810</v>
      </c>
      <c r="AC857" s="81">
        <v>43220</v>
      </c>
      <c r="AD857" s="86">
        <v>54686940</v>
      </c>
      <c r="AE857" s="87">
        <f t="shared" si="87"/>
        <v>0</v>
      </c>
      <c r="AF857" s="85">
        <v>2012</v>
      </c>
      <c r="AG857" s="81">
        <v>43263</v>
      </c>
      <c r="AH857" s="86">
        <v>54686940</v>
      </c>
      <c r="AI857" s="63" t="s">
        <v>2419</v>
      </c>
      <c r="AJ857" s="63">
        <v>2222</v>
      </c>
      <c r="AK857" s="87">
        <f t="shared" si="84"/>
        <v>0</v>
      </c>
      <c r="AL857" s="86">
        <v>54686940</v>
      </c>
      <c r="AM857" s="86">
        <f t="shared" si="85"/>
        <v>0</v>
      </c>
      <c r="AN857" s="63" t="s">
        <v>1155</v>
      </c>
      <c r="AO857" s="86">
        <f t="shared" si="86"/>
        <v>0</v>
      </c>
      <c r="AP857" s="63"/>
      <c r="AQ857" s="81">
        <v>43215</v>
      </c>
      <c r="AR857" s="63" t="s">
        <v>2109</v>
      </c>
      <c r="AS857" s="81">
        <v>43215</v>
      </c>
      <c r="AT857" s="63" t="s">
        <v>2417</v>
      </c>
      <c r="AU857" s="220"/>
      <c r="AV857" s="220"/>
      <c r="AW857" s="220"/>
    </row>
    <row r="858" spans="1:49" s="221" customFormat="1" ht="156.75" x14ac:dyDescent="0.25">
      <c r="A858" s="63">
        <v>444</v>
      </c>
      <c r="B858" s="63" t="str">
        <f t="shared" si="83"/>
        <v>3075-444</v>
      </c>
      <c r="C858" s="76" t="s">
        <v>1141</v>
      </c>
      <c r="D858" s="76" t="s">
        <v>1142</v>
      </c>
      <c r="E858" s="76" t="s">
        <v>1174</v>
      </c>
      <c r="F858" s="76" t="s">
        <v>1175</v>
      </c>
      <c r="G858" s="77" t="s">
        <v>1176</v>
      </c>
      <c r="H858" s="78" t="s">
        <v>1177</v>
      </c>
      <c r="I858" s="76" t="s">
        <v>1191</v>
      </c>
      <c r="J858" s="76" t="s">
        <v>1192</v>
      </c>
      <c r="K858" s="76" t="s">
        <v>439</v>
      </c>
      <c r="L858" s="63" t="s">
        <v>1149</v>
      </c>
      <c r="M858" s="63" t="s">
        <v>58</v>
      </c>
      <c r="N858" s="63" t="s">
        <v>59</v>
      </c>
      <c r="O858" s="76" t="s">
        <v>1169</v>
      </c>
      <c r="P858" s="76" t="s">
        <v>2420</v>
      </c>
      <c r="Q858" s="79">
        <v>4150000000</v>
      </c>
      <c r="R858" s="63">
        <v>1</v>
      </c>
      <c r="S858" s="80">
        <f>Q858*R858-4150000000</f>
        <v>0</v>
      </c>
      <c r="T858" s="63"/>
      <c r="U858" s="63"/>
      <c r="V858" s="81"/>
      <c r="W858" s="82"/>
      <c r="X858" s="90" t="s">
        <v>2421</v>
      </c>
      <c r="Y858" s="81">
        <v>43223</v>
      </c>
      <c r="Z858" s="83">
        <f>4150000000-4150000000</f>
        <v>0</v>
      </c>
      <c r="AA858" s="84" t="s">
        <v>2422</v>
      </c>
      <c r="AB858" s="85"/>
      <c r="AC858" s="81">
        <v>43223</v>
      </c>
      <c r="AD858" s="86">
        <v>0</v>
      </c>
      <c r="AE858" s="87">
        <f t="shared" si="87"/>
        <v>0</v>
      </c>
      <c r="AF858" s="85"/>
      <c r="AG858" s="81"/>
      <c r="AH858" s="86"/>
      <c r="AI858" s="63"/>
      <c r="AJ858" s="63"/>
      <c r="AK858" s="87">
        <f t="shared" si="84"/>
        <v>0</v>
      </c>
      <c r="AL858" s="86"/>
      <c r="AM858" s="86">
        <f t="shared" si="85"/>
        <v>0</v>
      </c>
      <c r="AN858" s="63" t="s">
        <v>1155</v>
      </c>
      <c r="AO858" s="86">
        <f t="shared" si="86"/>
        <v>0</v>
      </c>
      <c r="AP858" s="63" t="s">
        <v>2423</v>
      </c>
      <c r="AQ858" s="81">
        <v>43223</v>
      </c>
      <c r="AR858" s="63" t="s">
        <v>1157</v>
      </c>
      <c r="AS858" s="81">
        <v>43223</v>
      </c>
      <c r="AT858" s="63" t="s">
        <v>2424</v>
      </c>
      <c r="AU858" s="220"/>
      <c r="AV858" s="220"/>
      <c r="AW858" s="220"/>
    </row>
    <row r="859" spans="1:49" s="221" customFormat="1" ht="342" x14ac:dyDescent="0.25">
      <c r="A859" s="63">
        <v>445</v>
      </c>
      <c r="B859" s="63" t="str">
        <f t="shared" si="83"/>
        <v>3075-445</v>
      </c>
      <c r="C859" s="76" t="s">
        <v>1141</v>
      </c>
      <c r="D859" s="76" t="s">
        <v>1142</v>
      </c>
      <c r="E859" s="76" t="s">
        <v>1174</v>
      </c>
      <c r="F859" s="76" t="s">
        <v>1175</v>
      </c>
      <c r="G859" s="77" t="s">
        <v>1176</v>
      </c>
      <c r="H859" s="78" t="s">
        <v>2412</v>
      </c>
      <c r="I859" s="76" t="s">
        <v>1147</v>
      </c>
      <c r="J859" s="76" t="s">
        <v>1148</v>
      </c>
      <c r="K859" s="76" t="s">
        <v>439</v>
      </c>
      <c r="L859" s="63" t="s">
        <v>1149</v>
      </c>
      <c r="M859" s="63" t="s">
        <v>58</v>
      </c>
      <c r="N859" s="63" t="s">
        <v>59</v>
      </c>
      <c r="O859" s="76" t="s">
        <v>1169</v>
      </c>
      <c r="P859" s="76" t="s">
        <v>2425</v>
      </c>
      <c r="Q859" s="86">
        <v>54686940</v>
      </c>
      <c r="R859" s="63">
        <v>1</v>
      </c>
      <c r="S859" s="80">
        <f t="shared" ref="S859:S869" si="89">Q859*R859</f>
        <v>54686940</v>
      </c>
      <c r="T859" s="63" t="s">
        <v>1171</v>
      </c>
      <c r="U859" s="63" t="s">
        <v>1171</v>
      </c>
      <c r="V859" s="81" t="s">
        <v>1208</v>
      </c>
      <c r="W859" s="82" t="s">
        <v>439</v>
      </c>
      <c r="X859" s="90" t="s">
        <v>2426</v>
      </c>
      <c r="Y859" s="81">
        <v>43224</v>
      </c>
      <c r="Z859" s="83">
        <v>54686940</v>
      </c>
      <c r="AA859" s="84" t="s">
        <v>2427</v>
      </c>
      <c r="AB859" s="85">
        <v>817</v>
      </c>
      <c r="AC859" s="81">
        <v>43227</v>
      </c>
      <c r="AD859" s="86">
        <v>54686940</v>
      </c>
      <c r="AE859" s="87">
        <f t="shared" si="87"/>
        <v>0</v>
      </c>
      <c r="AF859" s="85">
        <v>2009</v>
      </c>
      <c r="AG859" s="81">
        <v>43263</v>
      </c>
      <c r="AH859" s="86">
        <v>54686940</v>
      </c>
      <c r="AI859" s="63" t="s">
        <v>2428</v>
      </c>
      <c r="AJ859" s="63">
        <v>2221</v>
      </c>
      <c r="AK859" s="87">
        <f t="shared" si="84"/>
        <v>0</v>
      </c>
      <c r="AL859" s="86">
        <v>54686940</v>
      </c>
      <c r="AM859" s="86">
        <f t="shared" si="85"/>
        <v>0</v>
      </c>
      <c r="AN859" s="63" t="s">
        <v>1155</v>
      </c>
      <c r="AO859" s="86">
        <f t="shared" si="86"/>
        <v>0</v>
      </c>
      <c r="AP859" s="63"/>
      <c r="AQ859" s="81">
        <v>43224</v>
      </c>
      <c r="AR859" s="63" t="s">
        <v>2109</v>
      </c>
      <c r="AS859" s="81">
        <v>43224</v>
      </c>
      <c r="AT859" s="63" t="s">
        <v>2425</v>
      </c>
      <c r="AU859" s="220"/>
      <c r="AV859" s="220"/>
      <c r="AW859" s="220"/>
    </row>
    <row r="860" spans="1:49" s="221" customFormat="1" ht="384.75" x14ac:dyDescent="0.25">
      <c r="A860" s="63">
        <v>446</v>
      </c>
      <c r="B860" s="63" t="str">
        <f t="shared" si="83"/>
        <v>3075-446</v>
      </c>
      <c r="C860" s="76" t="s">
        <v>1141</v>
      </c>
      <c r="D860" s="76" t="s">
        <v>1142</v>
      </c>
      <c r="E860" s="76" t="s">
        <v>1174</v>
      </c>
      <c r="F860" s="76" t="s">
        <v>1175</v>
      </c>
      <c r="G860" s="77" t="s">
        <v>1176</v>
      </c>
      <c r="H860" s="78" t="s">
        <v>1177</v>
      </c>
      <c r="I860" s="76" t="s">
        <v>1147</v>
      </c>
      <c r="J860" s="76" t="s">
        <v>1182</v>
      </c>
      <c r="K860" s="76" t="s">
        <v>439</v>
      </c>
      <c r="L860" s="63" t="s">
        <v>1149</v>
      </c>
      <c r="M860" s="63" t="s">
        <v>58</v>
      </c>
      <c r="N860" s="63" t="s">
        <v>59</v>
      </c>
      <c r="O860" s="76" t="s">
        <v>1169</v>
      </c>
      <c r="P860" s="76" t="s">
        <v>2429</v>
      </c>
      <c r="Q860" s="86">
        <v>39062100</v>
      </c>
      <c r="R860" s="63">
        <v>1</v>
      </c>
      <c r="S860" s="80">
        <f t="shared" si="89"/>
        <v>39062100</v>
      </c>
      <c r="T860" s="63" t="s">
        <v>1171</v>
      </c>
      <c r="U860" s="63" t="s">
        <v>1171</v>
      </c>
      <c r="V860" s="81" t="s">
        <v>1208</v>
      </c>
      <c r="W860" s="82" t="s">
        <v>439</v>
      </c>
      <c r="X860" s="90" t="s">
        <v>2430</v>
      </c>
      <c r="Y860" s="81">
        <v>43224</v>
      </c>
      <c r="Z860" s="83">
        <v>39062100</v>
      </c>
      <c r="AA860" s="84" t="s">
        <v>2431</v>
      </c>
      <c r="AB860" s="85">
        <v>816</v>
      </c>
      <c r="AC860" s="81">
        <v>43227</v>
      </c>
      <c r="AD860" s="86">
        <v>39062100</v>
      </c>
      <c r="AE860" s="87">
        <f t="shared" si="87"/>
        <v>0</v>
      </c>
      <c r="AF860" s="85">
        <v>2221</v>
      </c>
      <c r="AG860" s="81">
        <v>43277</v>
      </c>
      <c r="AH860" s="86">
        <v>39062100</v>
      </c>
      <c r="AI860" s="63" t="s">
        <v>2432</v>
      </c>
      <c r="AJ860" s="63">
        <v>2425</v>
      </c>
      <c r="AK860" s="87">
        <f t="shared" si="84"/>
        <v>0</v>
      </c>
      <c r="AL860" s="86">
        <v>0</v>
      </c>
      <c r="AM860" s="86">
        <f t="shared" si="85"/>
        <v>39062100</v>
      </c>
      <c r="AN860" s="63" t="s">
        <v>1155</v>
      </c>
      <c r="AO860" s="86">
        <f t="shared" si="86"/>
        <v>0</v>
      </c>
      <c r="AP860" s="63"/>
      <c r="AQ860" s="81">
        <v>43224</v>
      </c>
      <c r="AR860" s="63" t="s">
        <v>2109</v>
      </c>
      <c r="AS860" s="81">
        <v>43224</v>
      </c>
      <c r="AT860" s="63" t="s">
        <v>2429</v>
      </c>
      <c r="AU860" s="220"/>
      <c r="AV860" s="220"/>
      <c r="AW860" s="220"/>
    </row>
    <row r="861" spans="1:49" s="221" customFormat="1" ht="342" x14ac:dyDescent="0.25">
      <c r="A861" s="63">
        <v>447</v>
      </c>
      <c r="B861" s="63" t="str">
        <f t="shared" si="83"/>
        <v>3075-447</v>
      </c>
      <c r="C861" s="76" t="s">
        <v>1141</v>
      </c>
      <c r="D861" s="76" t="s">
        <v>1142</v>
      </c>
      <c r="E861" s="76" t="s">
        <v>1424</v>
      </c>
      <c r="F861" s="76" t="s">
        <v>1175</v>
      </c>
      <c r="G861" s="77" t="s">
        <v>1176</v>
      </c>
      <c r="H861" s="78" t="s">
        <v>1425</v>
      </c>
      <c r="I861" s="76" t="s">
        <v>1147</v>
      </c>
      <c r="J861" s="76" t="s">
        <v>1148</v>
      </c>
      <c r="K861" s="76"/>
      <c r="L861" s="63" t="s">
        <v>1149</v>
      </c>
      <c r="M861" s="63" t="s">
        <v>58</v>
      </c>
      <c r="N861" s="63" t="s">
        <v>59</v>
      </c>
      <c r="O861" s="76" t="s">
        <v>1213</v>
      </c>
      <c r="P861" s="63" t="s">
        <v>2433</v>
      </c>
      <c r="Q861" s="83">
        <v>54686940</v>
      </c>
      <c r="R861" s="98">
        <v>1</v>
      </c>
      <c r="S861" s="80">
        <f t="shared" si="89"/>
        <v>54686940</v>
      </c>
      <c r="T861" s="63" t="s">
        <v>1171</v>
      </c>
      <c r="U861" s="63" t="s">
        <v>1163</v>
      </c>
      <c r="V861" s="81" t="s">
        <v>1208</v>
      </c>
      <c r="W861" s="82">
        <v>4.2501720000000001</v>
      </c>
      <c r="X861" s="99" t="s">
        <v>2434</v>
      </c>
      <c r="Y861" s="81">
        <v>43237</v>
      </c>
      <c r="Z861" s="83">
        <v>54686940</v>
      </c>
      <c r="AA861" s="84" t="s">
        <v>2435</v>
      </c>
      <c r="AB861" s="85">
        <v>835</v>
      </c>
      <c r="AC861" s="81">
        <v>43238</v>
      </c>
      <c r="AD861" s="86">
        <v>54686940</v>
      </c>
      <c r="AE861" s="87">
        <f t="shared" si="87"/>
        <v>0</v>
      </c>
      <c r="AF861" s="85">
        <v>1992</v>
      </c>
      <c r="AG861" s="81">
        <v>43256</v>
      </c>
      <c r="AH861" s="86">
        <v>54686940</v>
      </c>
      <c r="AI861" s="63" t="s">
        <v>2436</v>
      </c>
      <c r="AJ861" s="63">
        <v>2196</v>
      </c>
      <c r="AK861" s="87">
        <f t="shared" si="84"/>
        <v>0</v>
      </c>
      <c r="AL861" s="86">
        <v>54686940</v>
      </c>
      <c r="AM861" s="86">
        <f t="shared" si="85"/>
        <v>0</v>
      </c>
      <c r="AN861" s="63" t="s">
        <v>1155</v>
      </c>
      <c r="AO861" s="86">
        <f t="shared" si="86"/>
        <v>0</v>
      </c>
      <c r="AP861" s="63"/>
      <c r="AQ861" s="81">
        <v>43236</v>
      </c>
      <c r="AR861" s="63" t="s">
        <v>2109</v>
      </c>
      <c r="AS861" s="81">
        <v>43237</v>
      </c>
      <c r="AT861" s="63"/>
      <c r="AU861" s="220"/>
      <c r="AV861" s="220"/>
      <c r="AW861" s="220"/>
    </row>
    <row r="862" spans="1:49" s="221" customFormat="1" ht="342" x14ac:dyDescent="0.25">
      <c r="A862" s="63">
        <v>448</v>
      </c>
      <c r="B862" s="63" t="str">
        <f t="shared" si="83"/>
        <v>3075-448</v>
      </c>
      <c r="C862" s="76" t="s">
        <v>1141</v>
      </c>
      <c r="D862" s="76" t="s">
        <v>1142</v>
      </c>
      <c r="E862" s="76" t="s">
        <v>1424</v>
      </c>
      <c r="F862" s="76" t="s">
        <v>1175</v>
      </c>
      <c r="G862" s="77" t="s">
        <v>1176</v>
      </c>
      <c r="H862" s="78" t="s">
        <v>1425</v>
      </c>
      <c r="I862" s="76" t="s">
        <v>1147</v>
      </c>
      <c r="J862" s="76" t="s">
        <v>1148</v>
      </c>
      <c r="K862" s="76"/>
      <c r="L862" s="63" t="s">
        <v>1149</v>
      </c>
      <c r="M862" s="63" t="s">
        <v>58</v>
      </c>
      <c r="N862" s="63" t="s">
        <v>59</v>
      </c>
      <c r="O862" s="76" t="s">
        <v>1213</v>
      </c>
      <c r="P862" s="63" t="s">
        <v>2437</v>
      </c>
      <c r="Q862" s="83">
        <v>54686940</v>
      </c>
      <c r="R862" s="98">
        <v>1</v>
      </c>
      <c r="S862" s="80">
        <f t="shared" si="89"/>
        <v>54686940</v>
      </c>
      <c r="T862" s="63" t="s">
        <v>1171</v>
      </c>
      <c r="U862" s="63" t="s">
        <v>1163</v>
      </c>
      <c r="V862" s="81" t="s">
        <v>1208</v>
      </c>
      <c r="W862" s="82">
        <v>4</v>
      </c>
      <c r="X862" s="79" t="s">
        <v>2438</v>
      </c>
      <c r="Y862" s="81">
        <v>43237</v>
      </c>
      <c r="Z862" s="83">
        <v>54686940</v>
      </c>
      <c r="AA862" s="84" t="s">
        <v>1429</v>
      </c>
      <c r="AB862" s="85">
        <v>836</v>
      </c>
      <c r="AC862" s="81">
        <v>43238</v>
      </c>
      <c r="AD862" s="86">
        <v>54686940</v>
      </c>
      <c r="AE862" s="87">
        <f t="shared" si="87"/>
        <v>0</v>
      </c>
      <c r="AF862" s="85">
        <v>2036</v>
      </c>
      <c r="AG862" s="81">
        <v>43270</v>
      </c>
      <c r="AH862" s="86">
        <v>54686940</v>
      </c>
      <c r="AI862" s="63" t="s">
        <v>2439</v>
      </c>
      <c r="AJ862" s="63">
        <v>2299</v>
      </c>
      <c r="AK862" s="87">
        <f t="shared" si="84"/>
        <v>0</v>
      </c>
      <c r="AL862" s="86">
        <v>54686940</v>
      </c>
      <c r="AM862" s="86">
        <f t="shared" si="85"/>
        <v>0</v>
      </c>
      <c r="AN862" s="63" t="s">
        <v>1155</v>
      </c>
      <c r="AO862" s="86">
        <f t="shared" si="86"/>
        <v>0</v>
      </c>
      <c r="AP862" s="63"/>
      <c r="AQ862" s="81">
        <v>43236</v>
      </c>
      <c r="AR862" s="63" t="s">
        <v>2109</v>
      </c>
      <c r="AS862" s="81">
        <v>43237</v>
      </c>
      <c r="AT862" s="63"/>
      <c r="AU862" s="220"/>
      <c r="AV862" s="220"/>
      <c r="AW862" s="220"/>
    </row>
    <row r="863" spans="1:49" s="221" customFormat="1" ht="384.75" x14ac:dyDescent="0.25">
      <c r="A863" s="63">
        <v>449</v>
      </c>
      <c r="B863" s="63" t="str">
        <f t="shared" ref="B863:B926" si="90">CONCATENATE("3075","-",A863)</f>
        <v>3075-449</v>
      </c>
      <c r="C863" s="76" t="s">
        <v>1141</v>
      </c>
      <c r="D863" s="76" t="s">
        <v>1142</v>
      </c>
      <c r="E863" s="76" t="s">
        <v>1174</v>
      </c>
      <c r="F863" s="76" t="s">
        <v>1175</v>
      </c>
      <c r="G863" s="77" t="s">
        <v>1176</v>
      </c>
      <c r="H863" s="78" t="s">
        <v>1177</v>
      </c>
      <c r="I863" s="76" t="s">
        <v>1147</v>
      </c>
      <c r="J863" s="76" t="s">
        <v>1182</v>
      </c>
      <c r="K863" s="76" t="s">
        <v>439</v>
      </c>
      <c r="L863" s="63" t="s">
        <v>1149</v>
      </c>
      <c r="M863" s="63" t="s">
        <v>58</v>
      </c>
      <c r="N863" s="63" t="s">
        <v>59</v>
      </c>
      <c r="O863" s="76" t="s">
        <v>1169</v>
      </c>
      <c r="P863" s="76" t="s">
        <v>2440</v>
      </c>
      <c r="Q863" s="86">
        <v>39062100</v>
      </c>
      <c r="R863" s="63">
        <v>1</v>
      </c>
      <c r="S863" s="80">
        <f t="shared" si="89"/>
        <v>39062100</v>
      </c>
      <c r="T863" s="63" t="s">
        <v>1171</v>
      </c>
      <c r="U863" s="63" t="s">
        <v>1171</v>
      </c>
      <c r="V863" s="81" t="s">
        <v>1208</v>
      </c>
      <c r="W863" s="82" t="s">
        <v>439</v>
      </c>
      <c r="X863" s="63" t="s">
        <v>2441</v>
      </c>
      <c r="Y863" s="89">
        <v>43237</v>
      </c>
      <c r="Z863" s="83">
        <v>39062100</v>
      </c>
      <c r="AA863" s="84" t="s">
        <v>2442</v>
      </c>
      <c r="AB863" s="85">
        <v>838</v>
      </c>
      <c r="AC863" s="81">
        <v>43238</v>
      </c>
      <c r="AD863" s="86">
        <v>39062100</v>
      </c>
      <c r="AE863" s="87">
        <f t="shared" si="87"/>
        <v>0</v>
      </c>
      <c r="AF863" s="85">
        <v>2400</v>
      </c>
      <c r="AG863" s="81">
        <v>43280</v>
      </c>
      <c r="AH863" s="86">
        <v>39062100</v>
      </c>
      <c r="AI863" s="63" t="s">
        <v>2443</v>
      </c>
      <c r="AJ863" s="63">
        <v>2772</v>
      </c>
      <c r="AK863" s="87">
        <f t="shared" ref="AK863:AK926" si="91">AD863-AH863</f>
        <v>0</v>
      </c>
      <c r="AL863" s="86">
        <v>0</v>
      </c>
      <c r="AM863" s="86">
        <f t="shared" ref="AM863:AM926" si="92">AH863-AL863</f>
        <v>39062100</v>
      </c>
      <c r="AN863" s="63" t="s">
        <v>1155</v>
      </c>
      <c r="AO863" s="86">
        <f t="shared" ref="AO863:AO926" si="93">S863-AH863</f>
        <v>0</v>
      </c>
      <c r="AP863" s="63"/>
      <c r="AQ863" s="81">
        <v>43237</v>
      </c>
      <c r="AR863" s="63" t="s">
        <v>2109</v>
      </c>
      <c r="AS863" s="81">
        <v>43237</v>
      </c>
      <c r="AT863" s="63" t="s">
        <v>2440</v>
      </c>
      <c r="AU863" s="220"/>
      <c r="AV863" s="220"/>
      <c r="AW863" s="220"/>
    </row>
    <row r="864" spans="1:49" s="221" customFormat="1" ht="285" x14ac:dyDescent="0.25">
      <c r="A864" s="63">
        <v>450</v>
      </c>
      <c r="B864" s="63" t="str">
        <f t="shared" si="90"/>
        <v>3075-450</v>
      </c>
      <c r="C864" s="76" t="s">
        <v>1141</v>
      </c>
      <c r="D864" s="76" t="s">
        <v>1142</v>
      </c>
      <c r="E864" s="76" t="s">
        <v>1174</v>
      </c>
      <c r="F864" s="76" t="s">
        <v>1175</v>
      </c>
      <c r="G864" s="77" t="s">
        <v>1176</v>
      </c>
      <c r="H864" s="78" t="s">
        <v>1177</v>
      </c>
      <c r="I864" s="76" t="s">
        <v>1147</v>
      </c>
      <c r="J864" s="76" t="s">
        <v>1182</v>
      </c>
      <c r="K864" s="76" t="s">
        <v>439</v>
      </c>
      <c r="L864" s="63" t="s">
        <v>1149</v>
      </c>
      <c r="M864" s="63" t="s">
        <v>58</v>
      </c>
      <c r="N864" s="63" t="s">
        <v>59</v>
      </c>
      <c r="O864" s="76" t="s">
        <v>1169</v>
      </c>
      <c r="P864" s="76" t="s">
        <v>2444</v>
      </c>
      <c r="Q864" s="86">
        <v>39062100</v>
      </c>
      <c r="R864" s="63">
        <v>1</v>
      </c>
      <c r="S864" s="80">
        <f t="shared" si="89"/>
        <v>39062100</v>
      </c>
      <c r="T864" s="63"/>
      <c r="U864" s="63" t="s">
        <v>1171</v>
      </c>
      <c r="V864" s="81" t="s">
        <v>1164</v>
      </c>
      <c r="W864" s="82" t="s">
        <v>439</v>
      </c>
      <c r="X864" s="63" t="s">
        <v>2445</v>
      </c>
      <c r="Y864" s="89">
        <v>43237</v>
      </c>
      <c r="Z864" s="83">
        <f>39062100-39062100</f>
        <v>0</v>
      </c>
      <c r="AA864" s="84" t="s">
        <v>2442</v>
      </c>
      <c r="AB864" s="85" t="s">
        <v>2446</v>
      </c>
      <c r="AC864" s="81">
        <v>43238</v>
      </c>
      <c r="AD864" s="86">
        <v>0</v>
      </c>
      <c r="AE864" s="87">
        <f t="shared" si="87"/>
        <v>39062100</v>
      </c>
      <c r="AF864" s="85"/>
      <c r="AG864" s="81"/>
      <c r="AH864" s="86"/>
      <c r="AI864" s="63"/>
      <c r="AJ864" s="63"/>
      <c r="AK864" s="87">
        <f t="shared" si="91"/>
        <v>0</v>
      </c>
      <c r="AL864" s="86"/>
      <c r="AM864" s="86">
        <f t="shared" si="92"/>
        <v>0</v>
      </c>
      <c r="AN864" s="63" t="s">
        <v>1155</v>
      </c>
      <c r="AO864" s="86">
        <f t="shared" si="93"/>
        <v>39062100</v>
      </c>
      <c r="AP864" s="63"/>
      <c r="AQ864" s="81">
        <v>43237</v>
      </c>
      <c r="AR864" s="63" t="s">
        <v>2109</v>
      </c>
      <c r="AS864" s="81">
        <v>43237</v>
      </c>
      <c r="AT864" s="63"/>
      <c r="AU864" s="220"/>
      <c r="AV864" s="220"/>
      <c r="AW864" s="220"/>
    </row>
    <row r="865" spans="1:49" s="221" customFormat="1" ht="384.75" x14ac:dyDescent="0.25">
      <c r="A865" s="63">
        <v>451</v>
      </c>
      <c r="B865" s="63" t="str">
        <f t="shared" si="90"/>
        <v>3075-451</v>
      </c>
      <c r="C865" s="76" t="s">
        <v>1141</v>
      </c>
      <c r="D865" s="76" t="s">
        <v>1142</v>
      </c>
      <c r="E865" s="76" t="s">
        <v>1174</v>
      </c>
      <c r="F865" s="76" t="s">
        <v>1175</v>
      </c>
      <c r="G865" s="77" t="s">
        <v>1176</v>
      </c>
      <c r="H865" s="78" t="s">
        <v>1177</v>
      </c>
      <c r="I865" s="76" t="s">
        <v>1147</v>
      </c>
      <c r="J865" s="76" t="s">
        <v>1182</v>
      </c>
      <c r="K865" s="76" t="s">
        <v>439</v>
      </c>
      <c r="L865" s="63" t="s">
        <v>1149</v>
      </c>
      <c r="M865" s="63" t="s">
        <v>58</v>
      </c>
      <c r="N865" s="63" t="s">
        <v>59</v>
      </c>
      <c r="O865" s="76" t="s">
        <v>1169</v>
      </c>
      <c r="P865" s="76" t="s">
        <v>2447</v>
      </c>
      <c r="Q865" s="86">
        <v>39062100</v>
      </c>
      <c r="R865" s="63">
        <v>1</v>
      </c>
      <c r="S865" s="80">
        <f t="shared" si="89"/>
        <v>39062100</v>
      </c>
      <c r="T865" s="63" t="s">
        <v>1171</v>
      </c>
      <c r="U865" s="63" t="s">
        <v>1171</v>
      </c>
      <c r="V865" s="81" t="s">
        <v>1208</v>
      </c>
      <c r="W865" s="82" t="s">
        <v>439</v>
      </c>
      <c r="X865" s="63" t="s">
        <v>2448</v>
      </c>
      <c r="Y865" s="89">
        <v>43237</v>
      </c>
      <c r="Z865" s="83">
        <v>39062100</v>
      </c>
      <c r="AA865" s="84" t="s">
        <v>2449</v>
      </c>
      <c r="AB865" s="85">
        <v>841</v>
      </c>
      <c r="AC865" s="81">
        <v>43238</v>
      </c>
      <c r="AD865" s="86">
        <v>39062100</v>
      </c>
      <c r="AE865" s="87">
        <f t="shared" si="87"/>
        <v>0</v>
      </c>
      <c r="AF865" s="85">
        <v>2402</v>
      </c>
      <c r="AG865" s="81">
        <v>43280</v>
      </c>
      <c r="AH865" s="86">
        <v>39062100</v>
      </c>
      <c r="AI865" s="63" t="s">
        <v>2450</v>
      </c>
      <c r="AJ865" s="63">
        <v>2773</v>
      </c>
      <c r="AK865" s="87">
        <f t="shared" si="91"/>
        <v>0</v>
      </c>
      <c r="AL865" s="86">
        <v>0</v>
      </c>
      <c r="AM865" s="86">
        <f t="shared" si="92"/>
        <v>39062100</v>
      </c>
      <c r="AN865" s="63" t="s">
        <v>1155</v>
      </c>
      <c r="AO865" s="86">
        <f t="shared" si="93"/>
        <v>0</v>
      </c>
      <c r="AP865" s="63"/>
      <c r="AQ865" s="81">
        <v>43237</v>
      </c>
      <c r="AR865" s="63" t="s">
        <v>2109</v>
      </c>
      <c r="AS865" s="81">
        <v>43237</v>
      </c>
      <c r="AT865" s="63" t="s">
        <v>2447</v>
      </c>
      <c r="AU865" s="220"/>
      <c r="AV865" s="220"/>
      <c r="AW865" s="220"/>
    </row>
    <row r="866" spans="1:49" s="221" customFormat="1" ht="384.75" x14ac:dyDescent="0.25">
      <c r="A866" s="63">
        <v>452</v>
      </c>
      <c r="B866" s="63" t="str">
        <f t="shared" si="90"/>
        <v>3075-452</v>
      </c>
      <c r="C866" s="76" t="s">
        <v>1141</v>
      </c>
      <c r="D866" s="76" t="s">
        <v>1142</v>
      </c>
      <c r="E866" s="76" t="s">
        <v>1174</v>
      </c>
      <c r="F866" s="76" t="s">
        <v>1175</v>
      </c>
      <c r="G866" s="77" t="s">
        <v>1176</v>
      </c>
      <c r="H866" s="78" t="s">
        <v>1177</v>
      </c>
      <c r="I866" s="76" t="s">
        <v>1147</v>
      </c>
      <c r="J866" s="76" t="s">
        <v>1182</v>
      </c>
      <c r="K866" s="76" t="s">
        <v>439</v>
      </c>
      <c r="L866" s="63" t="s">
        <v>1149</v>
      </c>
      <c r="M866" s="63" t="s">
        <v>58</v>
      </c>
      <c r="N866" s="63" t="s">
        <v>59</v>
      </c>
      <c r="O866" s="76" t="s">
        <v>1169</v>
      </c>
      <c r="P866" s="76" t="s">
        <v>2451</v>
      </c>
      <c r="Q866" s="79">
        <v>39062100</v>
      </c>
      <c r="R866" s="63">
        <v>1</v>
      </c>
      <c r="S866" s="80">
        <f t="shared" si="89"/>
        <v>39062100</v>
      </c>
      <c r="T866" s="63" t="s">
        <v>1171</v>
      </c>
      <c r="U866" s="63" t="s">
        <v>1171</v>
      </c>
      <c r="V866" s="81" t="s">
        <v>1208</v>
      </c>
      <c r="W866" s="82" t="s">
        <v>439</v>
      </c>
      <c r="X866" s="63" t="s">
        <v>2452</v>
      </c>
      <c r="Y866" s="89">
        <v>43237</v>
      </c>
      <c r="Z866" s="83">
        <v>39062100</v>
      </c>
      <c r="AA866" s="84" t="s">
        <v>2453</v>
      </c>
      <c r="AB866" s="85">
        <v>842</v>
      </c>
      <c r="AC866" s="81">
        <v>43238</v>
      </c>
      <c r="AD866" s="86">
        <v>39062100</v>
      </c>
      <c r="AE866" s="87">
        <f t="shared" si="87"/>
        <v>0</v>
      </c>
      <c r="AF866" s="85">
        <v>2047</v>
      </c>
      <c r="AG866" s="81">
        <v>43271</v>
      </c>
      <c r="AH866" s="86">
        <v>39062100</v>
      </c>
      <c r="AI866" s="63" t="s">
        <v>2454</v>
      </c>
      <c r="AJ866" s="63">
        <v>2236</v>
      </c>
      <c r="AK866" s="87">
        <f t="shared" si="91"/>
        <v>0</v>
      </c>
      <c r="AL866" s="86">
        <v>0</v>
      </c>
      <c r="AM866" s="86">
        <f t="shared" si="92"/>
        <v>39062100</v>
      </c>
      <c r="AN866" s="63" t="s">
        <v>1155</v>
      </c>
      <c r="AO866" s="86">
        <f t="shared" si="93"/>
        <v>0</v>
      </c>
      <c r="AP866" s="63"/>
      <c r="AQ866" s="81">
        <v>43237</v>
      </c>
      <c r="AR866" s="63" t="s">
        <v>2109</v>
      </c>
      <c r="AS866" s="81">
        <v>43237</v>
      </c>
      <c r="AT866" s="63" t="s">
        <v>2451</v>
      </c>
      <c r="AU866" s="220"/>
      <c r="AV866" s="220"/>
      <c r="AW866" s="220"/>
    </row>
    <row r="867" spans="1:49" s="221" customFormat="1" ht="384.75" x14ac:dyDescent="0.25">
      <c r="A867" s="63">
        <v>453</v>
      </c>
      <c r="B867" s="63" t="str">
        <f t="shared" si="90"/>
        <v>3075-453</v>
      </c>
      <c r="C867" s="76" t="s">
        <v>1141</v>
      </c>
      <c r="D867" s="76" t="s">
        <v>1142</v>
      </c>
      <c r="E867" s="76" t="s">
        <v>1174</v>
      </c>
      <c r="F867" s="76" t="s">
        <v>1175</v>
      </c>
      <c r="G867" s="77" t="s">
        <v>1176</v>
      </c>
      <c r="H867" s="78" t="s">
        <v>1177</v>
      </c>
      <c r="I867" s="76" t="s">
        <v>1147</v>
      </c>
      <c r="J867" s="76" t="s">
        <v>1182</v>
      </c>
      <c r="K867" s="76" t="s">
        <v>439</v>
      </c>
      <c r="L867" s="63" t="s">
        <v>1149</v>
      </c>
      <c r="M867" s="63" t="s">
        <v>58</v>
      </c>
      <c r="N867" s="63" t="s">
        <v>59</v>
      </c>
      <c r="O867" s="76" t="s">
        <v>1169</v>
      </c>
      <c r="P867" s="76" t="s">
        <v>2455</v>
      </c>
      <c r="Q867" s="79">
        <v>39062100</v>
      </c>
      <c r="R867" s="63">
        <v>1</v>
      </c>
      <c r="S867" s="80">
        <f t="shared" si="89"/>
        <v>39062100</v>
      </c>
      <c r="T867" s="63" t="s">
        <v>1171</v>
      </c>
      <c r="U867" s="63" t="s">
        <v>1171</v>
      </c>
      <c r="V867" s="81" t="s">
        <v>1208</v>
      </c>
      <c r="W867" s="82" t="s">
        <v>439</v>
      </c>
      <c r="X867" s="63" t="s">
        <v>2456</v>
      </c>
      <c r="Y867" s="89">
        <v>43237</v>
      </c>
      <c r="Z867" s="83">
        <v>39062100</v>
      </c>
      <c r="AA867" s="84" t="s">
        <v>2453</v>
      </c>
      <c r="AB867" s="85">
        <v>843</v>
      </c>
      <c r="AC867" s="81">
        <v>43238</v>
      </c>
      <c r="AD867" s="86">
        <v>39062100</v>
      </c>
      <c r="AE867" s="87">
        <f t="shared" si="87"/>
        <v>0</v>
      </c>
      <c r="AF867" s="85">
        <v>2148</v>
      </c>
      <c r="AG867" s="81">
        <v>43277</v>
      </c>
      <c r="AH867" s="86">
        <v>39062100</v>
      </c>
      <c r="AI867" s="63" t="s">
        <v>2457</v>
      </c>
      <c r="AJ867" s="63">
        <v>2426</v>
      </c>
      <c r="AK867" s="87">
        <f t="shared" si="91"/>
        <v>0</v>
      </c>
      <c r="AL867" s="86">
        <v>0</v>
      </c>
      <c r="AM867" s="86">
        <f t="shared" si="92"/>
        <v>39062100</v>
      </c>
      <c r="AN867" s="63" t="s">
        <v>1155</v>
      </c>
      <c r="AO867" s="86">
        <f t="shared" si="93"/>
        <v>0</v>
      </c>
      <c r="AP867" s="63"/>
      <c r="AQ867" s="81">
        <v>43237</v>
      </c>
      <c r="AR867" s="63" t="s">
        <v>2109</v>
      </c>
      <c r="AS867" s="81">
        <v>43237</v>
      </c>
      <c r="AT867" s="63" t="s">
        <v>2455</v>
      </c>
      <c r="AU867" s="220"/>
      <c r="AV867" s="220"/>
      <c r="AW867" s="220"/>
    </row>
    <row r="868" spans="1:49" s="221" customFormat="1" ht="228" x14ac:dyDescent="0.25">
      <c r="A868" s="63">
        <v>454</v>
      </c>
      <c r="B868" s="63" t="str">
        <f t="shared" si="90"/>
        <v>3075-454</v>
      </c>
      <c r="C868" s="76" t="s">
        <v>1141</v>
      </c>
      <c r="D868" s="76" t="s">
        <v>1142</v>
      </c>
      <c r="E868" s="76" t="s">
        <v>1174</v>
      </c>
      <c r="F868" s="76" t="s">
        <v>1175</v>
      </c>
      <c r="G868" s="77" t="s">
        <v>1176</v>
      </c>
      <c r="H868" s="78" t="s">
        <v>1177</v>
      </c>
      <c r="I868" s="76" t="s">
        <v>1147</v>
      </c>
      <c r="J868" s="76" t="s">
        <v>1182</v>
      </c>
      <c r="K868" s="76" t="s">
        <v>439</v>
      </c>
      <c r="L868" s="63" t="s">
        <v>1149</v>
      </c>
      <c r="M868" s="63" t="s">
        <v>58</v>
      </c>
      <c r="N868" s="63" t="s">
        <v>59</v>
      </c>
      <c r="O868" s="76" t="s">
        <v>1169</v>
      </c>
      <c r="P868" s="76" t="s">
        <v>2458</v>
      </c>
      <c r="Q868" s="79">
        <v>39062100</v>
      </c>
      <c r="R868" s="63">
        <v>1</v>
      </c>
      <c r="S868" s="80">
        <f t="shared" si="89"/>
        <v>39062100</v>
      </c>
      <c r="T868" s="63" t="s">
        <v>1171</v>
      </c>
      <c r="U868" s="63" t="s">
        <v>1171</v>
      </c>
      <c r="V868" s="81" t="s">
        <v>844</v>
      </c>
      <c r="W868" s="82" t="s">
        <v>439</v>
      </c>
      <c r="X868" s="63" t="s">
        <v>2459</v>
      </c>
      <c r="Y868" s="89">
        <v>43237</v>
      </c>
      <c r="Z868" s="83">
        <v>39062100</v>
      </c>
      <c r="AA868" s="84" t="s">
        <v>2453</v>
      </c>
      <c r="AB868" s="85">
        <v>844</v>
      </c>
      <c r="AC868" s="81">
        <v>43238</v>
      </c>
      <c r="AD868" s="86">
        <v>39062100</v>
      </c>
      <c r="AE868" s="87">
        <f t="shared" si="87"/>
        <v>0</v>
      </c>
      <c r="AF868" s="85">
        <v>2454</v>
      </c>
      <c r="AG868" s="81">
        <v>43287</v>
      </c>
      <c r="AH868" s="86">
        <v>39062100</v>
      </c>
      <c r="AI868" s="63" t="s">
        <v>2460</v>
      </c>
      <c r="AJ868" s="63">
        <v>2831</v>
      </c>
      <c r="AK868" s="87">
        <f t="shared" si="91"/>
        <v>0</v>
      </c>
      <c r="AL868" s="86">
        <v>0</v>
      </c>
      <c r="AM868" s="86">
        <f t="shared" si="92"/>
        <v>39062100</v>
      </c>
      <c r="AN868" s="63" t="s">
        <v>1155</v>
      </c>
      <c r="AO868" s="86">
        <f t="shared" si="93"/>
        <v>0</v>
      </c>
      <c r="AP868" s="63"/>
      <c r="AQ868" s="81">
        <v>43237</v>
      </c>
      <c r="AR868" s="63" t="s">
        <v>2109</v>
      </c>
      <c r="AS868" s="81">
        <v>43237</v>
      </c>
      <c r="AT868" s="63" t="s">
        <v>2458</v>
      </c>
      <c r="AU868" s="220"/>
      <c r="AV868" s="220"/>
      <c r="AW868" s="220"/>
    </row>
    <row r="869" spans="1:49" s="221" customFormat="1" ht="213.75" x14ac:dyDescent="0.25">
      <c r="A869" s="63">
        <v>455</v>
      </c>
      <c r="B869" s="63" t="str">
        <f t="shared" si="90"/>
        <v>3075-455</v>
      </c>
      <c r="C869" s="76" t="s">
        <v>1141</v>
      </c>
      <c r="D869" s="76" t="s">
        <v>1142</v>
      </c>
      <c r="E869" s="76" t="s">
        <v>1174</v>
      </c>
      <c r="F869" s="76" t="s">
        <v>1175</v>
      </c>
      <c r="G869" s="77" t="s">
        <v>1176</v>
      </c>
      <c r="H869" s="78" t="s">
        <v>1177</v>
      </c>
      <c r="I869" s="76" t="s">
        <v>1147</v>
      </c>
      <c r="J869" s="76" t="s">
        <v>1182</v>
      </c>
      <c r="K869" s="76" t="s">
        <v>439</v>
      </c>
      <c r="L869" s="63" t="s">
        <v>1149</v>
      </c>
      <c r="M869" s="63" t="s">
        <v>58</v>
      </c>
      <c r="N869" s="63" t="s">
        <v>59</v>
      </c>
      <c r="O869" s="76" t="s">
        <v>1169</v>
      </c>
      <c r="P869" s="76" t="s">
        <v>2461</v>
      </c>
      <c r="Q869" s="79">
        <v>39062100</v>
      </c>
      <c r="R869" s="63">
        <v>1</v>
      </c>
      <c r="S869" s="80">
        <f t="shared" si="89"/>
        <v>39062100</v>
      </c>
      <c r="T869" s="63" t="s">
        <v>1171</v>
      </c>
      <c r="U869" s="63" t="s">
        <v>1171</v>
      </c>
      <c r="V869" s="81" t="s">
        <v>844</v>
      </c>
      <c r="W869" s="82" t="s">
        <v>439</v>
      </c>
      <c r="X869" s="63" t="s">
        <v>2462</v>
      </c>
      <c r="Y869" s="89">
        <v>43237</v>
      </c>
      <c r="Z869" s="83">
        <v>39062100</v>
      </c>
      <c r="AA869" s="84" t="s">
        <v>2453</v>
      </c>
      <c r="AB869" s="85">
        <v>845</v>
      </c>
      <c r="AC869" s="81">
        <v>43238</v>
      </c>
      <c r="AD869" s="86">
        <v>39062100</v>
      </c>
      <c r="AE869" s="87">
        <f t="shared" si="87"/>
        <v>0</v>
      </c>
      <c r="AF869" s="85">
        <v>2455</v>
      </c>
      <c r="AG869" s="81">
        <v>43287</v>
      </c>
      <c r="AH869" s="86">
        <v>39062100</v>
      </c>
      <c r="AI869" s="63" t="s">
        <v>2463</v>
      </c>
      <c r="AJ869" s="63">
        <v>2832</v>
      </c>
      <c r="AK869" s="87">
        <f t="shared" si="91"/>
        <v>0</v>
      </c>
      <c r="AL869" s="86">
        <v>39062100</v>
      </c>
      <c r="AM869" s="86">
        <f t="shared" si="92"/>
        <v>0</v>
      </c>
      <c r="AN869" s="63" t="s">
        <v>1155</v>
      </c>
      <c r="AO869" s="86">
        <f t="shared" si="93"/>
        <v>0</v>
      </c>
      <c r="AP869" s="63"/>
      <c r="AQ869" s="81">
        <v>43237</v>
      </c>
      <c r="AR869" s="63" t="s">
        <v>2109</v>
      </c>
      <c r="AS869" s="81">
        <v>43237</v>
      </c>
      <c r="AT869" s="63" t="s">
        <v>2461</v>
      </c>
      <c r="AU869" s="220"/>
      <c r="AV869" s="220"/>
      <c r="AW869" s="220"/>
    </row>
    <row r="870" spans="1:49" s="221" customFormat="1" ht="156.75" x14ac:dyDescent="0.25">
      <c r="A870" s="63">
        <v>456</v>
      </c>
      <c r="B870" s="63" t="str">
        <f t="shared" si="90"/>
        <v>3075-456</v>
      </c>
      <c r="C870" s="76" t="s">
        <v>1141</v>
      </c>
      <c r="D870" s="76" t="s">
        <v>1142</v>
      </c>
      <c r="E870" s="76" t="s">
        <v>1174</v>
      </c>
      <c r="F870" s="76" t="s">
        <v>1175</v>
      </c>
      <c r="G870" s="77" t="s">
        <v>1176</v>
      </c>
      <c r="H870" s="78" t="s">
        <v>1177</v>
      </c>
      <c r="I870" s="76" t="s">
        <v>1147</v>
      </c>
      <c r="J870" s="76" t="s">
        <v>1148</v>
      </c>
      <c r="K870" s="76" t="s">
        <v>439</v>
      </c>
      <c r="L870" s="63" t="s">
        <v>1149</v>
      </c>
      <c r="M870" s="63" t="s">
        <v>58</v>
      </c>
      <c r="N870" s="63" t="s">
        <v>59</v>
      </c>
      <c r="O870" s="76" t="s">
        <v>1169</v>
      </c>
      <c r="P870" s="63" t="s">
        <v>2228</v>
      </c>
      <c r="Q870" s="79">
        <v>1000000</v>
      </c>
      <c r="R870" s="63">
        <v>1</v>
      </c>
      <c r="S870" s="80">
        <f>Q870*R870-1000000</f>
        <v>0</v>
      </c>
      <c r="T870" s="63"/>
      <c r="U870" s="63"/>
      <c r="V870" s="81"/>
      <c r="W870" s="82"/>
      <c r="X870" s="99" t="s">
        <v>2464</v>
      </c>
      <c r="Y870" s="81">
        <v>43248</v>
      </c>
      <c r="Z870" s="83">
        <f>1000000-1000000</f>
        <v>0</v>
      </c>
      <c r="AA870" s="84" t="s">
        <v>2465</v>
      </c>
      <c r="AB870" s="85"/>
      <c r="AC870" s="81">
        <v>43248</v>
      </c>
      <c r="AD870" s="86">
        <v>0</v>
      </c>
      <c r="AE870" s="87">
        <f t="shared" si="87"/>
        <v>0</v>
      </c>
      <c r="AF870" s="85"/>
      <c r="AG870" s="81"/>
      <c r="AH870" s="86"/>
      <c r="AI870" s="63"/>
      <c r="AJ870" s="63"/>
      <c r="AK870" s="87">
        <f t="shared" si="91"/>
        <v>0</v>
      </c>
      <c r="AL870" s="86"/>
      <c r="AM870" s="86">
        <f t="shared" si="92"/>
        <v>0</v>
      </c>
      <c r="AN870" s="63" t="s">
        <v>1155</v>
      </c>
      <c r="AO870" s="86">
        <f t="shared" si="93"/>
        <v>0</v>
      </c>
      <c r="AP870" s="63" t="s">
        <v>2318</v>
      </c>
      <c r="AQ870" s="81">
        <v>43248</v>
      </c>
      <c r="AR870" s="63" t="s">
        <v>1157</v>
      </c>
      <c r="AS870" s="81">
        <v>43248</v>
      </c>
      <c r="AT870" s="63" t="s">
        <v>2228</v>
      </c>
      <c r="AU870" s="220"/>
      <c r="AV870" s="220"/>
      <c r="AW870" s="220"/>
    </row>
    <row r="871" spans="1:49" s="221" customFormat="1" ht="213.75" x14ac:dyDescent="0.25">
      <c r="A871" s="63">
        <v>457</v>
      </c>
      <c r="B871" s="63" t="str">
        <f t="shared" si="90"/>
        <v>3075-457</v>
      </c>
      <c r="C871" s="76" t="s">
        <v>1141</v>
      </c>
      <c r="D871" s="76" t="s">
        <v>1142</v>
      </c>
      <c r="E871" s="76" t="s">
        <v>1174</v>
      </c>
      <c r="F871" s="76" t="s">
        <v>1175</v>
      </c>
      <c r="G871" s="77" t="s">
        <v>1176</v>
      </c>
      <c r="H871" s="78" t="s">
        <v>1177</v>
      </c>
      <c r="I871" s="76" t="s">
        <v>1191</v>
      </c>
      <c r="J871" s="76" t="s">
        <v>1192</v>
      </c>
      <c r="K871" s="76" t="s">
        <v>439</v>
      </c>
      <c r="L871" s="63" t="s">
        <v>1149</v>
      </c>
      <c r="M871" s="63" t="s">
        <v>58</v>
      </c>
      <c r="N871" s="63" t="s">
        <v>59</v>
      </c>
      <c r="O871" s="76" t="s">
        <v>1169</v>
      </c>
      <c r="P871" s="76" t="s">
        <v>2466</v>
      </c>
      <c r="Q871" s="79">
        <v>39062100</v>
      </c>
      <c r="R871" s="63">
        <v>1</v>
      </c>
      <c r="S871" s="80">
        <f t="shared" ref="S871:S891" si="94">Q871*R871</f>
        <v>39062100</v>
      </c>
      <c r="T871" s="63" t="s">
        <v>1171</v>
      </c>
      <c r="U871" s="63" t="s">
        <v>1171</v>
      </c>
      <c r="V871" s="81" t="s">
        <v>844</v>
      </c>
      <c r="W871" s="82" t="s">
        <v>439</v>
      </c>
      <c r="X871" s="90" t="s">
        <v>2467</v>
      </c>
      <c r="Y871" s="81">
        <v>43264</v>
      </c>
      <c r="Z871" s="83">
        <v>39062100</v>
      </c>
      <c r="AA871" s="84" t="s">
        <v>2164</v>
      </c>
      <c r="AB871" s="85">
        <v>892</v>
      </c>
      <c r="AC871" s="81">
        <v>43266</v>
      </c>
      <c r="AD871" s="86">
        <v>39062100</v>
      </c>
      <c r="AE871" s="87">
        <f t="shared" si="87"/>
        <v>0</v>
      </c>
      <c r="AF871" s="85">
        <v>2414</v>
      </c>
      <c r="AG871" s="81">
        <v>43284</v>
      </c>
      <c r="AH871" s="86">
        <v>39062100</v>
      </c>
      <c r="AI871" s="63" t="s">
        <v>2468</v>
      </c>
      <c r="AJ871" s="63">
        <v>2818</v>
      </c>
      <c r="AK871" s="87">
        <f t="shared" si="91"/>
        <v>0</v>
      </c>
      <c r="AL871" s="86">
        <v>0</v>
      </c>
      <c r="AM871" s="86">
        <f t="shared" si="92"/>
        <v>39062100</v>
      </c>
      <c r="AN871" s="63" t="s">
        <v>1155</v>
      </c>
      <c r="AO871" s="86">
        <f t="shared" si="93"/>
        <v>0</v>
      </c>
      <c r="AP871" s="63"/>
      <c r="AQ871" s="81">
        <v>43259</v>
      </c>
      <c r="AR871" s="63" t="s">
        <v>2109</v>
      </c>
      <c r="AS871" s="81">
        <v>43264</v>
      </c>
      <c r="AT871" s="76" t="s">
        <v>2466</v>
      </c>
      <c r="AU871" s="220"/>
      <c r="AV871" s="220"/>
      <c r="AW871" s="220"/>
    </row>
    <row r="872" spans="1:49" s="221" customFormat="1" ht="213.75" x14ac:dyDescent="0.25">
      <c r="A872" s="63">
        <v>458</v>
      </c>
      <c r="B872" s="63" t="str">
        <f t="shared" si="90"/>
        <v>3075-458</v>
      </c>
      <c r="C872" s="76" t="s">
        <v>1141</v>
      </c>
      <c r="D872" s="76" t="s">
        <v>1142</v>
      </c>
      <c r="E872" s="76" t="s">
        <v>1174</v>
      </c>
      <c r="F872" s="76" t="s">
        <v>1175</v>
      </c>
      <c r="G872" s="77" t="s">
        <v>1176</v>
      </c>
      <c r="H872" s="78" t="s">
        <v>1177</v>
      </c>
      <c r="I872" s="76" t="s">
        <v>1191</v>
      </c>
      <c r="J872" s="76" t="s">
        <v>1192</v>
      </c>
      <c r="K872" s="76" t="s">
        <v>439</v>
      </c>
      <c r="L872" s="63" t="s">
        <v>1149</v>
      </c>
      <c r="M872" s="63" t="s">
        <v>58</v>
      </c>
      <c r="N872" s="63" t="s">
        <v>59</v>
      </c>
      <c r="O872" s="76" t="s">
        <v>1169</v>
      </c>
      <c r="P872" s="76" t="s">
        <v>2469</v>
      </c>
      <c r="Q872" s="79">
        <v>39062100</v>
      </c>
      <c r="R872" s="63">
        <v>1</v>
      </c>
      <c r="S872" s="80">
        <f t="shared" si="94"/>
        <v>39062100</v>
      </c>
      <c r="T872" s="63" t="s">
        <v>1171</v>
      </c>
      <c r="U872" s="63" t="s">
        <v>1171</v>
      </c>
      <c r="V872" s="81" t="s">
        <v>844</v>
      </c>
      <c r="W872" s="82" t="s">
        <v>439</v>
      </c>
      <c r="X872" s="90" t="s">
        <v>2470</v>
      </c>
      <c r="Y872" s="81">
        <v>43264</v>
      </c>
      <c r="Z872" s="83">
        <v>39062100</v>
      </c>
      <c r="AA872" s="84" t="s">
        <v>2164</v>
      </c>
      <c r="AB872" s="85">
        <v>903</v>
      </c>
      <c r="AC872" s="81">
        <v>43270</v>
      </c>
      <c r="AD872" s="86">
        <v>39062100</v>
      </c>
      <c r="AE872" s="87">
        <f t="shared" si="87"/>
        <v>0</v>
      </c>
      <c r="AF872" s="85">
        <v>2476</v>
      </c>
      <c r="AG872" s="81">
        <v>43292</v>
      </c>
      <c r="AH872" s="86">
        <v>39062100</v>
      </c>
      <c r="AI872" s="63" t="s">
        <v>2471</v>
      </c>
      <c r="AJ872" s="63">
        <v>2840</v>
      </c>
      <c r="AK872" s="87">
        <f t="shared" si="91"/>
        <v>0</v>
      </c>
      <c r="AL872" s="86">
        <v>0</v>
      </c>
      <c r="AM872" s="86">
        <f t="shared" si="92"/>
        <v>39062100</v>
      </c>
      <c r="AN872" s="63" t="s">
        <v>1155</v>
      </c>
      <c r="AO872" s="86">
        <f t="shared" si="93"/>
        <v>0</v>
      </c>
      <c r="AP872" s="63"/>
      <c r="AQ872" s="81">
        <v>43259</v>
      </c>
      <c r="AR872" s="63" t="s">
        <v>2109</v>
      </c>
      <c r="AS872" s="81">
        <v>43264</v>
      </c>
      <c r="AT872" s="63" t="s">
        <v>2469</v>
      </c>
      <c r="AU872" s="220"/>
      <c r="AV872" s="220"/>
      <c r="AW872" s="220"/>
    </row>
    <row r="873" spans="1:49" s="221" customFormat="1" ht="185.25" x14ac:dyDescent="0.25">
      <c r="A873" s="63">
        <v>459</v>
      </c>
      <c r="B873" s="63" t="str">
        <f t="shared" si="90"/>
        <v>3075-459</v>
      </c>
      <c r="C873" s="76" t="s">
        <v>1141</v>
      </c>
      <c r="D873" s="76" t="s">
        <v>1142</v>
      </c>
      <c r="E873" s="76" t="s">
        <v>1165</v>
      </c>
      <c r="F873" s="76" t="s">
        <v>1166</v>
      </c>
      <c r="G873" s="77" t="s">
        <v>1167</v>
      </c>
      <c r="H873" s="78" t="s">
        <v>1168</v>
      </c>
      <c r="I873" s="76" t="s">
        <v>1147</v>
      </c>
      <c r="J873" s="76" t="s">
        <v>1148</v>
      </c>
      <c r="K873" s="76" t="s">
        <v>439</v>
      </c>
      <c r="L873" s="63" t="s">
        <v>1149</v>
      </c>
      <c r="M873" s="63" t="s">
        <v>58</v>
      </c>
      <c r="N873" s="63" t="s">
        <v>59</v>
      </c>
      <c r="O873" s="76" t="s">
        <v>1169</v>
      </c>
      <c r="P873" s="63" t="s">
        <v>2472</v>
      </c>
      <c r="Q873" s="79">
        <v>20501658</v>
      </c>
      <c r="R873" s="63">
        <v>1</v>
      </c>
      <c r="S873" s="80">
        <f t="shared" si="94"/>
        <v>20501658</v>
      </c>
      <c r="T873" s="63" t="s">
        <v>1171</v>
      </c>
      <c r="U873" s="63" t="s">
        <v>1171</v>
      </c>
      <c r="V873" s="81" t="s">
        <v>844</v>
      </c>
      <c r="W873" s="82" t="s">
        <v>439</v>
      </c>
      <c r="X873" s="90" t="s">
        <v>2473</v>
      </c>
      <c r="Y873" s="89">
        <v>43264</v>
      </c>
      <c r="Z873" s="83">
        <v>20501658</v>
      </c>
      <c r="AA873" s="84" t="s">
        <v>2474</v>
      </c>
      <c r="AB873" s="85">
        <v>893</v>
      </c>
      <c r="AC873" s="81">
        <v>43266</v>
      </c>
      <c r="AD873" s="86">
        <v>20501658</v>
      </c>
      <c r="AE873" s="87">
        <f t="shared" si="87"/>
        <v>0</v>
      </c>
      <c r="AF873" s="85">
        <v>2468</v>
      </c>
      <c r="AG873" s="81">
        <v>43292</v>
      </c>
      <c r="AH873" s="86">
        <v>20501658</v>
      </c>
      <c r="AI873" s="63" t="s">
        <v>2475</v>
      </c>
      <c r="AJ873" s="63">
        <v>2866</v>
      </c>
      <c r="AK873" s="87">
        <f t="shared" si="91"/>
        <v>0</v>
      </c>
      <c r="AL873" s="86">
        <v>0</v>
      </c>
      <c r="AM873" s="86">
        <f t="shared" si="92"/>
        <v>20501658</v>
      </c>
      <c r="AN873" s="63" t="s">
        <v>1155</v>
      </c>
      <c r="AO873" s="86">
        <f t="shared" si="93"/>
        <v>0</v>
      </c>
      <c r="AP873" s="63"/>
      <c r="AQ873" s="81">
        <v>43264</v>
      </c>
      <c r="AR873" s="63" t="s">
        <v>2109</v>
      </c>
      <c r="AS873" s="81">
        <v>43264</v>
      </c>
      <c r="AT873" s="63" t="s">
        <v>2472</v>
      </c>
      <c r="AU873" s="220"/>
      <c r="AV873" s="220"/>
      <c r="AW873" s="220"/>
    </row>
    <row r="874" spans="1:49" s="221" customFormat="1" ht="199.5" x14ac:dyDescent="0.25">
      <c r="A874" s="63">
        <v>460</v>
      </c>
      <c r="B874" s="63" t="str">
        <f t="shared" si="90"/>
        <v>3075-460</v>
      </c>
      <c r="C874" s="76" t="s">
        <v>1141</v>
      </c>
      <c r="D874" s="76" t="s">
        <v>1142</v>
      </c>
      <c r="E874" s="76" t="s">
        <v>1165</v>
      </c>
      <c r="F874" s="76" t="s">
        <v>1166</v>
      </c>
      <c r="G874" s="77" t="s">
        <v>1167</v>
      </c>
      <c r="H874" s="78" t="s">
        <v>1168</v>
      </c>
      <c r="I874" s="76" t="s">
        <v>1147</v>
      </c>
      <c r="J874" s="76" t="s">
        <v>1148</v>
      </c>
      <c r="K874" s="76" t="s">
        <v>439</v>
      </c>
      <c r="L874" s="63" t="s">
        <v>1149</v>
      </c>
      <c r="M874" s="63" t="s">
        <v>58</v>
      </c>
      <c r="N874" s="63" t="s">
        <v>59</v>
      </c>
      <c r="O874" s="76" t="s">
        <v>1169</v>
      </c>
      <c r="P874" s="63" t="s">
        <v>2476</v>
      </c>
      <c r="Q874" s="79">
        <v>38051600</v>
      </c>
      <c r="R874" s="63">
        <v>1</v>
      </c>
      <c r="S874" s="80">
        <f t="shared" si="94"/>
        <v>38051600</v>
      </c>
      <c r="T874" s="63" t="s">
        <v>1171</v>
      </c>
      <c r="U874" s="63" t="s">
        <v>1171</v>
      </c>
      <c r="V874" s="81" t="s">
        <v>431</v>
      </c>
      <c r="W874" s="82" t="s">
        <v>439</v>
      </c>
      <c r="X874" s="90" t="s">
        <v>2477</v>
      </c>
      <c r="Y874" s="89">
        <v>43264</v>
      </c>
      <c r="Z874" s="83">
        <v>38051600</v>
      </c>
      <c r="AA874" s="84" t="s">
        <v>2474</v>
      </c>
      <c r="AB874" s="85">
        <v>894</v>
      </c>
      <c r="AC874" s="81">
        <v>43266</v>
      </c>
      <c r="AD874" s="86">
        <v>38051600</v>
      </c>
      <c r="AE874" s="87">
        <f t="shared" si="87"/>
        <v>0</v>
      </c>
      <c r="AF874" s="85">
        <v>2584</v>
      </c>
      <c r="AG874" s="81">
        <v>43314</v>
      </c>
      <c r="AH874" s="86">
        <v>38051600</v>
      </c>
      <c r="AI874" s="63" t="s">
        <v>2478</v>
      </c>
      <c r="AJ874" s="63">
        <v>3034</v>
      </c>
      <c r="AK874" s="87">
        <f t="shared" si="91"/>
        <v>0</v>
      </c>
      <c r="AL874" s="86">
        <v>0</v>
      </c>
      <c r="AM874" s="86">
        <f t="shared" si="92"/>
        <v>38051600</v>
      </c>
      <c r="AN874" s="63" t="s">
        <v>1155</v>
      </c>
      <c r="AO874" s="86">
        <f t="shared" si="93"/>
        <v>0</v>
      </c>
      <c r="AP874" s="63"/>
      <c r="AQ874" s="81">
        <v>43264</v>
      </c>
      <c r="AR874" s="63" t="s">
        <v>2109</v>
      </c>
      <c r="AS874" s="81">
        <v>43264</v>
      </c>
      <c r="AT874" s="63" t="s">
        <v>2476</v>
      </c>
      <c r="AU874" s="220"/>
      <c r="AV874" s="220"/>
      <c r="AW874" s="220"/>
    </row>
    <row r="875" spans="1:49" s="221" customFormat="1" ht="185.25" x14ac:dyDescent="0.25">
      <c r="A875" s="63">
        <v>461</v>
      </c>
      <c r="B875" s="63" t="str">
        <f t="shared" si="90"/>
        <v>3075-461</v>
      </c>
      <c r="C875" s="76" t="s">
        <v>1141</v>
      </c>
      <c r="D875" s="76" t="s">
        <v>1142</v>
      </c>
      <c r="E875" s="76" t="s">
        <v>1165</v>
      </c>
      <c r="F875" s="76" t="s">
        <v>1166</v>
      </c>
      <c r="G875" s="77" t="s">
        <v>1167</v>
      </c>
      <c r="H875" s="78" t="s">
        <v>1168</v>
      </c>
      <c r="I875" s="76" t="s">
        <v>1147</v>
      </c>
      <c r="J875" s="76" t="s">
        <v>1148</v>
      </c>
      <c r="K875" s="76" t="s">
        <v>439</v>
      </c>
      <c r="L875" s="63" t="s">
        <v>1149</v>
      </c>
      <c r="M875" s="63" t="s">
        <v>58</v>
      </c>
      <c r="N875" s="63" t="s">
        <v>59</v>
      </c>
      <c r="O875" s="76" t="s">
        <v>1169</v>
      </c>
      <c r="P875" s="63" t="s">
        <v>2479</v>
      </c>
      <c r="Q875" s="79">
        <v>20351100</v>
      </c>
      <c r="R875" s="63">
        <v>1</v>
      </c>
      <c r="S875" s="80">
        <f t="shared" si="94"/>
        <v>20351100</v>
      </c>
      <c r="T875" s="63" t="s">
        <v>1171</v>
      </c>
      <c r="U875" s="63" t="s">
        <v>1171</v>
      </c>
      <c r="V875" s="81" t="s">
        <v>431</v>
      </c>
      <c r="W875" s="82" t="s">
        <v>439</v>
      </c>
      <c r="X875" s="90" t="s">
        <v>2480</v>
      </c>
      <c r="Y875" s="89">
        <v>43264</v>
      </c>
      <c r="Z875" s="83">
        <v>20351100</v>
      </c>
      <c r="AA875" s="84" t="s">
        <v>2474</v>
      </c>
      <c r="AB875" s="85">
        <v>895</v>
      </c>
      <c r="AC875" s="81">
        <v>43266</v>
      </c>
      <c r="AD875" s="86">
        <v>20351100</v>
      </c>
      <c r="AE875" s="87">
        <f t="shared" si="87"/>
        <v>0</v>
      </c>
      <c r="AF875" s="85">
        <v>2583</v>
      </c>
      <c r="AG875" s="81">
        <v>43314</v>
      </c>
      <c r="AH875" s="86">
        <v>20351100</v>
      </c>
      <c r="AI875" s="63" t="s">
        <v>2481</v>
      </c>
      <c r="AJ875" s="63">
        <v>3031</v>
      </c>
      <c r="AK875" s="87">
        <f t="shared" si="91"/>
        <v>0</v>
      </c>
      <c r="AL875" s="86">
        <v>0</v>
      </c>
      <c r="AM875" s="86">
        <f t="shared" si="92"/>
        <v>20351100</v>
      </c>
      <c r="AN875" s="63" t="s">
        <v>1155</v>
      </c>
      <c r="AO875" s="86">
        <f t="shared" si="93"/>
        <v>0</v>
      </c>
      <c r="AP875" s="63"/>
      <c r="AQ875" s="81">
        <v>43264</v>
      </c>
      <c r="AR875" s="63" t="s">
        <v>2109</v>
      </c>
      <c r="AS875" s="81">
        <v>43264</v>
      </c>
      <c r="AT875" s="63" t="s">
        <v>2479</v>
      </c>
      <c r="AU875" s="220"/>
      <c r="AV875" s="220"/>
      <c r="AW875" s="220"/>
    </row>
    <row r="876" spans="1:49" s="221" customFormat="1" ht="185.25" x14ac:dyDescent="0.25">
      <c r="A876" s="63">
        <v>462</v>
      </c>
      <c r="B876" s="63" t="str">
        <f t="shared" si="90"/>
        <v>3075-462</v>
      </c>
      <c r="C876" s="76" t="s">
        <v>1141</v>
      </c>
      <c r="D876" s="76" t="s">
        <v>1142</v>
      </c>
      <c r="E876" s="76" t="s">
        <v>1165</v>
      </c>
      <c r="F876" s="76" t="s">
        <v>1166</v>
      </c>
      <c r="G876" s="77" t="s">
        <v>1167</v>
      </c>
      <c r="H876" s="78" t="s">
        <v>1168</v>
      </c>
      <c r="I876" s="76" t="s">
        <v>1147</v>
      </c>
      <c r="J876" s="76" t="s">
        <v>1148</v>
      </c>
      <c r="K876" s="76" t="s">
        <v>439</v>
      </c>
      <c r="L876" s="63" t="s">
        <v>1149</v>
      </c>
      <c r="M876" s="63" t="s">
        <v>58</v>
      </c>
      <c r="N876" s="63" t="s">
        <v>59</v>
      </c>
      <c r="O876" s="76" t="s">
        <v>1169</v>
      </c>
      <c r="P876" s="63" t="s">
        <v>2482</v>
      </c>
      <c r="Q876" s="79">
        <v>42139350</v>
      </c>
      <c r="R876" s="63">
        <v>1</v>
      </c>
      <c r="S876" s="80">
        <f t="shared" si="94"/>
        <v>42139350</v>
      </c>
      <c r="T876" s="63" t="s">
        <v>1171</v>
      </c>
      <c r="U876" s="63" t="s">
        <v>1171</v>
      </c>
      <c r="V876" s="81" t="s">
        <v>431</v>
      </c>
      <c r="W876" s="82" t="s">
        <v>439</v>
      </c>
      <c r="X876" s="90" t="s">
        <v>2483</v>
      </c>
      <c r="Y876" s="89">
        <v>43265</v>
      </c>
      <c r="Z876" s="83">
        <v>42139350</v>
      </c>
      <c r="AA876" s="84" t="s">
        <v>2474</v>
      </c>
      <c r="AB876" s="85">
        <v>896</v>
      </c>
      <c r="AC876" s="81">
        <v>43269</v>
      </c>
      <c r="AD876" s="86">
        <v>42139350</v>
      </c>
      <c r="AE876" s="87">
        <f t="shared" si="87"/>
        <v>0</v>
      </c>
      <c r="AF876" s="85">
        <v>2571</v>
      </c>
      <c r="AG876" s="81">
        <v>43314</v>
      </c>
      <c r="AH876" s="86">
        <v>42139350</v>
      </c>
      <c r="AI876" s="63" t="s">
        <v>2484</v>
      </c>
      <c r="AJ876" s="63">
        <v>3002</v>
      </c>
      <c r="AK876" s="87">
        <f t="shared" si="91"/>
        <v>0</v>
      </c>
      <c r="AL876" s="86">
        <v>0</v>
      </c>
      <c r="AM876" s="86">
        <f t="shared" si="92"/>
        <v>42139350</v>
      </c>
      <c r="AN876" s="63" t="s">
        <v>1155</v>
      </c>
      <c r="AO876" s="86">
        <f t="shared" si="93"/>
        <v>0</v>
      </c>
      <c r="AP876" s="63"/>
      <c r="AQ876" s="81">
        <v>43264</v>
      </c>
      <c r="AR876" s="63" t="s">
        <v>2109</v>
      </c>
      <c r="AS876" s="81">
        <v>43265</v>
      </c>
      <c r="AT876" s="63" t="s">
        <v>2482</v>
      </c>
      <c r="AU876" s="220"/>
      <c r="AV876" s="220"/>
      <c r="AW876" s="220"/>
    </row>
    <row r="877" spans="1:49" s="221" customFormat="1" ht="228" x14ac:dyDescent="0.25">
      <c r="A877" s="63">
        <v>463</v>
      </c>
      <c r="B877" s="63" t="str">
        <f t="shared" si="90"/>
        <v>3075-463</v>
      </c>
      <c r="C877" s="76" t="s">
        <v>1141</v>
      </c>
      <c r="D877" s="76" t="s">
        <v>1142</v>
      </c>
      <c r="E877" s="76" t="s">
        <v>1174</v>
      </c>
      <c r="F877" s="76" t="s">
        <v>1175</v>
      </c>
      <c r="G877" s="77" t="s">
        <v>1176</v>
      </c>
      <c r="H877" s="78" t="s">
        <v>1177</v>
      </c>
      <c r="I877" s="76" t="s">
        <v>1191</v>
      </c>
      <c r="J877" s="76" t="s">
        <v>1192</v>
      </c>
      <c r="K877" s="76" t="s">
        <v>439</v>
      </c>
      <c r="L877" s="63" t="s">
        <v>1149</v>
      </c>
      <c r="M877" s="63" t="s">
        <v>58</v>
      </c>
      <c r="N877" s="63" t="s">
        <v>59</v>
      </c>
      <c r="O877" s="76" t="s">
        <v>1169</v>
      </c>
      <c r="P877" s="76" t="s">
        <v>2485</v>
      </c>
      <c r="Q877" s="79">
        <v>39062100</v>
      </c>
      <c r="R877" s="63">
        <v>1</v>
      </c>
      <c r="S877" s="80">
        <f t="shared" si="94"/>
        <v>39062100</v>
      </c>
      <c r="T877" s="63" t="s">
        <v>1171</v>
      </c>
      <c r="U877" s="63" t="s">
        <v>1171</v>
      </c>
      <c r="V877" s="81" t="s">
        <v>1208</v>
      </c>
      <c r="W877" s="82" t="s">
        <v>439</v>
      </c>
      <c r="X877" s="90" t="s">
        <v>2486</v>
      </c>
      <c r="Y877" s="89">
        <v>43265</v>
      </c>
      <c r="Z877" s="83">
        <v>39062100</v>
      </c>
      <c r="AA877" s="84" t="s">
        <v>2164</v>
      </c>
      <c r="AB877" s="85">
        <v>897</v>
      </c>
      <c r="AC877" s="81">
        <v>43269</v>
      </c>
      <c r="AD877" s="86">
        <v>39062100</v>
      </c>
      <c r="AE877" s="87">
        <f t="shared" si="87"/>
        <v>0</v>
      </c>
      <c r="AF877" s="85">
        <v>2411</v>
      </c>
      <c r="AG877" s="81">
        <v>43280</v>
      </c>
      <c r="AH877" s="86">
        <v>39062100</v>
      </c>
      <c r="AI877" s="63" t="s">
        <v>2487</v>
      </c>
      <c r="AJ877" s="63">
        <v>2829</v>
      </c>
      <c r="AK877" s="87">
        <f t="shared" si="91"/>
        <v>0</v>
      </c>
      <c r="AL877" s="86">
        <v>39062100</v>
      </c>
      <c r="AM877" s="86">
        <f t="shared" si="92"/>
        <v>0</v>
      </c>
      <c r="AN877" s="63" t="s">
        <v>1155</v>
      </c>
      <c r="AO877" s="86">
        <f t="shared" si="93"/>
        <v>0</v>
      </c>
      <c r="AP877" s="63"/>
      <c r="AQ877" s="81">
        <v>43264</v>
      </c>
      <c r="AR877" s="63" t="s">
        <v>2109</v>
      </c>
      <c r="AS877" s="81">
        <v>43265</v>
      </c>
      <c r="AT877" s="76" t="s">
        <v>2485</v>
      </c>
      <c r="AU877" s="220"/>
      <c r="AV877" s="220"/>
      <c r="AW877" s="220"/>
    </row>
    <row r="878" spans="1:49" s="221" customFormat="1" ht="228" x14ac:dyDescent="0.25">
      <c r="A878" s="63">
        <v>464</v>
      </c>
      <c r="B878" s="63" t="str">
        <f t="shared" si="90"/>
        <v>3075-464</v>
      </c>
      <c r="C878" s="76" t="s">
        <v>1141</v>
      </c>
      <c r="D878" s="76" t="s">
        <v>1142</v>
      </c>
      <c r="E878" s="76" t="s">
        <v>1174</v>
      </c>
      <c r="F878" s="76" t="s">
        <v>1175</v>
      </c>
      <c r="G878" s="77" t="s">
        <v>1176</v>
      </c>
      <c r="H878" s="78" t="s">
        <v>1177</v>
      </c>
      <c r="I878" s="76" t="s">
        <v>1191</v>
      </c>
      <c r="J878" s="76" t="s">
        <v>1192</v>
      </c>
      <c r="K878" s="76" t="s">
        <v>439</v>
      </c>
      <c r="L878" s="63" t="s">
        <v>1149</v>
      </c>
      <c r="M878" s="63" t="s">
        <v>58</v>
      </c>
      <c r="N878" s="63" t="s">
        <v>59</v>
      </c>
      <c r="O878" s="76" t="s">
        <v>1169</v>
      </c>
      <c r="P878" s="76" t="s">
        <v>2488</v>
      </c>
      <c r="Q878" s="79">
        <v>39062100</v>
      </c>
      <c r="R878" s="63">
        <v>1</v>
      </c>
      <c r="S878" s="80">
        <f t="shared" si="94"/>
        <v>39062100</v>
      </c>
      <c r="T878" s="63" t="s">
        <v>1171</v>
      </c>
      <c r="U878" s="63" t="s">
        <v>1171</v>
      </c>
      <c r="V878" s="81" t="s">
        <v>844</v>
      </c>
      <c r="W878" s="82" t="s">
        <v>439</v>
      </c>
      <c r="X878" s="90" t="s">
        <v>2489</v>
      </c>
      <c r="Y878" s="89">
        <v>43265</v>
      </c>
      <c r="Z878" s="83">
        <v>39062100</v>
      </c>
      <c r="AA878" s="84" t="s">
        <v>2164</v>
      </c>
      <c r="AB878" s="85">
        <v>898</v>
      </c>
      <c r="AC878" s="81">
        <v>43269</v>
      </c>
      <c r="AD878" s="86">
        <v>39062100</v>
      </c>
      <c r="AE878" s="87">
        <f t="shared" si="87"/>
        <v>0</v>
      </c>
      <c r="AF878" s="85">
        <v>2467</v>
      </c>
      <c r="AG878" s="81">
        <v>43292</v>
      </c>
      <c r="AH878" s="86">
        <v>39062100</v>
      </c>
      <c r="AI878" s="63" t="s">
        <v>2490</v>
      </c>
      <c r="AJ878" s="63">
        <v>2865</v>
      </c>
      <c r="AK878" s="87">
        <f t="shared" si="91"/>
        <v>0</v>
      </c>
      <c r="AL878" s="86">
        <v>0</v>
      </c>
      <c r="AM878" s="86">
        <f t="shared" si="92"/>
        <v>39062100</v>
      </c>
      <c r="AN878" s="63" t="s">
        <v>1155</v>
      </c>
      <c r="AO878" s="86">
        <f t="shared" si="93"/>
        <v>0</v>
      </c>
      <c r="AP878" s="63"/>
      <c r="AQ878" s="81">
        <v>43264</v>
      </c>
      <c r="AR878" s="63" t="s">
        <v>2109</v>
      </c>
      <c r="AS878" s="81">
        <v>43265</v>
      </c>
      <c r="AT878" s="63" t="s">
        <v>2488</v>
      </c>
      <c r="AU878" s="220"/>
      <c r="AV878" s="220"/>
      <c r="AW878" s="220"/>
    </row>
    <row r="879" spans="1:49" s="221" customFormat="1" ht="228" x14ac:dyDescent="0.25">
      <c r="A879" s="63">
        <v>465</v>
      </c>
      <c r="B879" s="63" t="str">
        <f t="shared" si="90"/>
        <v>3075-465</v>
      </c>
      <c r="C879" s="76" t="s">
        <v>1141</v>
      </c>
      <c r="D879" s="76" t="s">
        <v>1142</v>
      </c>
      <c r="E879" s="76" t="s">
        <v>1174</v>
      </c>
      <c r="F879" s="76" t="s">
        <v>1175</v>
      </c>
      <c r="G879" s="77" t="s">
        <v>1176</v>
      </c>
      <c r="H879" s="78" t="s">
        <v>1177</v>
      </c>
      <c r="I879" s="76" t="s">
        <v>1191</v>
      </c>
      <c r="J879" s="76" t="s">
        <v>1192</v>
      </c>
      <c r="K879" s="76" t="s">
        <v>439</v>
      </c>
      <c r="L879" s="63" t="s">
        <v>1149</v>
      </c>
      <c r="M879" s="63" t="s">
        <v>58</v>
      </c>
      <c r="N879" s="63" t="s">
        <v>59</v>
      </c>
      <c r="O879" s="76" t="s">
        <v>1169</v>
      </c>
      <c r="P879" s="76" t="s">
        <v>2491</v>
      </c>
      <c r="Q879" s="79">
        <v>39062100</v>
      </c>
      <c r="R879" s="63">
        <v>1</v>
      </c>
      <c r="S879" s="80">
        <f t="shared" si="94"/>
        <v>39062100</v>
      </c>
      <c r="T879" s="63" t="s">
        <v>1171</v>
      </c>
      <c r="U879" s="63" t="s">
        <v>1171</v>
      </c>
      <c r="V879" s="81" t="s">
        <v>844</v>
      </c>
      <c r="W879" s="82" t="s">
        <v>439</v>
      </c>
      <c r="X879" s="90" t="s">
        <v>2492</v>
      </c>
      <c r="Y879" s="81">
        <v>43265</v>
      </c>
      <c r="Z879" s="83">
        <v>39062100</v>
      </c>
      <c r="AA879" s="84" t="s">
        <v>1195</v>
      </c>
      <c r="AB879" s="85">
        <v>900</v>
      </c>
      <c r="AC879" s="81">
        <v>43269</v>
      </c>
      <c r="AD879" s="86">
        <v>39062100</v>
      </c>
      <c r="AE879" s="87">
        <f t="shared" si="87"/>
        <v>0</v>
      </c>
      <c r="AF879" s="85">
        <v>2437</v>
      </c>
      <c r="AG879" s="81">
        <v>43286</v>
      </c>
      <c r="AH879" s="86">
        <v>39062100</v>
      </c>
      <c r="AI879" s="63" t="s">
        <v>2493</v>
      </c>
      <c r="AJ879" s="63">
        <v>2830</v>
      </c>
      <c r="AK879" s="87">
        <f t="shared" si="91"/>
        <v>0</v>
      </c>
      <c r="AL879" s="86">
        <v>39062100</v>
      </c>
      <c r="AM879" s="86">
        <f t="shared" si="92"/>
        <v>0</v>
      </c>
      <c r="AN879" s="63" t="s">
        <v>1155</v>
      </c>
      <c r="AO879" s="86">
        <f t="shared" si="93"/>
        <v>0</v>
      </c>
      <c r="AP879" s="63"/>
      <c r="AQ879" s="81">
        <v>43264</v>
      </c>
      <c r="AR879" s="63" t="s">
        <v>2109</v>
      </c>
      <c r="AS879" s="81">
        <v>43265</v>
      </c>
      <c r="AT879" s="63" t="s">
        <v>2491</v>
      </c>
      <c r="AU879" s="220"/>
      <c r="AV879" s="220"/>
      <c r="AW879" s="220"/>
    </row>
    <row r="880" spans="1:49" s="221" customFormat="1" ht="409.5" x14ac:dyDescent="0.25">
      <c r="A880" s="63">
        <v>466</v>
      </c>
      <c r="B880" s="63" t="str">
        <f t="shared" si="90"/>
        <v>3075-466</v>
      </c>
      <c r="C880" s="76" t="s">
        <v>1141</v>
      </c>
      <c r="D880" s="76" t="s">
        <v>1142</v>
      </c>
      <c r="E880" s="76" t="s">
        <v>1174</v>
      </c>
      <c r="F880" s="76" t="s">
        <v>1175</v>
      </c>
      <c r="G880" s="77" t="s">
        <v>1176</v>
      </c>
      <c r="H880" s="78" t="s">
        <v>1177</v>
      </c>
      <c r="I880" s="76" t="s">
        <v>1147</v>
      </c>
      <c r="J880" s="76" t="s">
        <v>1148</v>
      </c>
      <c r="K880" s="76" t="s">
        <v>439</v>
      </c>
      <c r="L880" s="63" t="s">
        <v>1149</v>
      </c>
      <c r="M880" s="63" t="s">
        <v>58</v>
      </c>
      <c r="N880" s="63" t="s">
        <v>59</v>
      </c>
      <c r="O880" s="76" t="s">
        <v>1169</v>
      </c>
      <c r="P880" s="76" t="s">
        <v>2494</v>
      </c>
      <c r="Q880" s="79">
        <v>39062100</v>
      </c>
      <c r="R880" s="63">
        <v>1</v>
      </c>
      <c r="S880" s="80">
        <f t="shared" si="94"/>
        <v>39062100</v>
      </c>
      <c r="T880" s="63" t="s">
        <v>1171</v>
      </c>
      <c r="U880" s="63" t="s">
        <v>1171</v>
      </c>
      <c r="V880" s="81" t="s">
        <v>1208</v>
      </c>
      <c r="W880" s="82" t="s">
        <v>439</v>
      </c>
      <c r="X880" s="63" t="s">
        <v>2495</v>
      </c>
      <c r="Y880" s="81">
        <v>43269</v>
      </c>
      <c r="Z880" s="86">
        <v>39062100</v>
      </c>
      <c r="AA880" s="84" t="s">
        <v>2496</v>
      </c>
      <c r="AB880" s="85">
        <v>904</v>
      </c>
      <c r="AC880" s="81">
        <v>43270</v>
      </c>
      <c r="AD880" s="86">
        <v>39062100</v>
      </c>
      <c r="AE880" s="87">
        <f t="shared" si="87"/>
        <v>0</v>
      </c>
      <c r="AF880" s="85">
        <v>2412</v>
      </c>
      <c r="AG880" s="81">
        <v>43280</v>
      </c>
      <c r="AH880" s="86">
        <v>39062100</v>
      </c>
      <c r="AI880" s="63" t="s">
        <v>2497</v>
      </c>
      <c r="AJ880" s="63">
        <v>2801</v>
      </c>
      <c r="AK880" s="87">
        <f t="shared" si="91"/>
        <v>0</v>
      </c>
      <c r="AL880" s="86">
        <v>0</v>
      </c>
      <c r="AM880" s="86">
        <f t="shared" si="92"/>
        <v>39062100</v>
      </c>
      <c r="AN880" s="63" t="s">
        <v>1155</v>
      </c>
      <c r="AO880" s="86">
        <f t="shared" si="93"/>
        <v>0</v>
      </c>
      <c r="AP880" s="63"/>
      <c r="AQ880" s="81">
        <v>43269</v>
      </c>
      <c r="AR880" s="63" t="s">
        <v>2109</v>
      </c>
      <c r="AS880" s="81">
        <v>43269</v>
      </c>
      <c r="AT880" s="63" t="s">
        <v>2494</v>
      </c>
      <c r="AU880" s="220"/>
      <c r="AV880" s="220"/>
      <c r="AW880" s="220"/>
    </row>
    <row r="881" spans="1:49" s="221" customFormat="1" ht="384.75" x14ac:dyDescent="0.25">
      <c r="A881" s="63">
        <v>467</v>
      </c>
      <c r="B881" s="63" t="str">
        <f t="shared" si="90"/>
        <v>3075-467</v>
      </c>
      <c r="C881" s="76" t="s">
        <v>1141</v>
      </c>
      <c r="D881" s="76" t="s">
        <v>1142</v>
      </c>
      <c r="E881" s="76" t="s">
        <v>1174</v>
      </c>
      <c r="F881" s="76" t="s">
        <v>1175</v>
      </c>
      <c r="G881" s="77" t="s">
        <v>1176</v>
      </c>
      <c r="H881" s="78" t="s">
        <v>1177</v>
      </c>
      <c r="I881" s="76" t="s">
        <v>1147</v>
      </c>
      <c r="J881" s="76" t="s">
        <v>1148</v>
      </c>
      <c r="K881" s="76" t="s">
        <v>439</v>
      </c>
      <c r="L881" s="63" t="s">
        <v>1149</v>
      </c>
      <c r="M881" s="63" t="s">
        <v>58</v>
      </c>
      <c r="N881" s="63" t="s">
        <v>59</v>
      </c>
      <c r="O881" s="76" t="s">
        <v>1169</v>
      </c>
      <c r="P881" s="76" t="s">
        <v>2498</v>
      </c>
      <c r="Q881" s="79">
        <v>39062100</v>
      </c>
      <c r="R881" s="63">
        <v>1</v>
      </c>
      <c r="S881" s="80">
        <f t="shared" si="94"/>
        <v>39062100</v>
      </c>
      <c r="T881" s="63" t="s">
        <v>1171</v>
      </c>
      <c r="U881" s="63" t="s">
        <v>1171</v>
      </c>
      <c r="V881" s="81" t="s">
        <v>1208</v>
      </c>
      <c r="W881" s="82" t="s">
        <v>439</v>
      </c>
      <c r="X881" s="63" t="s">
        <v>2499</v>
      </c>
      <c r="Y881" s="81">
        <v>43269</v>
      </c>
      <c r="Z881" s="86">
        <v>39062100</v>
      </c>
      <c r="AA881" s="84" t="s">
        <v>1786</v>
      </c>
      <c r="AB881" s="85">
        <v>906</v>
      </c>
      <c r="AC881" s="81">
        <v>43270</v>
      </c>
      <c r="AD881" s="86">
        <v>39062100</v>
      </c>
      <c r="AE881" s="87">
        <f t="shared" si="87"/>
        <v>0</v>
      </c>
      <c r="AF881" s="85">
        <v>2410</v>
      </c>
      <c r="AG881" s="81">
        <v>43280</v>
      </c>
      <c r="AH881" s="86">
        <v>39062100</v>
      </c>
      <c r="AI881" s="63" t="s">
        <v>2500</v>
      </c>
      <c r="AJ881" s="63">
        <v>2824</v>
      </c>
      <c r="AK881" s="87">
        <f t="shared" si="91"/>
        <v>0</v>
      </c>
      <c r="AL881" s="86">
        <v>0</v>
      </c>
      <c r="AM881" s="86">
        <f t="shared" si="92"/>
        <v>39062100</v>
      </c>
      <c r="AN881" s="63" t="s">
        <v>1155</v>
      </c>
      <c r="AO881" s="86">
        <f t="shared" si="93"/>
        <v>0</v>
      </c>
      <c r="AP881" s="63"/>
      <c r="AQ881" s="81">
        <v>43269</v>
      </c>
      <c r="AR881" s="63" t="s">
        <v>2109</v>
      </c>
      <c r="AS881" s="81">
        <v>43269</v>
      </c>
      <c r="AT881" s="63" t="s">
        <v>2498</v>
      </c>
      <c r="AU881" s="220"/>
      <c r="AV881" s="220"/>
      <c r="AW881" s="220"/>
    </row>
    <row r="882" spans="1:49" s="221" customFormat="1" ht="242.25" x14ac:dyDescent="0.25">
      <c r="A882" s="63">
        <v>468</v>
      </c>
      <c r="B882" s="63" t="str">
        <f t="shared" si="90"/>
        <v>3075-468</v>
      </c>
      <c r="C882" s="76" t="s">
        <v>1141</v>
      </c>
      <c r="D882" s="76" t="s">
        <v>1142</v>
      </c>
      <c r="E882" s="76" t="s">
        <v>1174</v>
      </c>
      <c r="F882" s="76" t="s">
        <v>1175</v>
      </c>
      <c r="G882" s="77" t="s">
        <v>1176</v>
      </c>
      <c r="H882" s="78" t="s">
        <v>1177</v>
      </c>
      <c r="I882" s="76" t="s">
        <v>1147</v>
      </c>
      <c r="J882" s="76" t="s">
        <v>1148</v>
      </c>
      <c r="K882" s="76" t="s">
        <v>439</v>
      </c>
      <c r="L882" s="63" t="s">
        <v>1149</v>
      </c>
      <c r="M882" s="63" t="s">
        <v>58</v>
      </c>
      <c r="N882" s="63" t="s">
        <v>59</v>
      </c>
      <c r="O882" s="76" t="s">
        <v>1169</v>
      </c>
      <c r="P882" s="76" t="s">
        <v>2501</v>
      </c>
      <c r="Q882" s="83">
        <v>17971536</v>
      </c>
      <c r="R882" s="63">
        <v>1</v>
      </c>
      <c r="S882" s="80">
        <f t="shared" si="94"/>
        <v>17971536</v>
      </c>
      <c r="T882" s="63" t="s">
        <v>1171</v>
      </c>
      <c r="U882" s="63" t="s">
        <v>1171</v>
      </c>
      <c r="V882" s="81" t="s">
        <v>431</v>
      </c>
      <c r="W882" s="82" t="s">
        <v>439</v>
      </c>
      <c r="X882" s="63" t="s">
        <v>2502</v>
      </c>
      <c r="Y882" s="81">
        <v>43273</v>
      </c>
      <c r="Z882" s="83">
        <v>17971536</v>
      </c>
      <c r="AA882" s="84" t="s">
        <v>2427</v>
      </c>
      <c r="AB882" s="85">
        <v>915</v>
      </c>
      <c r="AC882" s="81">
        <v>43277</v>
      </c>
      <c r="AD882" s="86">
        <v>17971536</v>
      </c>
      <c r="AE882" s="87">
        <f t="shared" si="87"/>
        <v>0</v>
      </c>
      <c r="AF882" s="85">
        <v>2562</v>
      </c>
      <c r="AG882" s="81">
        <v>43313</v>
      </c>
      <c r="AH882" s="86">
        <v>17971536</v>
      </c>
      <c r="AI882" s="63" t="s">
        <v>2503</v>
      </c>
      <c r="AJ882" s="63">
        <v>3007</v>
      </c>
      <c r="AK882" s="87">
        <f t="shared" si="91"/>
        <v>0</v>
      </c>
      <c r="AL882" s="86">
        <v>0</v>
      </c>
      <c r="AM882" s="86">
        <f t="shared" si="92"/>
        <v>17971536</v>
      </c>
      <c r="AN882" s="63" t="s">
        <v>1155</v>
      </c>
      <c r="AO882" s="86">
        <f t="shared" si="93"/>
        <v>0</v>
      </c>
      <c r="AP882" s="63"/>
      <c r="AQ882" s="81">
        <v>43272</v>
      </c>
      <c r="AR882" s="63" t="s">
        <v>2109</v>
      </c>
      <c r="AS882" s="81">
        <v>43273</v>
      </c>
      <c r="AT882" s="63" t="s">
        <v>2501</v>
      </c>
      <c r="AU882" s="220"/>
      <c r="AV882" s="220"/>
      <c r="AW882" s="220"/>
    </row>
    <row r="883" spans="1:49" s="221" customFormat="1" ht="213.75" x14ac:dyDescent="0.25">
      <c r="A883" s="63">
        <v>469</v>
      </c>
      <c r="B883" s="63" t="str">
        <f t="shared" si="90"/>
        <v>3075-469</v>
      </c>
      <c r="C883" s="76" t="s">
        <v>1141</v>
      </c>
      <c r="D883" s="76" t="s">
        <v>1142</v>
      </c>
      <c r="E883" s="76" t="s">
        <v>1165</v>
      </c>
      <c r="F883" s="76" t="s">
        <v>1166</v>
      </c>
      <c r="G883" s="77" t="s">
        <v>1167</v>
      </c>
      <c r="H883" s="78" t="s">
        <v>1168</v>
      </c>
      <c r="I883" s="76" t="s">
        <v>1147</v>
      </c>
      <c r="J883" s="76" t="s">
        <v>1148</v>
      </c>
      <c r="K883" s="76" t="s">
        <v>439</v>
      </c>
      <c r="L883" s="63" t="s">
        <v>1149</v>
      </c>
      <c r="M883" s="63" t="s">
        <v>58</v>
      </c>
      <c r="N883" s="63" t="s">
        <v>59</v>
      </c>
      <c r="O883" s="76" t="s">
        <v>1169</v>
      </c>
      <c r="P883" s="63" t="s">
        <v>2504</v>
      </c>
      <c r="Q883" s="79">
        <v>16512000</v>
      </c>
      <c r="R883" s="63">
        <v>1</v>
      </c>
      <c r="S883" s="80">
        <f t="shared" si="94"/>
        <v>16512000</v>
      </c>
      <c r="T883" s="63" t="s">
        <v>1171</v>
      </c>
      <c r="U883" s="63" t="s">
        <v>1171</v>
      </c>
      <c r="V883" s="81" t="s">
        <v>875</v>
      </c>
      <c r="W883" s="82" t="s">
        <v>439</v>
      </c>
      <c r="X883" s="90" t="s">
        <v>2505</v>
      </c>
      <c r="Y883" s="89">
        <v>43273</v>
      </c>
      <c r="Z883" s="83">
        <v>16512000</v>
      </c>
      <c r="AA883" s="84" t="s">
        <v>2474</v>
      </c>
      <c r="AB883" s="85">
        <v>914</v>
      </c>
      <c r="AC883" s="81">
        <v>43276</v>
      </c>
      <c r="AD883" s="86">
        <v>16512000</v>
      </c>
      <c r="AE883" s="87">
        <f t="shared" si="87"/>
        <v>0</v>
      </c>
      <c r="AF883" s="85">
        <v>2873</v>
      </c>
      <c r="AG883" s="81">
        <v>43360</v>
      </c>
      <c r="AH883" s="86">
        <v>16512000</v>
      </c>
      <c r="AI883" s="63" t="s">
        <v>2506</v>
      </c>
      <c r="AJ883" s="63">
        <v>3339</v>
      </c>
      <c r="AK883" s="87">
        <f t="shared" si="91"/>
        <v>0</v>
      </c>
      <c r="AL883" s="86">
        <v>0</v>
      </c>
      <c r="AM883" s="86">
        <f t="shared" si="92"/>
        <v>16512000</v>
      </c>
      <c r="AN883" s="63" t="s">
        <v>1155</v>
      </c>
      <c r="AO883" s="86">
        <f t="shared" si="93"/>
        <v>0</v>
      </c>
      <c r="AP883" s="63"/>
      <c r="AQ883" s="81">
        <v>43272</v>
      </c>
      <c r="AR883" s="63" t="s">
        <v>2109</v>
      </c>
      <c r="AS883" s="81">
        <v>43273</v>
      </c>
      <c r="AT883" s="63" t="s">
        <v>2504</v>
      </c>
      <c r="AU883" s="220"/>
      <c r="AV883" s="220"/>
      <c r="AW883" s="220"/>
    </row>
    <row r="884" spans="1:49" s="221" customFormat="1" ht="384.75" x14ac:dyDescent="0.25">
      <c r="A884" s="63">
        <v>470</v>
      </c>
      <c r="B884" s="63" t="str">
        <f t="shared" si="90"/>
        <v>3075-470</v>
      </c>
      <c r="C884" s="76" t="s">
        <v>1141</v>
      </c>
      <c r="D884" s="76" t="s">
        <v>1142</v>
      </c>
      <c r="E884" s="76" t="s">
        <v>1174</v>
      </c>
      <c r="F884" s="76" t="s">
        <v>1175</v>
      </c>
      <c r="G884" s="77" t="s">
        <v>1176</v>
      </c>
      <c r="H884" s="78" t="s">
        <v>1177</v>
      </c>
      <c r="I884" s="76" t="s">
        <v>1147</v>
      </c>
      <c r="J884" s="76" t="s">
        <v>1148</v>
      </c>
      <c r="K884" s="76" t="s">
        <v>439</v>
      </c>
      <c r="L884" s="63" t="s">
        <v>1149</v>
      </c>
      <c r="M884" s="63" t="s">
        <v>58</v>
      </c>
      <c r="N884" s="63" t="s">
        <v>59</v>
      </c>
      <c r="O884" s="76" t="s">
        <v>1169</v>
      </c>
      <c r="P884" s="76" t="s">
        <v>2507</v>
      </c>
      <c r="Q884" s="79">
        <v>39062100</v>
      </c>
      <c r="R884" s="63">
        <v>1</v>
      </c>
      <c r="S884" s="80">
        <f t="shared" si="94"/>
        <v>39062100</v>
      </c>
      <c r="T884" s="63" t="s">
        <v>1171</v>
      </c>
      <c r="U884" s="63" t="s">
        <v>1171</v>
      </c>
      <c r="V884" s="81" t="s">
        <v>1208</v>
      </c>
      <c r="W884" s="82" t="s">
        <v>439</v>
      </c>
      <c r="X884" s="63" t="s">
        <v>2508</v>
      </c>
      <c r="Y884" s="81">
        <v>43276</v>
      </c>
      <c r="Z884" s="83">
        <v>39062100</v>
      </c>
      <c r="AA884" s="84" t="s">
        <v>2509</v>
      </c>
      <c r="AB884" s="85">
        <v>917</v>
      </c>
      <c r="AC884" s="81">
        <v>43277</v>
      </c>
      <c r="AD884" s="86">
        <v>39062100</v>
      </c>
      <c r="AE884" s="87">
        <f t="shared" si="87"/>
        <v>0</v>
      </c>
      <c r="AF884" s="85">
        <v>2406</v>
      </c>
      <c r="AG884" s="81">
        <v>43280</v>
      </c>
      <c r="AH884" s="86">
        <v>39062100</v>
      </c>
      <c r="AI884" s="63" t="s">
        <v>2510</v>
      </c>
      <c r="AJ884" s="63">
        <v>2826</v>
      </c>
      <c r="AK884" s="87">
        <f t="shared" si="91"/>
        <v>0</v>
      </c>
      <c r="AL884" s="86">
        <v>0</v>
      </c>
      <c r="AM884" s="86">
        <f t="shared" si="92"/>
        <v>39062100</v>
      </c>
      <c r="AN884" s="63" t="s">
        <v>1155</v>
      </c>
      <c r="AO884" s="86">
        <f t="shared" si="93"/>
        <v>0</v>
      </c>
      <c r="AP884" s="63"/>
      <c r="AQ884" s="81">
        <v>43276</v>
      </c>
      <c r="AR884" s="63" t="s">
        <v>2109</v>
      </c>
      <c r="AS884" s="81">
        <v>43276</v>
      </c>
      <c r="AT884" s="76" t="s">
        <v>2507</v>
      </c>
      <c r="AU884" s="220"/>
      <c r="AV884" s="220"/>
      <c r="AW884" s="220"/>
    </row>
    <row r="885" spans="1:49" s="221" customFormat="1" ht="399" x14ac:dyDescent="0.25">
      <c r="A885" s="63">
        <v>471</v>
      </c>
      <c r="B885" s="63" t="str">
        <f t="shared" si="90"/>
        <v>3075-471</v>
      </c>
      <c r="C885" s="76" t="s">
        <v>1141</v>
      </c>
      <c r="D885" s="76" t="s">
        <v>1142</v>
      </c>
      <c r="E885" s="76" t="s">
        <v>1174</v>
      </c>
      <c r="F885" s="76" t="s">
        <v>1175</v>
      </c>
      <c r="G885" s="77" t="s">
        <v>1176</v>
      </c>
      <c r="H885" s="78" t="s">
        <v>1177</v>
      </c>
      <c r="I885" s="76" t="s">
        <v>1147</v>
      </c>
      <c r="J885" s="76" t="s">
        <v>1148</v>
      </c>
      <c r="K885" s="76" t="s">
        <v>439</v>
      </c>
      <c r="L885" s="63" t="s">
        <v>1149</v>
      </c>
      <c r="M885" s="63" t="s">
        <v>58</v>
      </c>
      <c r="N885" s="63" t="s">
        <v>59</v>
      </c>
      <c r="O885" s="76" t="s">
        <v>1169</v>
      </c>
      <c r="P885" s="76" t="s">
        <v>2511</v>
      </c>
      <c r="Q885" s="79">
        <v>39062100</v>
      </c>
      <c r="R885" s="63">
        <v>1</v>
      </c>
      <c r="S885" s="80">
        <f t="shared" si="94"/>
        <v>39062100</v>
      </c>
      <c r="T885" s="63" t="s">
        <v>1171</v>
      </c>
      <c r="U885" s="63" t="s">
        <v>1171</v>
      </c>
      <c r="V885" s="81" t="s">
        <v>844</v>
      </c>
      <c r="W885" s="82" t="s">
        <v>439</v>
      </c>
      <c r="X885" s="63" t="s">
        <v>2512</v>
      </c>
      <c r="Y885" s="81">
        <v>43276</v>
      </c>
      <c r="Z885" s="83">
        <v>39062100</v>
      </c>
      <c r="AA885" s="84" t="s">
        <v>2513</v>
      </c>
      <c r="AB885" s="85">
        <v>919</v>
      </c>
      <c r="AC885" s="81">
        <v>43277</v>
      </c>
      <c r="AD885" s="86">
        <v>39062100</v>
      </c>
      <c r="AE885" s="87">
        <f t="shared" si="87"/>
        <v>0</v>
      </c>
      <c r="AF885" s="85">
        <v>2475</v>
      </c>
      <c r="AG885" s="81">
        <v>43292</v>
      </c>
      <c r="AH885" s="86">
        <v>39062100</v>
      </c>
      <c r="AI885" s="63" t="s">
        <v>2514</v>
      </c>
      <c r="AJ885" s="63">
        <v>2839</v>
      </c>
      <c r="AK885" s="87">
        <f t="shared" si="91"/>
        <v>0</v>
      </c>
      <c r="AL885" s="86">
        <v>0</v>
      </c>
      <c r="AM885" s="86">
        <f t="shared" si="92"/>
        <v>39062100</v>
      </c>
      <c r="AN885" s="63" t="s">
        <v>1155</v>
      </c>
      <c r="AO885" s="86">
        <f t="shared" si="93"/>
        <v>0</v>
      </c>
      <c r="AP885" s="63"/>
      <c r="AQ885" s="81">
        <v>43276</v>
      </c>
      <c r="AR885" s="63" t="s">
        <v>2109</v>
      </c>
      <c r="AS885" s="81">
        <v>43276</v>
      </c>
      <c r="AT885" s="76" t="s">
        <v>2511</v>
      </c>
      <c r="AU885" s="220"/>
      <c r="AV885" s="220"/>
      <c r="AW885" s="220"/>
    </row>
    <row r="886" spans="1:49" s="221" customFormat="1" ht="270.75" x14ac:dyDescent="0.25">
      <c r="A886" s="63">
        <v>472</v>
      </c>
      <c r="B886" s="63" t="str">
        <f t="shared" si="90"/>
        <v>3075-472</v>
      </c>
      <c r="C886" s="76" t="s">
        <v>1141</v>
      </c>
      <c r="D886" s="76" t="s">
        <v>1142</v>
      </c>
      <c r="E886" s="76" t="s">
        <v>1174</v>
      </c>
      <c r="F886" s="76" t="s">
        <v>1175</v>
      </c>
      <c r="G886" s="77" t="s">
        <v>1176</v>
      </c>
      <c r="H886" s="78" t="s">
        <v>1177</v>
      </c>
      <c r="I886" s="76" t="s">
        <v>1147</v>
      </c>
      <c r="J886" s="76" t="s">
        <v>1148</v>
      </c>
      <c r="K886" s="76" t="s">
        <v>439</v>
      </c>
      <c r="L886" s="63" t="s">
        <v>1149</v>
      </c>
      <c r="M886" s="63" t="s">
        <v>58</v>
      </c>
      <c r="N886" s="63" t="s">
        <v>59</v>
      </c>
      <c r="O886" s="76" t="s">
        <v>1169</v>
      </c>
      <c r="P886" s="76" t="s">
        <v>2515</v>
      </c>
      <c r="Q886" s="79">
        <v>39062100</v>
      </c>
      <c r="R886" s="63">
        <v>1</v>
      </c>
      <c r="S886" s="80">
        <f t="shared" si="94"/>
        <v>39062100</v>
      </c>
      <c r="T886" s="63"/>
      <c r="U886" s="63" t="s">
        <v>1171</v>
      </c>
      <c r="V886" s="81" t="s">
        <v>875</v>
      </c>
      <c r="W886" s="82" t="s">
        <v>439</v>
      </c>
      <c r="X886" s="63" t="s">
        <v>2516</v>
      </c>
      <c r="Y886" s="81">
        <v>43276</v>
      </c>
      <c r="Z886" s="83">
        <f>39062100-39062100</f>
        <v>0</v>
      </c>
      <c r="AA886" s="84" t="s">
        <v>2513</v>
      </c>
      <c r="AB886" s="85" t="s">
        <v>2517</v>
      </c>
      <c r="AC886" s="81">
        <v>43277</v>
      </c>
      <c r="AD886" s="86">
        <v>0</v>
      </c>
      <c r="AE886" s="87">
        <f t="shared" si="87"/>
        <v>39062100</v>
      </c>
      <c r="AF886" s="85"/>
      <c r="AG886" s="81"/>
      <c r="AH886" s="86"/>
      <c r="AI886" s="63"/>
      <c r="AJ886" s="63"/>
      <c r="AK886" s="87">
        <f t="shared" si="91"/>
        <v>0</v>
      </c>
      <c r="AL886" s="86"/>
      <c r="AM886" s="86">
        <f t="shared" si="92"/>
        <v>0</v>
      </c>
      <c r="AN886" s="63" t="s">
        <v>1155</v>
      </c>
      <c r="AO886" s="86">
        <f t="shared" si="93"/>
        <v>39062100</v>
      </c>
      <c r="AP886" s="63"/>
      <c r="AQ886" s="81">
        <v>43276</v>
      </c>
      <c r="AR886" s="63" t="s">
        <v>2109</v>
      </c>
      <c r="AS886" s="81">
        <v>43276</v>
      </c>
      <c r="AT886" s="76"/>
      <c r="AU886" s="220"/>
      <c r="AV886" s="220"/>
      <c r="AW886" s="220"/>
    </row>
    <row r="887" spans="1:49" s="221" customFormat="1" ht="399" x14ac:dyDescent="0.25">
      <c r="A887" s="63">
        <v>473</v>
      </c>
      <c r="B887" s="63" t="str">
        <f t="shared" si="90"/>
        <v>3075-473</v>
      </c>
      <c r="C887" s="76" t="s">
        <v>1141</v>
      </c>
      <c r="D887" s="76" t="s">
        <v>1142</v>
      </c>
      <c r="E887" s="76" t="s">
        <v>1174</v>
      </c>
      <c r="F887" s="76" t="s">
        <v>1175</v>
      </c>
      <c r="G887" s="77" t="s">
        <v>1176</v>
      </c>
      <c r="H887" s="78" t="s">
        <v>1177</v>
      </c>
      <c r="I887" s="76" t="s">
        <v>1147</v>
      </c>
      <c r="J887" s="76" t="s">
        <v>1148</v>
      </c>
      <c r="K887" s="76" t="s">
        <v>439</v>
      </c>
      <c r="L887" s="63" t="s">
        <v>1149</v>
      </c>
      <c r="M887" s="63" t="s">
        <v>58</v>
      </c>
      <c r="N887" s="63" t="s">
        <v>59</v>
      </c>
      <c r="O887" s="76" t="s">
        <v>1169</v>
      </c>
      <c r="P887" s="76" t="s">
        <v>2518</v>
      </c>
      <c r="Q887" s="79">
        <v>39062100</v>
      </c>
      <c r="R887" s="63">
        <v>1</v>
      </c>
      <c r="S887" s="80">
        <f t="shared" si="94"/>
        <v>39062100</v>
      </c>
      <c r="T887" s="63" t="s">
        <v>1171</v>
      </c>
      <c r="U887" s="63" t="s">
        <v>1171</v>
      </c>
      <c r="V887" s="81" t="s">
        <v>431</v>
      </c>
      <c r="W887" s="82" t="s">
        <v>439</v>
      </c>
      <c r="X887" s="63" t="s">
        <v>2519</v>
      </c>
      <c r="Y887" s="81">
        <v>43276</v>
      </c>
      <c r="Z887" s="83">
        <v>39062100</v>
      </c>
      <c r="AA887" s="84" t="s">
        <v>2513</v>
      </c>
      <c r="AB887" s="85">
        <v>921</v>
      </c>
      <c r="AC887" s="81">
        <v>43277</v>
      </c>
      <c r="AD887" s="86">
        <v>39062100</v>
      </c>
      <c r="AE887" s="87">
        <f t="shared" si="87"/>
        <v>0</v>
      </c>
      <c r="AF887" s="85">
        <v>2608</v>
      </c>
      <c r="AG887" s="81">
        <v>43320</v>
      </c>
      <c r="AH887" s="86">
        <v>39062100</v>
      </c>
      <c r="AI887" s="63" t="s">
        <v>2520</v>
      </c>
      <c r="AJ887" s="63">
        <v>3032</v>
      </c>
      <c r="AK887" s="87">
        <f t="shared" si="91"/>
        <v>0</v>
      </c>
      <c r="AL887" s="86">
        <v>0</v>
      </c>
      <c r="AM887" s="86">
        <f t="shared" si="92"/>
        <v>39062100</v>
      </c>
      <c r="AN887" s="63" t="s">
        <v>1155</v>
      </c>
      <c r="AO887" s="86">
        <f t="shared" si="93"/>
        <v>0</v>
      </c>
      <c r="AP887" s="63"/>
      <c r="AQ887" s="81">
        <v>43276</v>
      </c>
      <c r="AR887" s="63" t="s">
        <v>2109</v>
      </c>
      <c r="AS887" s="81">
        <v>43276</v>
      </c>
      <c r="AT887" s="76" t="s">
        <v>2518</v>
      </c>
      <c r="AU887" s="220"/>
      <c r="AV887" s="220"/>
      <c r="AW887" s="220"/>
    </row>
    <row r="888" spans="1:49" s="221" customFormat="1" ht="399" x14ac:dyDescent="0.25">
      <c r="A888" s="63">
        <v>474</v>
      </c>
      <c r="B888" s="63" t="str">
        <f t="shared" si="90"/>
        <v>3075-474</v>
      </c>
      <c r="C888" s="76" t="s">
        <v>1141</v>
      </c>
      <c r="D888" s="76" t="s">
        <v>1142</v>
      </c>
      <c r="E888" s="76" t="s">
        <v>1174</v>
      </c>
      <c r="F888" s="76" t="s">
        <v>1175</v>
      </c>
      <c r="G888" s="77" t="s">
        <v>1176</v>
      </c>
      <c r="H888" s="78" t="s">
        <v>1177</v>
      </c>
      <c r="I888" s="76" t="s">
        <v>1147</v>
      </c>
      <c r="J888" s="76" t="s">
        <v>1148</v>
      </c>
      <c r="K888" s="76" t="s">
        <v>439</v>
      </c>
      <c r="L888" s="63" t="s">
        <v>1149</v>
      </c>
      <c r="M888" s="63" t="s">
        <v>58</v>
      </c>
      <c r="N888" s="63" t="s">
        <v>59</v>
      </c>
      <c r="O888" s="76" t="s">
        <v>1169</v>
      </c>
      <c r="P888" s="76" t="s">
        <v>2521</v>
      </c>
      <c r="Q888" s="79">
        <v>39062100</v>
      </c>
      <c r="R888" s="63">
        <v>1</v>
      </c>
      <c r="S888" s="80">
        <f t="shared" si="94"/>
        <v>39062100</v>
      </c>
      <c r="T888" s="63" t="s">
        <v>1171</v>
      </c>
      <c r="U888" s="63" t="s">
        <v>1171</v>
      </c>
      <c r="V888" s="81" t="s">
        <v>431</v>
      </c>
      <c r="W888" s="82" t="s">
        <v>439</v>
      </c>
      <c r="X888" s="63" t="s">
        <v>2522</v>
      </c>
      <c r="Y888" s="81">
        <v>43276</v>
      </c>
      <c r="Z888" s="83">
        <v>39062100</v>
      </c>
      <c r="AA888" s="84" t="s">
        <v>2523</v>
      </c>
      <c r="AB888" s="85">
        <v>922</v>
      </c>
      <c r="AC888" s="81">
        <v>43277</v>
      </c>
      <c r="AD888" s="86">
        <v>39062100</v>
      </c>
      <c r="AE888" s="87">
        <f t="shared" si="87"/>
        <v>0</v>
      </c>
      <c r="AF888" s="85">
        <v>2573</v>
      </c>
      <c r="AG888" s="81">
        <v>43314</v>
      </c>
      <c r="AH888" s="86">
        <v>39062100</v>
      </c>
      <c r="AI888" s="63" t="s">
        <v>2524</v>
      </c>
      <c r="AJ888" s="63">
        <v>3033</v>
      </c>
      <c r="AK888" s="87">
        <f t="shared" si="91"/>
        <v>0</v>
      </c>
      <c r="AL888" s="86">
        <v>0</v>
      </c>
      <c r="AM888" s="86">
        <f t="shared" si="92"/>
        <v>39062100</v>
      </c>
      <c r="AN888" s="63" t="s">
        <v>1155</v>
      </c>
      <c r="AO888" s="86">
        <f t="shared" si="93"/>
        <v>0</v>
      </c>
      <c r="AP888" s="63"/>
      <c r="AQ888" s="81">
        <v>43276</v>
      </c>
      <c r="AR888" s="63" t="s">
        <v>2109</v>
      </c>
      <c r="AS888" s="81">
        <v>43276</v>
      </c>
      <c r="AT888" s="63" t="s">
        <v>2521</v>
      </c>
      <c r="AU888" s="220"/>
      <c r="AV888" s="220"/>
      <c r="AW888" s="220"/>
    </row>
    <row r="889" spans="1:49" s="221" customFormat="1" ht="399" x14ac:dyDescent="0.25">
      <c r="A889" s="63">
        <v>475</v>
      </c>
      <c r="B889" s="63" t="str">
        <f t="shared" si="90"/>
        <v>3075-475</v>
      </c>
      <c r="C889" s="76" t="s">
        <v>1141</v>
      </c>
      <c r="D889" s="76" t="s">
        <v>1142</v>
      </c>
      <c r="E889" s="76" t="s">
        <v>1174</v>
      </c>
      <c r="F889" s="76" t="s">
        <v>1175</v>
      </c>
      <c r="G889" s="77" t="s">
        <v>1176</v>
      </c>
      <c r="H889" s="78" t="s">
        <v>1177</v>
      </c>
      <c r="I889" s="76" t="s">
        <v>1147</v>
      </c>
      <c r="J889" s="76" t="s">
        <v>1148</v>
      </c>
      <c r="K889" s="76" t="s">
        <v>439</v>
      </c>
      <c r="L889" s="63" t="s">
        <v>1149</v>
      </c>
      <c r="M889" s="63" t="s">
        <v>58</v>
      </c>
      <c r="N889" s="63" t="s">
        <v>59</v>
      </c>
      <c r="O889" s="76" t="s">
        <v>1169</v>
      </c>
      <c r="P889" s="76" t="s">
        <v>2525</v>
      </c>
      <c r="Q889" s="79">
        <v>39062100</v>
      </c>
      <c r="R889" s="63">
        <v>1</v>
      </c>
      <c r="S889" s="80">
        <f t="shared" si="94"/>
        <v>39062100</v>
      </c>
      <c r="T889" s="63" t="s">
        <v>1171</v>
      </c>
      <c r="U889" s="63" t="s">
        <v>1171</v>
      </c>
      <c r="V889" s="81" t="s">
        <v>431</v>
      </c>
      <c r="W889" s="82" t="s">
        <v>439</v>
      </c>
      <c r="X889" s="63" t="s">
        <v>2526</v>
      </c>
      <c r="Y889" s="81">
        <v>43276</v>
      </c>
      <c r="Z889" s="83">
        <v>39062100</v>
      </c>
      <c r="AA889" s="84" t="s">
        <v>2527</v>
      </c>
      <c r="AB889" s="85">
        <v>923</v>
      </c>
      <c r="AC889" s="81">
        <v>43277</v>
      </c>
      <c r="AD889" s="86">
        <v>39062100</v>
      </c>
      <c r="AE889" s="87">
        <f t="shared" si="87"/>
        <v>0</v>
      </c>
      <c r="AF889" s="85">
        <v>2559</v>
      </c>
      <c r="AG889" s="81">
        <v>43313</v>
      </c>
      <c r="AH889" s="86">
        <v>39062100</v>
      </c>
      <c r="AI889" s="63" t="s">
        <v>2528</v>
      </c>
      <c r="AJ889" s="63">
        <v>3006</v>
      </c>
      <c r="AK889" s="87">
        <f t="shared" si="91"/>
        <v>0</v>
      </c>
      <c r="AL889" s="86">
        <v>0</v>
      </c>
      <c r="AM889" s="86">
        <f t="shared" si="92"/>
        <v>39062100</v>
      </c>
      <c r="AN889" s="63" t="s">
        <v>1155</v>
      </c>
      <c r="AO889" s="86">
        <f t="shared" si="93"/>
        <v>0</v>
      </c>
      <c r="AP889" s="63"/>
      <c r="AQ889" s="81">
        <v>43276</v>
      </c>
      <c r="AR889" s="63" t="s">
        <v>2109</v>
      </c>
      <c r="AS889" s="81">
        <v>43276</v>
      </c>
      <c r="AT889" s="63" t="s">
        <v>2525</v>
      </c>
      <c r="AU889" s="220"/>
      <c r="AV889" s="220"/>
      <c r="AW889" s="220"/>
    </row>
    <row r="890" spans="1:49" s="221" customFormat="1" ht="384.75" x14ac:dyDescent="0.25">
      <c r="A890" s="63">
        <v>476</v>
      </c>
      <c r="B890" s="63" t="str">
        <f t="shared" si="90"/>
        <v>3075-476</v>
      </c>
      <c r="C890" s="76" t="s">
        <v>1141</v>
      </c>
      <c r="D890" s="76" t="s">
        <v>1142</v>
      </c>
      <c r="E890" s="76" t="s">
        <v>1174</v>
      </c>
      <c r="F890" s="76" t="s">
        <v>1175</v>
      </c>
      <c r="G890" s="77" t="s">
        <v>1176</v>
      </c>
      <c r="H890" s="78" t="s">
        <v>1177</v>
      </c>
      <c r="I890" s="76" t="s">
        <v>1147</v>
      </c>
      <c r="J890" s="76" t="s">
        <v>1148</v>
      </c>
      <c r="K890" s="76" t="s">
        <v>439</v>
      </c>
      <c r="L890" s="63" t="s">
        <v>1149</v>
      </c>
      <c r="M890" s="63" t="s">
        <v>58</v>
      </c>
      <c r="N890" s="63" t="s">
        <v>59</v>
      </c>
      <c r="O890" s="76" t="s">
        <v>1169</v>
      </c>
      <c r="P890" s="76" t="s">
        <v>2529</v>
      </c>
      <c r="Q890" s="79">
        <v>39062100</v>
      </c>
      <c r="R890" s="63">
        <v>1</v>
      </c>
      <c r="S890" s="80">
        <f t="shared" si="94"/>
        <v>39062100</v>
      </c>
      <c r="T890" s="63" t="s">
        <v>1171</v>
      </c>
      <c r="U890" s="63" t="s">
        <v>1171</v>
      </c>
      <c r="V890" s="81" t="s">
        <v>431</v>
      </c>
      <c r="W890" s="82" t="s">
        <v>439</v>
      </c>
      <c r="X890" s="63" t="s">
        <v>2530</v>
      </c>
      <c r="Y890" s="81">
        <v>43277</v>
      </c>
      <c r="Z890" s="83">
        <v>39062100</v>
      </c>
      <c r="AA890" s="84" t="s">
        <v>2527</v>
      </c>
      <c r="AB890" s="85">
        <v>932</v>
      </c>
      <c r="AC890" s="81">
        <v>43279</v>
      </c>
      <c r="AD890" s="86">
        <v>39062100</v>
      </c>
      <c r="AE890" s="87">
        <f t="shared" si="87"/>
        <v>0</v>
      </c>
      <c r="AF890" s="85">
        <v>2556</v>
      </c>
      <c r="AG890" s="81">
        <v>43313</v>
      </c>
      <c r="AH890" s="86">
        <v>39062100</v>
      </c>
      <c r="AI890" s="63" t="s">
        <v>2531</v>
      </c>
      <c r="AJ890" s="63">
        <v>3003</v>
      </c>
      <c r="AK890" s="87">
        <f t="shared" si="91"/>
        <v>0</v>
      </c>
      <c r="AL890" s="86">
        <v>0</v>
      </c>
      <c r="AM890" s="86">
        <f t="shared" si="92"/>
        <v>39062100</v>
      </c>
      <c r="AN890" s="63" t="s">
        <v>1155</v>
      </c>
      <c r="AO890" s="86">
        <f t="shared" si="93"/>
        <v>0</v>
      </c>
      <c r="AP890" s="63"/>
      <c r="AQ890" s="81">
        <v>43277</v>
      </c>
      <c r="AR890" s="63" t="s">
        <v>2109</v>
      </c>
      <c r="AS890" s="81">
        <v>43277</v>
      </c>
      <c r="AT890" s="76" t="s">
        <v>2529</v>
      </c>
      <c r="AU890" s="220"/>
      <c r="AV890" s="220"/>
      <c r="AW890" s="220"/>
    </row>
    <row r="891" spans="1:49" s="221" customFormat="1" ht="199.5" x14ac:dyDescent="0.25">
      <c r="A891" s="63">
        <v>477</v>
      </c>
      <c r="B891" s="63" t="str">
        <f t="shared" si="90"/>
        <v>3075-477</v>
      </c>
      <c r="C891" s="76" t="s">
        <v>1141</v>
      </c>
      <c r="D891" s="76" t="s">
        <v>1142</v>
      </c>
      <c r="E891" s="76" t="s">
        <v>1165</v>
      </c>
      <c r="F891" s="76" t="s">
        <v>1166</v>
      </c>
      <c r="G891" s="77" t="s">
        <v>1167</v>
      </c>
      <c r="H891" s="78" t="s">
        <v>1168</v>
      </c>
      <c r="I891" s="76" t="s">
        <v>1147</v>
      </c>
      <c r="J891" s="76" t="s">
        <v>1148</v>
      </c>
      <c r="K891" s="76" t="s">
        <v>439</v>
      </c>
      <c r="L891" s="63" t="s">
        <v>1149</v>
      </c>
      <c r="M891" s="63" t="s">
        <v>58</v>
      </c>
      <c r="N891" s="63" t="s">
        <v>59</v>
      </c>
      <c r="O891" s="76" t="s">
        <v>1169</v>
      </c>
      <c r="P891" s="63" t="s">
        <v>2532</v>
      </c>
      <c r="Q891" s="79">
        <v>18216000</v>
      </c>
      <c r="R891" s="63">
        <v>1</v>
      </c>
      <c r="S891" s="80">
        <f t="shared" si="94"/>
        <v>18216000</v>
      </c>
      <c r="T891" s="63" t="s">
        <v>1171</v>
      </c>
      <c r="U891" s="63" t="s">
        <v>1171</v>
      </c>
      <c r="V891" s="81" t="s">
        <v>431</v>
      </c>
      <c r="W891" s="82" t="s">
        <v>439</v>
      </c>
      <c r="X891" s="90" t="s">
        <v>2533</v>
      </c>
      <c r="Y891" s="89">
        <v>43277</v>
      </c>
      <c r="Z891" s="83">
        <v>18216000</v>
      </c>
      <c r="AA891" s="84" t="s">
        <v>2534</v>
      </c>
      <c r="AB891" s="85">
        <v>931</v>
      </c>
      <c r="AC891" s="81">
        <v>43279</v>
      </c>
      <c r="AD891" s="86">
        <v>18216000</v>
      </c>
      <c r="AE891" s="87">
        <f t="shared" si="87"/>
        <v>0</v>
      </c>
      <c r="AF891" s="85">
        <v>2696</v>
      </c>
      <c r="AG891" s="81">
        <v>43334</v>
      </c>
      <c r="AH891" s="86">
        <v>18216000</v>
      </c>
      <c r="AI891" s="63" t="s">
        <v>2535</v>
      </c>
      <c r="AJ891" s="63">
        <v>3148</v>
      </c>
      <c r="AK891" s="87">
        <f t="shared" si="91"/>
        <v>0</v>
      </c>
      <c r="AL891" s="86">
        <v>0</v>
      </c>
      <c r="AM891" s="86">
        <f t="shared" si="92"/>
        <v>18216000</v>
      </c>
      <c r="AN891" s="63" t="s">
        <v>1155</v>
      </c>
      <c r="AO891" s="86">
        <f t="shared" si="93"/>
        <v>0</v>
      </c>
      <c r="AP891" s="63"/>
      <c r="AQ891" s="81">
        <v>43277</v>
      </c>
      <c r="AR891" s="63" t="s">
        <v>2109</v>
      </c>
      <c r="AS891" s="81">
        <v>43277</v>
      </c>
      <c r="AT891" s="63" t="s">
        <v>2532</v>
      </c>
      <c r="AU891" s="220"/>
      <c r="AV891" s="220"/>
      <c r="AW891" s="220"/>
    </row>
    <row r="892" spans="1:49" s="221" customFormat="1" ht="299.25" x14ac:dyDescent="0.25">
      <c r="A892" s="63">
        <v>478</v>
      </c>
      <c r="B892" s="63" t="str">
        <f t="shared" si="90"/>
        <v>3075-478</v>
      </c>
      <c r="C892" s="76" t="s">
        <v>1141</v>
      </c>
      <c r="D892" s="76" t="s">
        <v>1142</v>
      </c>
      <c r="E892" s="76" t="s">
        <v>1143</v>
      </c>
      <c r="F892" s="76" t="s">
        <v>1158</v>
      </c>
      <c r="G892" s="77" t="s">
        <v>1159</v>
      </c>
      <c r="H892" s="78" t="s">
        <v>1160</v>
      </c>
      <c r="I892" s="76" t="s">
        <v>1147</v>
      </c>
      <c r="J892" s="76" t="s">
        <v>1148</v>
      </c>
      <c r="K892" s="76">
        <v>801116</v>
      </c>
      <c r="L892" s="63" t="s">
        <v>1149</v>
      </c>
      <c r="M892" s="63" t="s">
        <v>58</v>
      </c>
      <c r="N892" s="63" t="s">
        <v>59</v>
      </c>
      <c r="O892" s="76" t="s">
        <v>1213</v>
      </c>
      <c r="P892" s="76" t="s">
        <v>2536</v>
      </c>
      <c r="Q892" s="83">
        <v>5036700</v>
      </c>
      <c r="R892" s="63">
        <v>1</v>
      </c>
      <c r="S892" s="80">
        <f>Q892*R892*W892-2518350</f>
        <v>22665150</v>
      </c>
      <c r="T892" s="63" t="s">
        <v>888</v>
      </c>
      <c r="U892" s="63" t="s">
        <v>1163</v>
      </c>
      <c r="V892" s="81" t="s">
        <v>431</v>
      </c>
      <c r="W892" s="82">
        <v>5</v>
      </c>
      <c r="X892" s="63" t="s">
        <v>2537</v>
      </c>
      <c r="Y892" s="81">
        <v>43286</v>
      </c>
      <c r="Z892" s="83">
        <f>25183500-2518350</f>
        <v>22665150</v>
      </c>
      <c r="AA892" s="84" t="s">
        <v>2538</v>
      </c>
      <c r="AB892" s="85">
        <v>941</v>
      </c>
      <c r="AC892" s="81">
        <v>43286</v>
      </c>
      <c r="AD892" s="86">
        <v>22665150</v>
      </c>
      <c r="AE892" s="87">
        <f t="shared" si="87"/>
        <v>0</v>
      </c>
      <c r="AF892" s="85">
        <v>2728</v>
      </c>
      <c r="AG892" s="81">
        <v>43335</v>
      </c>
      <c r="AH892" s="86">
        <v>22665150</v>
      </c>
      <c r="AI892" s="63" t="s">
        <v>2539</v>
      </c>
      <c r="AJ892" s="63">
        <v>520</v>
      </c>
      <c r="AK892" s="87">
        <f t="shared" si="91"/>
        <v>0</v>
      </c>
      <c r="AL892" s="86">
        <v>1343120</v>
      </c>
      <c r="AM892" s="86">
        <f t="shared" si="92"/>
        <v>21322030</v>
      </c>
      <c r="AN892" s="63" t="s">
        <v>1155</v>
      </c>
      <c r="AO892" s="86">
        <f t="shared" si="93"/>
        <v>0</v>
      </c>
      <c r="AP892" s="63"/>
      <c r="AQ892" s="81">
        <v>43285</v>
      </c>
      <c r="AR892" s="63" t="s">
        <v>2109</v>
      </c>
      <c r="AS892" s="81">
        <v>43286</v>
      </c>
      <c r="AT892" s="63" t="s">
        <v>1453</v>
      </c>
      <c r="AU892" s="220"/>
      <c r="AV892" s="220"/>
      <c r="AW892" s="220"/>
    </row>
    <row r="893" spans="1:49" s="221" customFormat="1" ht="409.5" x14ac:dyDescent="0.25">
      <c r="A893" s="63">
        <v>479</v>
      </c>
      <c r="B893" s="63" t="str">
        <f t="shared" si="90"/>
        <v>3075-479</v>
      </c>
      <c r="C893" s="76" t="s">
        <v>1141</v>
      </c>
      <c r="D893" s="76" t="s">
        <v>1142</v>
      </c>
      <c r="E893" s="76" t="s">
        <v>1165</v>
      </c>
      <c r="F893" s="76" t="s">
        <v>1166</v>
      </c>
      <c r="G893" s="77" t="s">
        <v>1167</v>
      </c>
      <c r="H893" s="78" t="s">
        <v>1168</v>
      </c>
      <c r="I893" s="76" t="s">
        <v>1147</v>
      </c>
      <c r="J893" s="76" t="s">
        <v>1148</v>
      </c>
      <c r="K893" s="76" t="s">
        <v>439</v>
      </c>
      <c r="L893" s="63" t="s">
        <v>1149</v>
      </c>
      <c r="M893" s="63" t="s">
        <v>58</v>
      </c>
      <c r="N893" s="63" t="s">
        <v>59</v>
      </c>
      <c r="O893" s="76" t="s">
        <v>1169</v>
      </c>
      <c r="P893" s="63" t="s">
        <v>2540</v>
      </c>
      <c r="Q893" s="79">
        <v>10962000</v>
      </c>
      <c r="R893" s="63">
        <v>1</v>
      </c>
      <c r="S893" s="80">
        <f t="shared" ref="S893:S902" si="95">Q893*R893</f>
        <v>10962000</v>
      </c>
      <c r="T893" s="63" t="s">
        <v>1171</v>
      </c>
      <c r="U893" s="63" t="s">
        <v>1171</v>
      </c>
      <c r="V893" s="81" t="s">
        <v>875</v>
      </c>
      <c r="W893" s="82" t="s">
        <v>439</v>
      </c>
      <c r="X893" s="90" t="s">
        <v>2541</v>
      </c>
      <c r="Y893" s="89">
        <v>43290</v>
      </c>
      <c r="Z893" s="83">
        <v>10962000</v>
      </c>
      <c r="AA893" s="84" t="s">
        <v>2542</v>
      </c>
      <c r="AB893" s="85">
        <v>946</v>
      </c>
      <c r="AC893" s="81">
        <v>43291</v>
      </c>
      <c r="AD893" s="86">
        <v>10962000</v>
      </c>
      <c r="AE893" s="87">
        <f t="shared" si="87"/>
        <v>0</v>
      </c>
      <c r="AF893" s="85">
        <v>2872</v>
      </c>
      <c r="AG893" s="81">
        <v>43360</v>
      </c>
      <c r="AH893" s="86">
        <v>10962000</v>
      </c>
      <c r="AI893" s="63" t="s">
        <v>2543</v>
      </c>
      <c r="AJ893" s="63">
        <v>3340</v>
      </c>
      <c r="AK893" s="87">
        <f t="shared" si="91"/>
        <v>0</v>
      </c>
      <c r="AL893" s="86">
        <v>0</v>
      </c>
      <c r="AM893" s="86">
        <f t="shared" si="92"/>
        <v>10962000</v>
      </c>
      <c r="AN893" s="63" t="s">
        <v>1155</v>
      </c>
      <c r="AO893" s="86">
        <f t="shared" si="93"/>
        <v>0</v>
      </c>
      <c r="AP893" s="63"/>
      <c r="AQ893" s="81">
        <v>43290</v>
      </c>
      <c r="AR893" s="63" t="s">
        <v>2109</v>
      </c>
      <c r="AS893" s="81">
        <v>43290</v>
      </c>
      <c r="AT893" s="63" t="s">
        <v>2540</v>
      </c>
      <c r="AU893" s="220"/>
      <c r="AV893" s="220"/>
      <c r="AW893" s="220"/>
    </row>
    <row r="894" spans="1:49" s="221" customFormat="1" ht="370.5" x14ac:dyDescent="0.25">
      <c r="A894" s="63">
        <v>480</v>
      </c>
      <c r="B894" s="63" t="str">
        <f t="shared" si="90"/>
        <v>3075-480</v>
      </c>
      <c r="C894" s="76" t="s">
        <v>1141</v>
      </c>
      <c r="D894" s="76" t="s">
        <v>1142</v>
      </c>
      <c r="E894" s="76" t="s">
        <v>1174</v>
      </c>
      <c r="F894" s="76" t="s">
        <v>1175</v>
      </c>
      <c r="G894" s="77" t="s">
        <v>1176</v>
      </c>
      <c r="H894" s="78" t="s">
        <v>1177</v>
      </c>
      <c r="I894" s="76" t="s">
        <v>1191</v>
      </c>
      <c r="J894" s="76" t="s">
        <v>1192</v>
      </c>
      <c r="K894" s="76" t="s">
        <v>439</v>
      </c>
      <c r="L894" s="63" t="s">
        <v>1149</v>
      </c>
      <c r="M894" s="63" t="s">
        <v>58</v>
      </c>
      <c r="N894" s="63" t="s">
        <v>59</v>
      </c>
      <c r="O894" s="76" t="s">
        <v>1169</v>
      </c>
      <c r="P894" s="76" t="s">
        <v>2544</v>
      </c>
      <c r="Q894" s="79">
        <v>39062100</v>
      </c>
      <c r="R894" s="63">
        <v>1</v>
      </c>
      <c r="S894" s="80">
        <f t="shared" si="95"/>
        <v>39062100</v>
      </c>
      <c r="T894" s="63" t="s">
        <v>1171</v>
      </c>
      <c r="U894" s="63" t="s">
        <v>1171</v>
      </c>
      <c r="V894" s="81" t="s">
        <v>431</v>
      </c>
      <c r="W894" s="82" t="s">
        <v>439</v>
      </c>
      <c r="X894" s="90" t="s">
        <v>2545</v>
      </c>
      <c r="Y894" s="81">
        <v>43290</v>
      </c>
      <c r="Z894" s="83">
        <v>39062100</v>
      </c>
      <c r="AA894" s="84" t="s">
        <v>2546</v>
      </c>
      <c r="AB894" s="85">
        <v>951</v>
      </c>
      <c r="AC894" s="81">
        <v>43291</v>
      </c>
      <c r="AD894" s="86">
        <v>39062100</v>
      </c>
      <c r="AE894" s="87">
        <f t="shared" si="87"/>
        <v>0</v>
      </c>
      <c r="AF894" s="85">
        <v>2598</v>
      </c>
      <c r="AG894" s="81">
        <v>43315</v>
      </c>
      <c r="AH894" s="86">
        <v>39062100</v>
      </c>
      <c r="AI894" s="63" t="s">
        <v>2547</v>
      </c>
      <c r="AJ894" s="63">
        <v>3035</v>
      </c>
      <c r="AK894" s="87">
        <f t="shared" si="91"/>
        <v>0</v>
      </c>
      <c r="AL894" s="86">
        <v>0</v>
      </c>
      <c r="AM894" s="86">
        <f t="shared" si="92"/>
        <v>39062100</v>
      </c>
      <c r="AN894" s="63" t="s">
        <v>1155</v>
      </c>
      <c r="AO894" s="86">
        <f t="shared" si="93"/>
        <v>0</v>
      </c>
      <c r="AP894" s="63"/>
      <c r="AQ894" s="81">
        <v>43290</v>
      </c>
      <c r="AR894" s="63" t="s">
        <v>2109</v>
      </c>
      <c r="AS894" s="81">
        <v>43290</v>
      </c>
      <c r="AT894" s="76" t="s">
        <v>2544</v>
      </c>
      <c r="AU894" s="220"/>
      <c r="AV894" s="220"/>
      <c r="AW894" s="220"/>
    </row>
    <row r="895" spans="1:49" s="221" customFormat="1" ht="384.75" x14ac:dyDescent="0.25">
      <c r="A895" s="63">
        <v>481</v>
      </c>
      <c r="B895" s="63" t="str">
        <f t="shared" si="90"/>
        <v>3075-481</v>
      </c>
      <c r="C895" s="76" t="s">
        <v>1141</v>
      </c>
      <c r="D895" s="76" t="s">
        <v>1142</v>
      </c>
      <c r="E895" s="76" t="s">
        <v>1174</v>
      </c>
      <c r="F895" s="76" t="s">
        <v>1175</v>
      </c>
      <c r="G895" s="77" t="s">
        <v>1176</v>
      </c>
      <c r="H895" s="78" t="s">
        <v>1177</v>
      </c>
      <c r="I895" s="76" t="s">
        <v>1191</v>
      </c>
      <c r="J895" s="76" t="s">
        <v>1192</v>
      </c>
      <c r="K895" s="76" t="s">
        <v>439</v>
      </c>
      <c r="L895" s="63" t="s">
        <v>1149</v>
      </c>
      <c r="M895" s="63" t="s">
        <v>58</v>
      </c>
      <c r="N895" s="63" t="s">
        <v>59</v>
      </c>
      <c r="O895" s="76" t="s">
        <v>1169</v>
      </c>
      <c r="P895" s="76" t="s">
        <v>2548</v>
      </c>
      <c r="Q895" s="79">
        <v>39062100</v>
      </c>
      <c r="R895" s="63">
        <v>1</v>
      </c>
      <c r="S895" s="80">
        <f t="shared" si="95"/>
        <v>39062100</v>
      </c>
      <c r="T895" s="63" t="s">
        <v>1171</v>
      </c>
      <c r="U895" s="63" t="s">
        <v>1171</v>
      </c>
      <c r="V895" s="81" t="s">
        <v>431</v>
      </c>
      <c r="W895" s="82" t="s">
        <v>439</v>
      </c>
      <c r="X895" s="90" t="s">
        <v>2549</v>
      </c>
      <c r="Y895" s="81">
        <v>43290</v>
      </c>
      <c r="Z895" s="83">
        <v>39062100</v>
      </c>
      <c r="AA895" s="84" t="s">
        <v>2550</v>
      </c>
      <c r="AB895" s="85">
        <v>950</v>
      </c>
      <c r="AC895" s="81">
        <v>43291</v>
      </c>
      <c r="AD895" s="86">
        <v>39062100</v>
      </c>
      <c r="AE895" s="87">
        <f t="shared" si="87"/>
        <v>0</v>
      </c>
      <c r="AF895" s="85">
        <v>2558</v>
      </c>
      <c r="AG895" s="81">
        <v>43313</v>
      </c>
      <c r="AH895" s="86">
        <v>39062100</v>
      </c>
      <c r="AI895" s="63" t="s">
        <v>2551</v>
      </c>
      <c r="AJ895" s="63">
        <v>3005</v>
      </c>
      <c r="AK895" s="87">
        <f t="shared" si="91"/>
        <v>0</v>
      </c>
      <c r="AL895" s="86">
        <v>0</v>
      </c>
      <c r="AM895" s="86">
        <f t="shared" si="92"/>
        <v>39062100</v>
      </c>
      <c r="AN895" s="63" t="s">
        <v>1155</v>
      </c>
      <c r="AO895" s="86">
        <f t="shared" si="93"/>
        <v>0</v>
      </c>
      <c r="AP895" s="63"/>
      <c r="AQ895" s="81">
        <v>43290</v>
      </c>
      <c r="AR895" s="63" t="s">
        <v>2109</v>
      </c>
      <c r="AS895" s="81">
        <v>43290</v>
      </c>
      <c r="AT895" s="63" t="s">
        <v>2548</v>
      </c>
      <c r="AU895" s="220"/>
      <c r="AV895" s="220"/>
      <c r="AW895" s="220"/>
    </row>
    <row r="896" spans="1:49" s="221" customFormat="1" ht="213.75" x14ac:dyDescent="0.25">
      <c r="A896" s="63">
        <v>482</v>
      </c>
      <c r="B896" s="63" t="str">
        <f t="shared" si="90"/>
        <v>3075-482</v>
      </c>
      <c r="C896" s="76" t="s">
        <v>1141</v>
      </c>
      <c r="D896" s="76" t="s">
        <v>1142</v>
      </c>
      <c r="E896" s="76" t="s">
        <v>1165</v>
      </c>
      <c r="F896" s="76" t="s">
        <v>1166</v>
      </c>
      <c r="G896" s="77" t="s">
        <v>1167</v>
      </c>
      <c r="H896" s="78" t="s">
        <v>1168</v>
      </c>
      <c r="I896" s="76" t="s">
        <v>1147</v>
      </c>
      <c r="J896" s="76" t="s">
        <v>1148</v>
      </c>
      <c r="K896" s="76" t="s">
        <v>439</v>
      </c>
      <c r="L896" s="63" t="s">
        <v>1149</v>
      </c>
      <c r="M896" s="63" t="s">
        <v>58</v>
      </c>
      <c r="N896" s="63" t="s">
        <v>59</v>
      </c>
      <c r="O896" s="76" t="s">
        <v>1169</v>
      </c>
      <c r="P896" s="63" t="s">
        <v>2552</v>
      </c>
      <c r="Q896" s="79">
        <v>45084240</v>
      </c>
      <c r="R896" s="63">
        <v>1</v>
      </c>
      <c r="S896" s="80">
        <f t="shared" si="95"/>
        <v>45084240</v>
      </c>
      <c r="T896" s="63" t="s">
        <v>1171</v>
      </c>
      <c r="U896" s="63" t="s">
        <v>1171</v>
      </c>
      <c r="V896" s="81" t="s">
        <v>431</v>
      </c>
      <c r="W896" s="82" t="s">
        <v>439</v>
      </c>
      <c r="X896" s="90" t="s">
        <v>2553</v>
      </c>
      <c r="Y896" s="89">
        <v>43292</v>
      </c>
      <c r="Z896" s="83">
        <v>45084240</v>
      </c>
      <c r="AA896" s="84" t="s">
        <v>2542</v>
      </c>
      <c r="AB896" s="85">
        <v>966</v>
      </c>
      <c r="AC896" s="81">
        <v>43293</v>
      </c>
      <c r="AD896" s="86">
        <v>45084240</v>
      </c>
      <c r="AE896" s="87">
        <f t="shared" si="87"/>
        <v>0</v>
      </c>
      <c r="AF896" s="85">
        <v>2679</v>
      </c>
      <c r="AG896" s="81">
        <v>43329</v>
      </c>
      <c r="AH896" s="86">
        <v>45084240</v>
      </c>
      <c r="AI896" s="63" t="s">
        <v>2554</v>
      </c>
      <c r="AJ896" s="63">
        <v>3150</v>
      </c>
      <c r="AK896" s="87">
        <f t="shared" si="91"/>
        <v>0</v>
      </c>
      <c r="AL896" s="86">
        <v>0</v>
      </c>
      <c r="AM896" s="86">
        <f t="shared" si="92"/>
        <v>45084240</v>
      </c>
      <c r="AN896" s="63" t="s">
        <v>1155</v>
      </c>
      <c r="AO896" s="86">
        <f t="shared" si="93"/>
        <v>0</v>
      </c>
      <c r="AP896" s="63"/>
      <c r="AQ896" s="81">
        <v>43291</v>
      </c>
      <c r="AR896" s="63" t="s">
        <v>2109</v>
      </c>
      <c r="AS896" s="81">
        <v>43292</v>
      </c>
      <c r="AT896" s="63" t="s">
        <v>2552</v>
      </c>
      <c r="AU896" s="220"/>
      <c r="AV896" s="220"/>
      <c r="AW896" s="220"/>
    </row>
    <row r="897" spans="1:49" s="221" customFormat="1" ht="213.75" x14ac:dyDescent="0.25">
      <c r="A897" s="63">
        <v>483</v>
      </c>
      <c r="B897" s="63" t="str">
        <f t="shared" si="90"/>
        <v>3075-483</v>
      </c>
      <c r="C897" s="76" t="s">
        <v>1141</v>
      </c>
      <c r="D897" s="76" t="s">
        <v>1142</v>
      </c>
      <c r="E897" s="76" t="s">
        <v>1165</v>
      </c>
      <c r="F897" s="76" t="s">
        <v>1166</v>
      </c>
      <c r="G897" s="77" t="s">
        <v>1167</v>
      </c>
      <c r="H897" s="78" t="s">
        <v>1168</v>
      </c>
      <c r="I897" s="76" t="s">
        <v>1147</v>
      </c>
      <c r="J897" s="76" t="s">
        <v>1148</v>
      </c>
      <c r="K897" s="76" t="s">
        <v>439</v>
      </c>
      <c r="L897" s="63" t="s">
        <v>1149</v>
      </c>
      <c r="M897" s="63" t="s">
        <v>58</v>
      </c>
      <c r="N897" s="63" t="s">
        <v>59</v>
      </c>
      <c r="O897" s="76" t="s">
        <v>1169</v>
      </c>
      <c r="P897" s="63" t="s">
        <v>2555</v>
      </c>
      <c r="Q897" s="79">
        <v>65332300</v>
      </c>
      <c r="R897" s="63">
        <v>1</v>
      </c>
      <c r="S897" s="80">
        <f t="shared" si="95"/>
        <v>65332300</v>
      </c>
      <c r="T897" s="63" t="s">
        <v>1171</v>
      </c>
      <c r="U897" s="63" t="s">
        <v>1171</v>
      </c>
      <c r="V897" s="81" t="s">
        <v>431</v>
      </c>
      <c r="W897" s="82" t="s">
        <v>439</v>
      </c>
      <c r="X897" s="90" t="s">
        <v>2556</v>
      </c>
      <c r="Y897" s="89">
        <v>43292</v>
      </c>
      <c r="Z897" s="83">
        <v>65332300</v>
      </c>
      <c r="AA897" s="84" t="s">
        <v>2542</v>
      </c>
      <c r="AB897" s="85">
        <v>967</v>
      </c>
      <c r="AC897" s="81">
        <v>43293</v>
      </c>
      <c r="AD897" s="86">
        <v>65332300</v>
      </c>
      <c r="AE897" s="87">
        <f t="shared" ref="AE897:AE902" si="96">S897-Z897</f>
        <v>0</v>
      </c>
      <c r="AF897" s="85">
        <v>2695</v>
      </c>
      <c r="AG897" s="81">
        <v>43334</v>
      </c>
      <c r="AH897" s="86">
        <v>65332300</v>
      </c>
      <c r="AI897" s="63" t="s">
        <v>2557</v>
      </c>
      <c r="AJ897" s="63">
        <v>3151</v>
      </c>
      <c r="AK897" s="87">
        <f t="shared" si="91"/>
        <v>0</v>
      </c>
      <c r="AL897" s="86">
        <v>0</v>
      </c>
      <c r="AM897" s="86">
        <f t="shared" si="92"/>
        <v>65332300</v>
      </c>
      <c r="AN897" s="63" t="s">
        <v>1155</v>
      </c>
      <c r="AO897" s="86">
        <f t="shared" si="93"/>
        <v>0</v>
      </c>
      <c r="AP897" s="63"/>
      <c r="AQ897" s="81">
        <v>43291</v>
      </c>
      <c r="AR897" s="63" t="s">
        <v>2109</v>
      </c>
      <c r="AS897" s="81">
        <v>43292</v>
      </c>
      <c r="AT897" s="63" t="s">
        <v>2555</v>
      </c>
      <c r="AU897" s="220"/>
      <c r="AV897" s="220"/>
      <c r="AW897" s="220"/>
    </row>
    <row r="898" spans="1:49" s="221" customFormat="1" ht="213.75" x14ac:dyDescent="0.25">
      <c r="A898" s="63">
        <v>484</v>
      </c>
      <c r="B898" s="63" t="str">
        <f t="shared" si="90"/>
        <v>3075-484</v>
      </c>
      <c r="C898" s="76" t="s">
        <v>1141</v>
      </c>
      <c r="D898" s="76" t="s">
        <v>1142</v>
      </c>
      <c r="E898" s="76" t="s">
        <v>1174</v>
      </c>
      <c r="F898" s="76" t="s">
        <v>1175</v>
      </c>
      <c r="G898" s="77" t="s">
        <v>1176</v>
      </c>
      <c r="H898" s="78" t="s">
        <v>1177</v>
      </c>
      <c r="I898" s="76" t="s">
        <v>1191</v>
      </c>
      <c r="J898" s="76" t="s">
        <v>1192</v>
      </c>
      <c r="K898" s="76" t="s">
        <v>439</v>
      </c>
      <c r="L898" s="63" t="s">
        <v>1149</v>
      </c>
      <c r="M898" s="63" t="s">
        <v>58</v>
      </c>
      <c r="N898" s="63" t="s">
        <v>59</v>
      </c>
      <c r="O898" s="76" t="s">
        <v>1169</v>
      </c>
      <c r="P898" s="76" t="s">
        <v>2558</v>
      </c>
      <c r="Q898" s="79">
        <v>39062100</v>
      </c>
      <c r="R898" s="63">
        <v>1</v>
      </c>
      <c r="S898" s="80">
        <f t="shared" si="95"/>
        <v>39062100</v>
      </c>
      <c r="T898" s="63" t="s">
        <v>1171</v>
      </c>
      <c r="U898" s="63" t="s">
        <v>1171</v>
      </c>
      <c r="V898" s="81" t="s">
        <v>431</v>
      </c>
      <c r="W898" s="82" t="s">
        <v>439</v>
      </c>
      <c r="X898" s="90" t="s">
        <v>2559</v>
      </c>
      <c r="Y898" s="81">
        <v>43292</v>
      </c>
      <c r="Z898" s="83">
        <v>39062100</v>
      </c>
      <c r="AA898" s="84" t="s">
        <v>2560</v>
      </c>
      <c r="AB898" s="85">
        <v>969</v>
      </c>
      <c r="AC898" s="81">
        <v>43293</v>
      </c>
      <c r="AD898" s="86">
        <v>39062100</v>
      </c>
      <c r="AE898" s="87">
        <f t="shared" si="96"/>
        <v>0</v>
      </c>
      <c r="AF898" s="85">
        <v>2704</v>
      </c>
      <c r="AG898" s="81">
        <v>43334</v>
      </c>
      <c r="AH898" s="86">
        <v>39062100</v>
      </c>
      <c r="AI898" s="63" t="s">
        <v>2561</v>
      </c>
      <c r="AJ898" s="63">
        <v>3149</v>
      </c>
      <c r="AK898" s="87">
        <f t="shared" si="91"/>
        <v>0</v>
      </c>
      <c r="AL898" s="86">
        <v>0</v>
      </c>
      <c r="AM898" s="86">
        <f t="shared" si="92"/>
        <v>39062100</v>
      </c>
      <c r="AN898" s="63" t="s">
        <v>1155</v>
      </c>
      <c r="AO898" s="86">
        <f t="shared" si="93"/>
        <v>0</v>
      </c>
      <c r="AP898" s="63"/>
      <c r="AQ898" s="81">
        <v>43291</v>
      </c>
      <c r="AR898" s="63" t="s">
        <v>2109</v>
      </c>
      <c r="AS898" s="81">
        <v>43292</v>
      </c>
      <c r="AT898" s="63" t="s">
        <v>2558</v>
      </c>
      <c r="AU898" s="220"/>
      <c r="AV898" s="220"/>
      <c r="AW898" s="220"/>
    </row>
    <row r="899" spans="1:49" s="221" customFormat="1" ht="213.75" x14ac:dyDescent="0.25">
      <c r="A899" s="63">
        <v>485</v>
      </c>
      <c r="B899" s="63" t="str">
        <f t="shared" si="90"/>
        <v>3075-485</v>
      </c>
      <c r="C899" s="76" t="s">
        <v>1141</v>
      </c>
      <c r="D899" s="76" t="s">
        <v>1142</v>
      </c>
      <c r="E899" s="76" t="s">
        <v>1174</v>
      </c>
      <c r="F899" s="76" t="s">
        <v>1175</v>
      </c>
      <c r="G899" s="77" t="s">
        <v>1176</v>
      </c>
      <c r="H899" s="78" t="s">
        <v>1177</v>
      </c>
      <c r="I899" s="76" t="s">
        <v>1191</v>
      </c>
      <c r="J899" s="76" t="s">
        <v>1192</v>
      </c>
      <c r="K899" s="76" t="s">
        <v>439</v>
      </c>
      <c r="L899" s="63" t="s">
        <v>1149</v>
      </c>
      <c r="M899" s="63" t="s">
        <v>58</v>
      </c>
      <c r="N899" s="63" t="s">
        <v>59</v>
      </c>
      <c r="O899" s="76" t="s">
        <v>1169</v>
      </c>
      <c r="P899" s="76" t="s">
        <v>2562</v>
      </c>
      <c r="Q899" s="79">
        <v>9077100</v>
      </c>
      <c r="R899" s="63">
        <v>1</v>
      </c>
      <c r="S899" s="80">
        <f t="shared" si="95"/>
        <v>9077100</v>
      </c>
      <c r="T899" s="63"/>
      <c r="U899" s="63" t="s">
        <v>1171</v>
      </c>
      <c r="V899" s="81" t="s">
        <v>875</v>
      </c>
      <c r="W899" s="82" t="s">
        <v>439</v>
      </c>
      <c r="X899" s="90" t="s">
        <v>2563</v>
      </c>
      <c r="Y899" s="81">
        <v>43292</v>
      </c>
      <c r="Z899" s="83">
        <v>9077100</v>
      </c>
      <c r="AA899" s="84" t="s">
        <v>2560</v>
      </c>
      <c r="AB899" s="85">
        <v>970</v>
      </c>
      <c r="AC899" s="81">
        <v>43293</v>
      </c>
      <c r="AD899" s="86">
        <v>9077100</v>
      </c>
      <c r="AE899" s="87">
        <f t="shared" si="96"/>
        <v>0</v>
      </c>
      <c r="AF899" s="85"/>
      <c r="AG899" s="81"/>
      <c r="AH899" s="86"/>
      <c r="AI899" s="63"/>
      <c r="AJ899" s="63"/>
      <c r="AK899" s="87">
        <f t="shared" si="91"/>
        <v>9077100</v>
      </c>
      <c r="AL899" s="86"/>
      <c r="AM899" s="86">
        <f t="shared" si="92"/>
        <v>0</v>
      </c>
      <c r="AN899" s="63" t="s">
        <v>1155</v>
      </c>
      <c r="AO899" s="86">
        <f t="shared" si="93"/>
        <v>9077100</v>
      </c>
      <c r="AP899" s="63"/>
      <c r="AQ899" s="81">
        <v>43291</v>
      </c>
      <c r="AR899" s="63" t="s">
        <v>2109</v>
      </c>
      <c r="AS899" s="81">
        <v>43292</v>
      </c>
      <c r="AT899" s="63" t="s">
        <v>2562</v>
      </c>
      <c r="AU899" s="220"/>
      <c r="AV899" s="220"/>
      <c r="AW899" s="220"/>
    </row>
    <row r="900" spans="1:49" s="221" customFormat="1" ht="242.25" x14ac:dyDescent="0.25">
      <c r="A900" s="63">
        <v>486</v>
      </c>
      <c r="B900" s="63" t="str">
        <f t="shared" si="90"/>
        <v>3075-486</v>
      </c>
      <c r="C900" s="76" t="s">
        <v>1141</v>
      </c>
      <c r="D900" s="76" t="s">
        <v>1142</v>
      </c>
      <c r="E900" s="76" t="s">
        <v>1174</v>
      </c>
      <c r="F900" s="76" t="s">
        <v>1175</v>
      </c>
      <c r="G900" s="77" t="s">
        <v>1176</v>
      </c>
      <c r="H900" s="78" t="s">
        <v>1177</v>
      </c>
      <c r="I900" s="76" t="s">
        <v>1191</v>
      </c>
      <c r="J900" s="76" t="s">
        <v>1192</v>
      </c>
      <c r="K900" s="76" t="s">
        <v>439</v>
      </c>
      <c r="L900" s="63" t="s">
        <v>1149</v>
      </c>
      <c r="M900" s="63" t="s">
        <v>58</v>
      </c>
      <c r="N900" s="63" t="s">
        <v>59</v>
      </c>
      <c r="O900" s="76" t="s">
        <v>1169</v>
      </c>
      <c r="P900" s="76" t="s">
        <v>2564</v>
      </c>
      <c r="Q900" s="79">
        <v>13239000</v>
      </c>
      <c r="R900" s="63">
        <v>1</v>
      </c>
      <c r="S900" s="80">
        <f t="shared" si="95"/>
        <v>13239000</v>
      </c>
      <c r="T900" s="63"/>
      <c r="U900" s="63" t="s">
        <v>1171</v>
      </c>
      <c r="V900" s="81" t="s">
        <v>875</v>
      </c>
      <c r="W900" s="82" t="s">
        <v>439</v>
      </c>
      <c r="X900" s="90" t="s">
        <v>2565</v>
      </c>
      <c r="Y900" s="81">
        <v>43292</v>
      </c>
      <c r="Z900" s="83">
        <v>13239000</v>
      </c>
      <c r="AA900" s="84" t="s">
        <v>2560</v>
      </c>
      <c r="AB900" s="85">
        <v>973</v>
      </c>
      <c r="AC900" s="81">
        <v>43294</v>
      </c>
      <c r="AD900" s="86">
        <v>13239000</v>
      </c>
      <c r="AE900" s="87">
        <f t="shared" si="96"/>
        <v>0</v>
      </c>
      <c r="AF900" s="85"/>
      <c r="AG900" s="81"/>
      <c r="AH900" s="86"/>
      <c r="AI900" s="63"/>
      <c r="AJ900" s="63"/>
      <c r="AK900" s="87">
        <f t="shared" si="91"/>
        <v>13239000</v>
      </c>
      <c r="AL900" s="86"/>
      <c r="AM900" s="86">
        <f t="shared" si="92"/>
        <v>0</v>
      </c>
      <c r="AN900" s="63" t="s">
        <v>1155</v>
      </c>
      <c r="AO900" s="86">
        <f t="shared" si="93"/>
        <v>13239000</v>
      </c>
      <c r="AP900" s="63"/>
      <c r="AQ900" s="81">
        <v>43291</v>
      </c>
      <c r="AR900" s="63" t="s">
        <v>2109</v>
      </c>
      <c r="AS900" s="81">
        <v>43292</v>
      </c>
      <c r="AT900" s="76" t="s">
        <v>2564</v>
      </c>
      <c r="AU900" s="220"/>
      <c r="AV900" s="220"/>
      <c r="AW900" s="220"/>
    </row>
    <row r="901" spans="1:49" s="221" customFormat="1" ht="409.5" x14ac:dyDescent="0.25">
      <c r="A901" s="63">
        <v>487</v>
      </c>
      <c r="B901" s="63" t="str">
        <f t="shared" si="90"/>
        <v>3075-487</v>
      </c>
      <c r="C901" s="76" t="s">
        <v>1141</v>
      </c>
      <c r="D901" s="76" t="s">
        <v>1142</v>
      </c>
      <c r="E901" s="76" t="s">
        <v>1143</v>
      </c>
      <c r="F901" s="76" t="s">
        <v>1158</v>
      </c>
      <c r="G901" s="77" t="s">
        <v>1159</v>
      </c>
      <c r="H901" s="78" t="s">
        <v>1160</v>
      </c>
      <c r="I901" s="76" t="s">
        <v>1147</v>
      </c>
      <c r="J901" s="76" t="s">
        <v>1148</v>
      </c>
      <c r="K901" s="76">
        <v>801116</v>
      </c>
      <c r="L901" s="63" t="s">
        <v>1149</v>
      </c>
      <c r="M901" s="63" t="s">
        <v>58</v>
      </c>
      <c r="N901" s="63" t="s">
        <v>59</v>
      </c>
      <c r="O901" s="76" t="s">
        <v>1213</v>
      </c>
      <c r="P901" s="76" t="s">
        <v>2566</v>
      </c>
      <c r="Q901" s="83">
        <v>17767500</v>
      </c>
      <c r="R901" s="63">
        <v>1</v>
      </c>
      <c r="S901" s="80">
        <f t="shared" si="95"/>
        <v>17767500</v>
      </c>
      <c r="T901" s="63" t="s">
        <v>888</v>
      </c>
      <c r="U901" s="63" t="s">
        <v>1163</v>
      </c>
      <c r="V901" s="81" t="s">
        <v>431</v>
      </c>
      <c r="W901" s="82">
        <v>5</v>
      </c>
      <c r="X901" s="90" t="s">
        <v>2567</v>
      </c>
      <c r="Y901" s="81">
        <v>43298</v>
      </c>
      <c r="Z901" s="83">
        <v>17767500</v>
      </c>
      <c r="AA901" s="84" t="s">
        <v>2568</v>
      </c>
      <c r="AB901" s="85">
        <v>1002</v>
      </c>
      <c r="AC901" s="81">
        <v>43305</v>
      </c>
      <c r="AD901" s="86">
        <v>17767500</v>
      </c>
      <c r="AE901" s="87">
        <f t="shared" si="96"/>
        <v>0</v>
      </c>
      <c r="AF901" s="85">
        <v>2553</v>
      </c>
      <c r="AG901" s="81">
        <v>43313</v>
      </c>
      <c r="AH901" s="86">
        <v>17767500</v>
      </c>
      <c r="AI901" s="63" t="s">
        <v>2569</v>
      </c>
      <c r="AJ901" s="63">
        <v>472</v>
      </c>
      <c r="AK901" s="87">
        <f t="shared" si="91"/>
        <v>0</v>
      </c>
      <c r="AL901" s="86">
        <v>3553500</v>
      </c>
      <c r="AM901" s="86">
        <f t="shared" si="92"/>
        <v>14214000</v>
      </c>
      <c r="AN901" s="63" t="s">
        <v>1155</v>
      </c>
      <c r="AO901" s="86">
        <f t="shared" si="93"/>
        <v>0</v>
      </c>
      <c r="AP901" s="63"/>
      <c r="AQ901" s="81">
        <v>43298</v>
      </c>
      <c r="AR901" s="63" t="s">
        <v>2109</v>
      </c>
      <c r="AS901" s="81">
        <v>43298</v>
      </c>
      <c r="AT901" s="63" t="s">
        <v>2566</v>
      </c>
      <c r="AU901" s="220"/>
      <c r="AV901" s="220"/>
      <c r="AW901" s="220"/>
    </row>
    <row r="902" spans="1:49" s="221" customFormat="1" ht="370.5" x14ac:dyDescent="0.25">
      <c r="A902" s="63">
        <v>488</v>
      </c>
      <c r="B902" s="63" t="str">
        <f t="shared" si="90"/>
        <v>3075-488</v>
      </c>
      <c r="C902" s="76" t="s">
        <v>1141</v>
      </c>
      <c r="D902" s="76" t="s">
        <v>1142</v>
      </c>
      <c r="E902" s="76" t="s">
        <v>1174</v>
      </c>
      <c r="F902" s="76" t="s">
        <v>1175</v>
      </c>
      <c r="G902" s="77" t="s">
        <v>1176</v>
      </c>
      <c r="H902" s="78" t="s">
        <v>1177</v>
      </c>
      <c r="I902" s="76" t="s">
        <v>1147</v>
      </c>
      <c r="J902" s="76" t="s">
        <v>1148</v>
      </c>
      <c r="K902" s="76" t="s">
        <v>439</v>
      </c>
      <c r="L902" s="63" t="s">
        <v>1149</v>
      </c>
      <c r="M902" s="63" t="s">
        <v>58</v>
      </c>
      <c r="N902" s="63" t="s">
        <v>59</v>
      </c>
      <c r="O902" s="76" t="s">
        <v>1169</v>
      </c>
      <c r="P902" s="76" t="s">
        <v>2570</v>
      </c>
      <c r="Q902" s="79">
        <v>39062100</v>
      </c>
      <c r="R902" s="63">
        <v>1</v>
      </c>
      <c r="S902" s="80">
        <f t="shared" si="95"/>
        <v>39062100</v>
      </c>
      <c r="T902" s="63" t="s">
        <v>1171</v>
      </c>
      <c r="U902" s="63" t="s">
        <v>1171</v>
      </c>
      <c r="V902" s="81" t="s">
        <v>431</v>
      </c>
      <c r="W902" s="82" t="s">
        <v>439</v>
      </c>
      <c r="X902" s="90" t="s">
        <v>2571</v>
      </c>
      <c r="Y902" s="81">
        <v>43304</v>
      </c>
      <c r="Z902" s="83">
        <v>39062100</v>
      </c>
      <c r="AA902" s="84" t="s">
        <v>2572</v>
      </c>
      <c r="AB902" s="85">
        <v>1001</v>
      </c>
      <c r="AC902" s="81">
        <v>43305</v>
      </c>
      <c r="AD902" s="86">
        <v>39062100</v>
      </c>
      <c r="AE902" s="87">
        <f t="shared" si="96"/>
        <v>0</v>
      </c>
      <c r="AF902" s="85">
        <v>2738</v>
      </c>
      <c r="AG902" s="81">
        <v>43336</v>
      </c>
      <c r="AH902" s="86">
        <v>39062100</v>
      </c>
      <c r="AI902" s="63" t="s">
        <v>2573</v>
      </c>
      <c r="AJ902" s="63">
        <v>3172</v>
      </c>
      <c r="AK902" s="87">
        <f t="shared" si="91"/>
        <v>0</v>
      </c>
      <c r="AL902" s="86">
        <v>0</v>
      </c>
      <c r="AM902" s="86">
        <f t="shared" si="92"/>
        <v>39062100</v>
      </c>
      <c r="AN902" s="63" t="s">
        <v>1155</v>
      </c>
      <c r="AO902" s="86">
        <f t="shared" si="93"/>
        <v>0</v>
      </c>
      <c r="AP902" s="63"/>
      <c r="AQ902" s="81">
        <v>43304</v>
      </c>
      <c r="AR902" s="63" t="s">
        <v>2109</v>
      </c>
      <c r="AS902" s="81">
        <v>43304</v>
      </c>
      <c r="AT902" s="63" t="s">
        <v>2570</v>
      </c>
      <c r="AU902" s="220"/>
      <c r="AV902" s="220"/>
      <c r="AW902" s="220"/>
    </row>
    <row r="903" spans="1:49" s="221" customFormat="1" ht="299.25" x14ac:dyDescent="0.25">
      <c r="A903" s="63">
        <v>489</v>
      </c>
      <c r="B903" s="63" t="str">
        <f t="shared" si="90"/>
        <v>3075-489</v>
      </c>
      <c r="C903" s="76" t="s">
        <v>1141</v>
      </c>
      <c r="D903" s="76" t="s">
        <v>1142</v>
      </c>
      <c r="E903" s="76" t="s">
        <v>1143</v>
      </c>
      <c r="F903" s="76" t="s">
        <v>1158</v>
      </c>
      <c r="G903" s="77" t="s">
        <v>1159</v>
      </c>
      <c r="H903" s="78" t="s">
        <v>1160</v>
      </c>
      <c r="I903" s="76" t="s">
        <v>1147</v>
      </c>
      <c r="J903" s="76" t="s">
        <v>1148</v>
      </c>
      <c r="K903" s="76">
        <v>93141506</v>
      </c>
      <c r="L903" s="63" t="s">
        <v>1149</v>
      </c>
      <c r="M903" s="63" t="s">
        <v>58</v>
      </c>
      <c r="N903" s="63" t="s">
        <v>59</v>
      </c>
      <c r="O903" s="76" t="s">
        <v>1213</v>
      </c>
      <c r="P903" s="76" t="s">
        <v>2574</v>
      </c>
      <c r="Q903" s="83">
        <v>4120000</v>
      </c>
      <c r="R903" s="63">
        <v>1</v>
      </c>
      <c r="S903" s="80">
        <f>Q903*R903*W903-1486218-573782</f>
        <v>18540000</v>
      </c>
      <c r="T903" s="63" t="s">
        <v>888</v>
      </c>
      <c r="U903" s="63" t="s">
        <v>1163</v>
      </c>
      <c r="V903" s="81" t="s">
        <v>431</v>
      </c>
      <c r="W903" s="82">
        <v>5</v>
      </c>
      <c r="X903" s="90" t="s">
        <v>2575</v>
      </c>
      <c r="Y903" s="81">
        <v>43311</v>
      </c>
      <c r="Z903" s="83">
        <f>20600000-2060000</f>
        <v>18540000</v>
      </c>
      <c r="AA903" s="84" t="s">
        <v>2538</v>
      </c>
      <c r="AB903" s="85">
        <v>1025</v>
      </c>
      <c r="AC903" s="81">
        <v>43314</v>
      </c>
      <c r="AD903" s="86">
        <v>18540000</v>
      </c>
      <c r="AE903" s="87"/>
      <c r="AF903" s="85">
        <v>2677</v>
      </c>
      <c r="AG903" s="81">
        <v>43329</v>
      </c>
      <c r="AH903" s="86">
        <v>18540000</v>
      </c>
      <c r="AI903" s="63" t="s">
        <v>2576</v>
      </c>
      <c r="AJ903" s="63">
        <v>505</v>
      </c>
      <c r="AK903" s="87">
        <f t="shared" si="91"/>
        <v>0</v>
      </c>
      <c r="AL903" s="86">
        <v>1373333</v>
      </c>
      <c r="AM903" s="86">
        <f t="shared" si="92"/>
        <v>17166667</v>
      </c>
      <c r="AN903" s="63" t="s">
        <v>1155</v>
      </c>
      <c r="AO903" s="86">
        <f t="shared" si="93"/>
        <v>0</v>
      </c>
      <c r="AP903" s="63"/>
      <c r="AQ903" s="81">
        <v>43311</v>
      </c>
      <c r="AR903" s="63" t="s">
        <v>2109</v>
      </c>
      <c r="AS903" s="81">
        <v>43311</v>
      </c>
      <c r="AT903" s="63" t="s">
        <v>1453</v>
      </c>
      <c r="AU903" s="220"/>
      <c r="AV903" s="220"/>
      <c r="AW903" s="220"/>
    </row>
    <row r="904" spans="1:49" s="221" customFormat="1" ht="370.5" x14ac:dyDescent="0.25">
      <c r="A904" s="63">
        <v>490</v>
      </c>
      <c r="B904" s="63" t="str">
        <f t="shared" si="90"/>
        <v>3075-490</v>
      </c>
      <c r="C904" s="76" t="s">
        <v>1141</v>
      </c>
      <c r="D904" s="76" t="s">
        <v>1142</v>
      </c>
      <c r="E904" s="76" t="s">
        <v>1143</v>
      </c>
      <c r="F904" s="76" t="s">
        <v>1203</v>
      </c>
      <c r="G904" s="88" t="s">
        <v>1204</v>
      </c>
      <c r="H904" s="92" t="s">
        <v>1205</v>
      </c>
      <c r="I904" s="76" t="s">
        <v>1147</v>
      </c>
      <c r="J904" s="76" t="s">
        <v>1148</v>
      </c>
      <c r="K904" s="93" t="s">
        <v>439</v>
      </c>
      <c r="L904" s="63" t="s">
        <v>1149</v>
      </c>
      <c r="M904" s="63" t="s">
        <v>58</v>
      </c>
      <c r="N904" s="63" t="s">
        <v>59</v>
      </c>
      <c r="O904" s="76" t="s">
        <v>1199</v>
      </c>
      <c r="P904" s="76" t="s">
        <v>2577</v>
      </c>
      <c r="Q904" s="83">
        <v>200000000</v>
      </c>
      <c r="R904" s="63">
        <v>1</v>
      </c>
      <c r="S904" s="80">
        <f t="shared" ref="S904:S924" si="97">Q904*R904*W904</f>
        <v>200000000</v>
      </c>
      <c r="T904" s="63"/>
      <c r="U904" s="63" t="s">
        <v>1163</v>
      </c>
      <c r="V904" s="81" t="s">
        <v>875</v>
      </c>
      <c r="W904" s="82">
        <v>1</v>
      </c>
      <c r="X904" s="63"/>
      <c r="Y904" s="89"/>
      <c r="Z904" s="83"/>
      <c r="AA904" s="84"/>
      <c r="AB904" s="85"/>
      <c r="AC904" s="81"/>
      <c r="AD904" s="86"/>
      <c r="AE904" s="87">
        <f t="shared" ref="AE904:AE967" si="98">S904-Z904</f>
        <v>200000000</v>
      </c>
      <c r="AF904" s="85"/>
      <c r="AG904" s="81"/>
      <c r="AH904" s="86"/>
      <c r="AI904" s="63"/>
      <c r="AJ904" s="63"/>
      <c r="AK904" s="87">
        <f t="shared" si="91"/>
        <v>0</v>
      </c>
      <c r="AL904" s="86"/>
      <c r="AM904" s="86">
        <f t="shared" si="92"/>
        <v>0</v>
      </c>
      <c r="AN904" s="63" t="s">
        <v>1155</v>
      </c>
      <c r="AO904" s="86">
        <f t="shared" si="93"/>
        <v>200000000</v>
      </c>
      <c r="AP904" s="63"/>
      <c r="AQ904" s="81">
        <v>43465</v>
      </c>
      <c r="AR904" s="63" t="s">
        <v>2109</v>
      </c>
      <c r="AS904" s="81">
        <v>43465</v>
      </c>
      <c r="AT904" s="63" t="s">
        <v>2577</v>
      </c>
      <c r="AU904" s="220"/>
      <c r="AV904" s="220"/>
      <c r="AW904" s="220"/>
    </row>
    <row r="905" spans="1:49" s="221" customFormat="1" ht="342" x14ac:dyDescent="0.25">
      <c r="A905" s="63">
        <v>491</v>
      </c>
      <c r="B905" s="63" t="str">
        <f t="shared" si="90"/>
        <v>3075-491</v>
      </c>
      <c r="C905" s="76" t="s">
        <v>1141</v>
      </c>
      <c r="D905" s="76" t="s">
        <v>1142</v>
      </c>
      <c r="E905" s="76" t="s">
        <v>1424</v>
      </c>
      <c r="F905" s="76" t="s">
        <v>1158</v>
      </c>
      <c r="G905" s="77" t="s">
        <v>1159</v>
      </c>
      <c r="H905" s="101" t="s">
        <v>1160</v>
      </c>
      <c r="I905" s="76" t="s">
        <v>1147</v>
      </c>
      <c r="J905" s="76" t="s">
        <v>1148</v>
      </c>
      <c r="K905" s="76">
        <v>81101500</v>
      </c>
      <c r="L905" s="63" t="s">
        <v>1149</v>
      </c>
      <c r="M905" s="63" t="s">
        <v>58</v>
      </c>
      <c r="N905" s="63" t="s">
        <v>59</v>
      </c>
      <c r="O905" s="76" t="s">
        <v>1213</v>
      </c>
      <c r="P905" s="63" t="s">
        <v>1241</v>
      </c>
      <c r="Q905" s="83">
        <v>5253000</v>
      </c>
      <c r="R905" s="98">
        <v>1</v>
      </c>
      <c r="S905" s="80">
        <f t="shared" si="97"/>
        <v>21012000</v>
      </c>
      <c r="T905" s="63"/>
      <c r="U905" s="63" t="s">
        <v>1163</v>
      </c>
      <c r="V905" s="81" t="s">
        <v>875</v>
      </c>
      <c r="W905" s="82">
        <v>4</v>
      </c>
      <c r="X905" s="63" t="s">
        <v>2578</v>
      </c>
      <c r="Y905" s="81">
        <v>43321</v>
      </c>
      <c r="Z905" s="83">
        <v>21012000</v>
      </c>
      <c r="AA905" s="84" t="s">
        <v>1692</v>
      </c>
      <c r="AB905" s="85">
        <v>1038</v>
      </c>
      <c r="AC905" s="81">
        <v>43322</v>
      </c>
      <c r="AD905" s="86">
        <v>21012000</v>
      </c>
      <c r="AE905" s="86">
        <f t="shared" si="98"/>
        <v>0</v>
      </c>
      <c r="AF905" s="85"/>
      <c r="AG905" s="81"/>
      <c r="AH905" s="86"/>
      <c r="AI905" s="63"/>
      <c r="AJ905" s="63"/>
      <c r="AK905" s="87">
        <f t="shared" si="91"/>
        <v>21012000</v>
      </c>
      <c r="AL905" s="86"/>
      <c r="AM905" s="86">
        <f t="shared" si="92"/>
        <v>0</v>
      </c>
      <c r="AN905" s="63" t="s">
        <v>1155</v>
      </c>
      <c r="AO905" s="86">
        <f t="shared" si="93"/>
        <v>21012000</v>
      </c>
      <c r="AP905" s="63"/>
      <c r="AQ905" s="81">
        <v>43320</v>
      </c>
      <c r="AR905" s="63" t="s">
        <v>2109</v>
      </c>
      <c r="AS905" s="81">
        <v>43321</v>
      </c>
      <c r="AT905" s="63" t="s">
        <v>1453</v>
      </c>
      <c r="AU905" s="220"/>
      <c r="AV905" s="220"/>
      <c r="AW905" s="220"/>
    </row>
    <row r="906" spans="1:49" s="221" customFormat="1" ht="342" x14ac:dyDescent="0.25">
      <c r="A906" s="63">
        <v>492</v>
      </c>
      <c r="B906" s="63" t="str">
        <f t="shared" si="90"/>
        <v>3075-492</v>
      </c>
      <c r="C906" s="76" t="s">
        <v>1141</v>
      </c>
      <c r="D906" s="76" t="s">
        <v>1142</v>
      </c>
      <c r="E906" s="76" t="s">
        <v>1424</v>
      </c>
      <c r="F906" s="76" t="s">
        <v>1158</v>
      </c>
      <c r="G906" s="77" t="s">
        <v>1159</v>
      </c>
      <c r="H906" s="101" t="s">
        <v>1160</v>
      </c>
      <c r="I906" s="76" t="s">
        <v>1147</v>
      </c>
      <c r="J906" s="76" t="s">
        <v>1148</v>
      </c>
      <c r="K906" s="76">
        <v>801116</v>
      </c>
      <c r="L906" s="63" t="s">
        <v>1149</v>
      </c>
      <c r="M906" s="63" t="s">
        <v>58</v>
      </c>
      <c r="N906" s="63" t="s">
        <v>59</v>
      </c>
      <c r="O906" s="76" t="s">
        <v>1213</v>
      </c>
      <c r="P906" s="63" t="s">
        <v>1219</v>
      </c>
      <c r="Q906" s="83">
        <v>1545000</v>
      </c>
      <c r="R906" s="63">
        <v>1</v>
      </c>
      <c r="S906" s="80">
        <f t="shared" si="97"/>
        <v>6180000</v>
      </c>
      <c r="T906" s="63" t="s">
        <v>928</v>
      </c>
      <c r="U906" s="63" t="s">
        <v>1163</v>
      </c>
      <c r="V906" s="81" t="s">
        <v>875</v>
      </c>
      <c r="W906" s="82">
        <v>4</v>
      </c>
      <c r="X906" s="63" t="s">
        <v>2579</v>
      </c>
      <c r="Y906" s="81">
        <v>43321</v>
      </c>
      <c r="Z906" s="83">
        <v>6180000</v>
      </c>
      <c r="AA906" s="84" t="s">
        <v>1676</v>
      </c>
      <c r="AB906" s="85">
        <v>1051</v>
      </c>
      <c r="AC906" s="81">
        <v>43322</v>
      </c>
      <c r="AD906" s="86">
        <v>6180000</v>
      </c>
      <c r="AE906" s="86">
        <f t="shared" si="98"/>
        <v>0</v>
      </c>
      <c r="AF906" s="85">
        <v>2782</v>
      </c>
      <c r="AG906" s="81">
        <v>43346</v>
      </c>
      <c r="AH906" s="86">
        <v>6180000</v>
      </c>
      <c r="AI906" s="63" t="s">
        <v>1474</v>
      </c>
      <c r="AJ906" s="63">
        <v>526</v>
      </c>
      <c r="AK906" s="87">
        <f t="shared" si="91"/>
        <v>0</v>
      </c>
      <c r="AL906" s="86">
        <v>0</v>
      </c>
      <c r="AM906" s="86">
        <f t="shared" si="92"/>
        <v>6180000</v>
      </c>
      <c r="AN906" s="63" t="s">
        <v>1155</v>
      </c>
      <c r="AO906" s="86">
        <f t="shared" si="93"/>
        <v>0</v>
      </c>
      <c r="AP906" s="63"/>
      <c r="AQ906" s="81">
        <v>43320</v>
      </c>
      <c r="AR906" s="63" t="s">
        <v>2109</v>
      </c>
      <c r="AS906" s="81">
        <v>43321</v>
      </c>
      <c r="AT906" s="63" t="s">
        <v>1453</v>
      </c>
      <c r="AU906" s="220"/>
      <c r="AV906" s="220"/>
      <c r="AW906" s="220"/>
    </row>
    <row r="907" spans="1:49" s="221" customFormat="1" ht="342" x14ac:dyDescent="0.25">
      <c r="A907" s="63">
        <v>493</v>
      </c>
      <c r="B907" s="63" t="str">
        <f t="shared" si="90"/>
        <v>3075-493</v>
      </c>
      <c r="C907" s="76" t="s">
        <v>1141</v>
      </c>
      <c r="D907" s="76" t="s">
        <v>1142</v>
      </c>
      <c r="E907" s="76" t="s">
        <v>1424</v>
      </c>
      <c r="F907" s="76" t="s">
        <v>1158</v>
      </c>
      <c r="G907" s="77" t="s">
        <v>1159</v>
      </c>
      <c r="H907" s="101" t="s">
        <v>1160</v>
      </c>
      <c r="I907" s="76" t="s">
        <v>1147</v>
      </c>
      <c r="J907" s="76" t="s">
        <v>1148</v>
      </c>
      <c r="K907" s="76">
        <v>80111600</v>
      </c>
      <c r="L907" s="63" t="s">
        <v>1149</v>
      </c>
      <c r="M907" s="63" t="s">
        <v>58</v>
      </c>
      <c r="N907" s="63" t="s">
        <v>59</v>
      </c>
      <c r="O907" s="76" t="s">
        <v>1213</v>
      </c>
      <c r="P907" s="63" t="s">
        <v>1496</v>
      </c>
      <c r="Q907" s="83">
        <v>3553500</v>
      </c>
      <c r="R907" s="98">
        <v>1</v>
      </c>
      <c r="S907" s="80">
        <f t="shared" si="97"/>
        <v>14214000</v>
      </c>
      <c r="T907" s="63" t="s">
        <v>888</v>
      </c>
      <c r="U907" s="63" t="s">
        <v>1163</v>
      </c>
      <c r="V907" s="81" t="s">
        <v>431</v>
      </c>
      <c r="W907" s="82">
        <v>4</v>
      </c>
      <c r="X907" s="63" t="s">
        <v>2580</v>
      </c>
      <c r="Y907" s="81">
        <v>43321</v>
      </c>
      <c r="Z907" s="83">
        <v>14214000</v>
      </c>
      <c r="AA907" s="84" t="s">
        <v>2581</v>
      </c>
      <c r="AB907" s="85">
        <v>1041</v>
      </c>
      <c r="AC907" s="81">
        <v>43322</v>
      </c>
      <c r="AD907" s="86">
        <v>14214000</v>
      </c>
      <c r="AE907" s="86">
        <f t="shared" si="98"/>
        <v>0</v>
      </c>
      <c r="AF907" s="85">
        <v>2745</v>
      </c>
      <c r="AG907" s="81">
        <v>43336</v>
      </c>
      <c r="AH907" s="86">
        <v>14214000</v>
      </c>
      <c r="AI907" s="63" t="s">
        <v>2108</v>
      </c>
      <c r="AJ907" s="63">
        <v>521</v>
      </c>
      <c r="AK907" s="87">
        <f t="shared" si="91"/>
        <v>0</v>
      </c>
      <c r="AL907" s="86">
        <v>473800</v>
      </c>
      <c r="AM907" s="86">
        <f t="shared" si="92"/>
        <v>13740200</v>
      </c>
      <c r="AN907" s="63" t="s">
        <v>1155</v>
      </c>
      <c r="AO907" s="86">
        <f t="shared" si="93"/>
        <v>0</v>
      </c>
      <c r="AP907" s="63"/>
      <c r="AQ907" s="81">
        <v>43320</v>
      </c>
      <c r="AR907" s="63" t="s">
        <v>2109</v>
      </c>
      <c r="AS907" s="81">
        <v>43321</v>
      </c>
      <c r="AT907" s="63" t="s">
        <v>1453</v>
      </c>
      <c r="AU907" s="220"/>
      <c r="AV907" s="220"/>
      <c r="AW907" s="220"/>
    </row>
    <row r="908" spans="1:49" s="221" customFormat="1" ht="342" x14ac:dyDescent="0.25">
      <c r="A908" s="63">
        <v>494</v>
      </c>
      <c r="B908" s="63" t="str">
        <f t="shared" si="90"/>
        <v>3075-494</v>
      </c>
      <c r="C908" s="76" t="s">
        <v>1141</v>
      </c>
      <c r="D908" s="76" t="s">
        <v>1142</v>
      </c>
      <c r="E908" s="76" t="s">
        <v>1424</v>
      </c>
      <c r="F908" s="76" t="s">
        <v>1158</v>
      </c>
      <c r="G908" s="77" t="s">
        <v>1159</v>
      </c>
      <c r="H908" s="101" t="s">
        <v>1160</v>
      </c>
      <c r="I908" s="76" t="s">
        <v>1147</v>
      </c>
      <c r="J908" s="76" t="s">
        <v>1148</v>
      </c>
      <c r="K908" s="76">
        <v>80111600</v>
      </c>
      <c r="L908" s="63" t="s">
        <v>1149</v>
      </c>
      <c r="M908" s="63" t="s">
        <v>58</v>
      </c>
      <c r="N908" s="63" t="s">
        <v>59</v>
      </c>
      <c r="O908" s="76" t="s">
        <v>1213</v>
      </c>
      <c r="P908" s="63" t="s">
        <v>1496</v>
      </c>
      <c r="Q908" s="83">
        <v>3553500</v>
      </c>
      <c r="R908" s="98">
        <v>1</v>
      </c>
      <c r="S908" s="80">
        <f t="shared" si="97"/>
        <v>14214000</v>
      </c>
      <c r="T908" s="63" t="s">
        <v>888</v>
      </c>
      <c r="U908" s="63" t="s">
        <v>1163</v>
      </c>
      <c r="V908" s="81" t="s">
        <v>431</v>
      </c>
      <c r="W908" s="82">
        <v>4</v>
      </c>
      <c r="X908" s="63" t="s">
        <v>2582</v>
      </c>
      <c r="Y908" s="81">
        <v>43321</v>
      </c>
      <c r="Z908" s="83">
        <v>14214000</v>
      </c>
      <c r="AA908" s="84" t="s">
        <v>2581</v>
      </c>
      <c r="AB908" s="85">
        <v>1047</v>
      </c>
      <c r="AC908" s="81">
        <v>43322</v>
      </c>
      <c r="AD908" s="86">
        <v>14214000</v>
      </c>
      <c r="AE908" s="86">
        <f t="shared" si="98"/>
        <v>0</v>
      </c>
      <c r="AF908" s="85">
        <v>2710</v>
      </c>
      <c r="AG908" s="81">
        <v>43334</v>
      </c>
      <c r="AH908" s="86">
        <v>14214000</v>
      </c>
      <c r="AI908" s="63" t="s">
        <v>1714</v>
      </c>
      <c r="AJ908" s="63">
        <v>511</v>
      </c>
      <c r="AK908" s="87">
        <f t="shared" si="91"/>
        <v>0</v>
      </c>
      <c r="AL908" s="86">
        <v>1066050</v>
      </c>
      <c r="AM908" s="86">
        <f t="shared" si="92"/>
        <v>13147950</v>
      </c>
      <c r="AN908" s="63" t="s">
        <v>1155</v>
      </c>
      <c r="AO908" s="86">
        <f t="shared" si="93"/>
        <v>0</v>
      </c>
      <c r="AP908" s="63"/>
      <c r="AQ908" s="81">
        <v>43320</v>
      </c>
      <c r="AR908" s="63" t="s">
        <v>2109</v>
      </c>
      <c r="AS908" s="81">
        <v>43321</v>
      </c>
      <c r="AT908" s="63" t="s">
        <v>1453</v>
      </c>
      <c r="AU908" s="220"/>
      <c r="AV908" s="220"/>
      <c r="AW908" s="220"/>
    </row>
    <row r="909" spans="1:49" s="221" customFormat="1" ht="342" x14ac:dyDescent="0.25">
      <c r="A909" s="63">
        <v>495</v>
      </c>
      <c r="B909" s="63" t="str">
        <f t="shared" si="90"/>
        <v>3075-495</v>
      </c>
      <c r="C909" s="76" t="s">
        <v>1141</v>
      </c>
      <c r="D909" s="76" t="s">
        <v>1142</v>
      </c>
      <c r="E909" s="76" t="s">
        <v>1424</v>
      </c>
      <c r="F909" s="76" t="s">
        <v>1158</v>
      </c>
      <c r="G909" s="77" t="s">
        <v>1159</v>
      </c>
      <c r="H909" s="101" t="s">
        <v>1160</v>
      </c>
      <c r="I909" s="76" t="s">
        <v>1147</v>
      </c>
      <c r="J909" s="76" t="s">
        <v>1148</v>
      </c>
      <c r="K909" s="76">
        <v>93151501</v>
      </c>
      <c r="L909" s="63" t="s">
        <v>1149</v>
      </c>
      <c r="M909" s="63" t="s">
        <v>58</v>
      </c>
      <c r="N909" s="63" t="s">
        <v>59</v>
      </c>
      <c r="O909" s="76" t="s">
        <v>1213</v>
      </c>
      <c r="P909" s="63" t="s">
        <v>2583</v>
      </c>
      <c r="Q909" s="83">
        <v>5253000</v>
      </c>
      <c r="R909" s="98">
        <v>1</v>
      </c>
      <c r="S909" s="80">
        <f t="shared" si="97"/>
        <v>21012000</v>
      </c>
      <c r="T909" s="63" t="s">
        <v>888</v>
      </c>
      <c r="U909" s="63" t="s">
        <v>1163</v>
      </c>
      <c r="V909" s="81" t="s">
        <v>431</v>
      </c>
      <c r="W909" s="82">
        <v>4</v>
      </c>
      <c r="X909" s="63" t="s">
        <v>2584</v>
      </c>
      <c r="Y909" s="81">
        <v>43321</v>
      </c>
      <c r="Z909" s="83">
        <v>21012000</v>
      </c>
      <c r="AA909" s="84" t="s">
        <v>1716</v>
      </c>
      <c r="AB909" s="85">
        <v>1037</v>
      </c>
      <c r="AC909" s="81">
        <v>43322</v>
      </c>
      <c r="AD909" s="86">
        <v>21012000</v>
      </c>
      <c r="AE909" s="86">
        <f t="shared" si="98"/>
        <v>0</v>
      </c>
      <c r="AF909" s="85">
        <v>2726</v>
      </c>
      <c r="AG909" s="81">
        <v>43335</v>
      </c>
      <c r="AH909" s="86">
        <v>21012000</v>
      </c>
      <c r="AI909" s="63" t="s">
        <v>2585</v>
      </c>
      <c r="AJ909" s="63">
        <v>523</v>
      </c>
      <c r="AK909" s="87">
        <f t="shared" si="91"/>
        <v>0</v>
      </c>
      <c r="AL909" s="86">
        <v>700400</v>
      </c>
      <c r="AM909" s="86">
        <f t="shared" si="92"/>
        <v>20311600</v>
      </c>
      <c r="AN909" s="63" t="s">
        <v>1155</v>
      </c>
      <c r="AO909" s="86">
        <f t="shared" si="93"/>
        <v>0</v>
      </c>
      <c r="AP909" s="63"/>
      <c r="AQ909" s="81">
        <v>43320</v>
      </c>
      <c r="AR909" s="63" t="s">
        <v>2109</v>
      </c>
      <c r="AS909" s="81">
        <v>43321</v>
      </c>
      <c r="AT909" s="63" t="s">
        <v>1453</v>
      </c>
      <c r="AU909" s="220"/>
      <c r="AV909" s="220"/>
      <c r="AW909" s="220"/>
    </row>
    <row r="910" spans="1:49" s="221" customFormat="1" ht="342" x14ac:dyDescent="0.25">
      <c r="A910" s="63">
        <v>496</v>
      </c>
      <c r="B910" s="63" t="str">
        <f t="shared" si="90"/>
        <v>3075-496</v>
      </c>
      <c r="C910" s="76" t="s">
        <v>1141</v>
      </c>
      <c r="D910" s="76" t="s">
        <v>1142</v>
      </c>
      <c r="E910" s="76" t="s">
        <v>1424</v>
      </c>
      <c r="F910" s="76" t="s">
        <v>1158</v>
      </c>
      <c r="G910" s="77" t="s">
        <v>1159</v>
      </c>
      <c r="H910" s="101" t="s">
        <v>1160</v>
      </c>
      <c r="I910" s="76" t="s">
        <v>1147</v>
      </c>
      <c r="J910" s="76" t="s">
        <v>1148</v>
      </c>
      <c r="K910" s="76">
        <v>93141506</v>
      </c>
      <c r="L910" s="63" t="s">
        <v>1149</v>
      </c>
      <c r="M910" s="63" t="s">
        <v>58</v>
      </c>
      <c r="N910" s="63" t="s">
        <v>59</v>
      </c>
      <c r="O910" s="76" t="s">
        <v>1213</v>
      </c>
      <c r="P910" s="63" t="s">
        <v>1287</v>
      </c>
      <c r="Q910" s="83">
        <v>5253000</v>
      </c>
      <c r="R910" s="98">
        <v>1</v>
      </c>
      <c r="S910" s="80">
        <f t="shared" si="97"/>
        <v>21012000</v>
      </c>
      <c r="T910" s="63" t="s">
        <v>888</v>
      </c>
      <c r="U910" s="63" t="s">
        <v>1163</v>
      </c>
      <c r="V910" s="81" t="s">
        <v>431</v>
      </c>
      <c r="W910" s="82">
        <v>4</v>
      </c>
      <c r="X910" s="63" t="s">
        <v>2586</v>
      </c>
      <c r="Y910" s="81">
        <v>43321</v>
      </c>
      <c r="Z910" s="83">
        <v>21012000</v>
      </c>
      <c r="AA910" s="84" t="s">
        <v>1716</v>
      </c>
      <c r="AB910" s="85">
        <v>1040</v>
      </c>
      <c r="AC910" s="81">
        <v>43322</v>
      </c>
      <c r="AD910" s="86">
        <v>21012000</v>
      </c>
      <c r="AE910" s="86">
        <f t="shared" si="98"/>
        <v>0</v>
      </c>
      <c r="AF910" s="85">
        <v>2746</v>
      </c>
      <c r="AG910" s="81">
        <v>43336</v>
      </c>
      <c r="AH910" s="86">
        <v>21012000</v>
      </c>
      <c r="AI910" s="63" t="s">
        <v>2587</v>
      </c>
      <c r="AJ910" s="63">
        <v>525</v>
      </c>
      <c r="AK910" s="87">
        <f t="shared" si="91"/>
        <v>0</v>
      </c>
      <c r="AL910" s="86">
        <v>700400</v>
      </c>
      <c r="AM910" s="86">
        <f t="shared" si="92"/>
        <v>20311600</v>
      </c>
      <c r="AN910" s="63" t="s">
        <v>1155</v>
      </c>
      <c r="AO910" s="86">
        <f t="shared" si="93"/>
        <v>0</v>
      </c>
      <c r="AP910" s="63"/>
      <c r="AQ910" s="81">
        <v>43320</v>
      </c>
      <c r="AR910" s="63" t="s">
        <v>2109</v>
      </c>
      <c r="AS910" s="81">
        <v>43321</v>
      </c>
      <c r="AT910" s="63" t="s">
        <v>1453</v>
      </c>
      <c r="AU910" s="220"/>
      <c r="AV910" s="220"/>
      <c r="AW910" s="220"/>
    </row>
    <row r="911" spans="1:49" s="221" customFormat="1" ht="342" x14ac:dyDescent="0.25">
      <c r="A911" s="63">
        <v>497</v>
      </c>
      <c r="B911" s="63" t="str">
        <f t="shared" si="90"/>
        <v>3075-497</v>
      </c>
      <c r="C911" s="76" t="s">
        <v>1141</v>
      </c>
      <c r="D911" s="76" t="s">
        <v>1142</v>
      </c>
      <c r="E911" s="76" t="s">
        <v>1424</v>
      </c>
      <c r="F911" s="76" t="s">
        <v>1158</v>
      </c>
      <c r="G911" s="77" t="s">
        <v>1159</v>
      </c>
      <c r="H911" s="101" t="s">
        <v>1160</v>
      </c>
      <c r="I911" s="76" t="s">
        <v>1147</v>
      </c>
      <c r="J911" s="76" t="s">
        <v>1148</v>
      </c>
      <c r="K911" s="76">
        <v>801116</v>
      </c>
      <c r="L911" s="63" t="s">
        <v>1149</v>
      </c>
      <c r="M911" s="63" t="s">
        <v>58</v>
      </c>
      <c r="N911" s="63" t="s">
        <v>59</v>
      </c>
      <c r="O911" s="76" t="s">
        <v>1213</v>
      </c>
      <c r="P911" s="63" t="s">
        <v>1219</v>
      </c>
      <c r="Q911" s="83">
        <v>1751000</v>
      </c>
      <c r="R911" s="98">
        <v>1</v>
      </c>
      <c r="S911" s="80">
        <f t="shared" si="97"/>
        <v>7004000</v>
      </c>
      <c r="T911" s="63" t="s">
        <v>928</v>
      </c>
      <c r="U911" s="63" t="s">
        <v>1163</v>
      </c>
      <c r="V911" s="81" t="s">
        <v>431</v>
      </c>
      <c r="W911" s="82">
        <v>4</v>
      </c>
      <c r="X911" s="63" t="s">
        <v>2588</v>
      </c>
      <c r="Y911" s="81">
        <v>43321</v>
      </c>
      <c r="Z911" s="83">
        <v>7004000</v>
      </c>
      <c r="AA911" s="84" t="s">
        <v>2589</v>
      </c>
      <c r="AB911" s="85">
        <v>1046</v>
      </c>
      <c r="AC911" s="81">
        <v>43322</v>
      </c>
      <c r="AD911" s="86">
        <v>7004000</v>
      </c>
      <c r="AE911" s="86">
        <f t="shared" si="98"/>
        <v>0</v>
      </c>
      <c r="AF911" s="85">
        <v>2715</v>
      </c>
      <c r="AG911" s="81">
        <v>43334</v>
      </c>
      <c r="AH911" s="86">
        <v>7004000</v>
      </c>
      <c r="AI911" s="63" t="s">
        <v>1721</v>
      </c>
      <c r="AJ911" s="63">
        <v>509</v>
      </c>
      <c r="AK911" s="87">
        <f t="shared" si="91"/>
        <v>0</v>
      </c>
      <c r="AL911" s="86">
        <v>525300</v>
      </c>
      <c r="AM911" s="86">
        <f t="shared" si="92"/>
        <v>6478700</v>
      </c>
      <c r="AN911" s="63" t="s">
        <v>1155</v>
      </c>
      <c r="AO911" s="86">
        <f t="shared" si="93"/>
        <v>0</v>
      </c>
      <c r="AP911" s="63"/>
      <c r="AQ911" s="81">
        <v>43320</v>
      </c>
      <c r="AR911" s="63" t="s">
        <v>2109</v>
      </c>
      <c r="AS911" s="81">
        <v>43321</v>
      </c>
      <c r="AT911" s="63" t="s">
        <v>1453</v>
      </c>
      <c r="AU911" s="220"/>
      <c r="AV911" s="220"/>
      <c r="AW911" s="220"/>
    </row>
    <row r="912" spans="1:49" s="221" customFormat="1" ht="342" x14ac:dyDescent="0.25">
      <c r="A912" s="63">
        <v>498</v>
      </c>
      <c r="B912" s="63" t="str">
        <f t="shared" si="90"/>
        <v>3075-498</v>
      </c>
      <c r="C912" s="76" t="s">
        <v>1141</v>
      </c>
      <c r="D912" s="76" t="s">
        <v>1142</v>
      </c>
      <c r="E912" s="76" t="s">
        <v>1424</v>
      </c>
      <c r="F912" s="76" t="s">
        <v>1158</v>
      </c>
      <c r="G912" s="77" t="s">
        <v>1159</v>
      </c>
      <c r="H912" s="101" t="s">
        <v>1160</v>
      </c>
      <c r="I912" s="76" t="s">
        <v>1147</v>
      </c>
      <c r="J912" s="76" t="s">
        <v>1148</v>
      </c>
      <c r="K912" s="76">
        <v>93151501</v>
      </c>
      <c r="L912" s="63" t="s">
        <v>1149</v>
      </c>
      <c r="M912" s="63" t="s">
        <v>58</v>
      </c>
      <c r="N912" s="63" t="s">
        <v>59</v>
      </c>
      <c r="O912" s="76" t="s">
        <v>1213</v>
      </c>
      <c r="P912" s="63" t="s">
        <v>2583</v>
      </c>
      <c r="Q912" s="83">
        <v>5665000</v>
      </c>
      <c r="R912" s="98">
        <v>1</v>
      </c>
      <c r="S912" s="80">
        <f t="shared" si="97"/>
        <v>22660000</v>
      </c>
      <c r="T912" s="63" t="s">
        <v>888</v>
      </c>
      <c r="U912" s="63" t="s">
        <v>1163</v>
      </c>
      <c r="V912" s="81" t="s">
        <v>875</v>
      </c>
      <c r="W912" s="82">
        <v>4</v>
      </c>
      <c r="X912" s="63" t="s">
        <v>2590</v>
      </c>
      <c r="Y912" s="81">
        <v>43321</v>
      </c>
      <c r="Z912" s="83">
        <v>22660000</v>
      </c>
      <c r="AA912" s="84" t="s">
        <v>2591</v>
      </c>
      <c r="AB912" s="85">
        <v>1053</v>
      </c>
      <c r="AC912" s="81">
        <v>43322</v>
      </c>
      <c r="AD912" s="86">
        <v>22660000</v>
      </c>
      <c r="AE912" s="86">
        <f t="shared" si="98"/>
        <v>0</v>
      </c>
      <c r="AF912" s="85">
        <v>2879</v>
      </c>
      <c r="AG912" s="81">
        <v>43360</v>
      </c>
      <c r="AH912" s="86">
        <v>22660000</v>
      </c>
      <c r="AI912" s="63" t="s">
        <v>1730</v>
      </c>
      <c r="AJ912" s="63">
        <v>519</v>
      </c>
      <c r="AK912" s="87">
        <f t="shared" si="91"/>
        <v>0</v>
      </c>
      <c r="AL912" s="86">
        <v>0</v>
      </c>
      <c r="AM912" s="86">
        <f t="shared" si="92"/>
        <v>22660000</v>
      </c>
      <c r="AN912" s="63" t="s">
        <v>1155</v>
      </c>
      <c r="AO912" s="86">
        <f t="shared" si="93"/>
        <v>0</v>
      </c>
      <c r="AP912" s="63"/>
      <c r="AQ912" s="81">
        <v>43320</v>
      </c>
      <c r="AR912" s="63" t="s">
        <v>2109</v>
      </c>
      <c r="AS912" s="81">
        <v>43321</v>
      </c>
      <c r="AT912" s="63" t="s">
        <v>1453</v>
      </c>
      <c r="AU912" s="220"/>
      <c r="AV912" s="220"/>
      <c r="AW912" s="220"/>
    </row>
    <row r="913" spans="1:49" s="221" customFormat="1" ht="342" x14ac:dyDescent="0.25">
      <c r="A913" s="63">
        <v>499</v>
      </c>
      <c r="B913" s="63" t="str">
        <f t="shared" si="90"/>
        <v>3075-499</v>
      </c>
      <c r="C913" s="76" t="s">
        <v>1141</v>
      </c>
      <c r="D913" s="76" t="s">
        <v>1142</v>
      </c>
      <c r="E913" s="76" t="s">
        <v>1424</v>
      </c>
      <c r="F913" s="76" t="s">
        <v>1158</v>
      </c>
      <c r="G913" s="77" t="s">
        <v>1159</v>
      </c>
      <c r="H913" s="101" t="s">
        <v>1160</v>
      </c>
      <c r="I913" s="76" t="s">
        <v>1147</v>
      </c>
      <c r="J913" s="76" t="s">
        <v>1148</v>
      </c>
      <c r="K913" s="76">
        <v>80111600</v>
      </c>
      <c r="L913" s="63" t="s">
        <v>1149</v>
      </c>
      <c r="M913" s="63" t="s">
        <v>58</v>
      </c>
      <c r="N913" s="63" t="s">
        <v>59</v>
      </c>
      <c r="O913" s="76" t="s">
        <v>1213</v>
      </c>
      <c r="P913" s="63" t="s">
        <v>1496</v>
      </c>
      <c r="Q913" s="83">
        <v>5253000</v>
      </c>
      <c r="R913" s="98">
        <v>1</v>
      </c>
      <c r="S913" s="80">
        <f t="shared" si="97"/>
        <v>21012000</v>
      </c>
      <c r="T913" s="63" t="s">
        <v>888</v>
      </c>
      <c r="U913" s="63" t="s">
        <v>1163</v>
      </c>
      <c r="V913" s="81" t="s">
        <v>431</v>
      </c>
      <c r="W913" s="82">
        <v>4</v>
      </c>
      <c r="X913" s="63" t="s">
        <v>2592</v>
      </c>
      <c r="Y913" s="81">
        <v>43321</v>
      </c>
      <c r="Z913" s="83">
        <v>21012000</v>
      </c>
      <c r="AA913" s="84" t="s">
        <v>2593</v>
      </c>
      <c r="AB913" s="85">
        <v>1054</v>
      </c>
      <c r="AC913" s="81">
        <v>43322</v>
      </c>
      <c r="AD913" s="86">
        <v>21012000</v>
      </c>
      <c r="AE913" s="86">
        <f t="shared" si="98"/>
        <v>0</v>
      </c>
      <c r="AF913" s="85">
        <v>2707</v>
      </c>
      <c r="AG913" s="81">
        <v>43334</v>
      </c>
      <c r="AH913" s="86">
        <v>21012000</v>
      </c>
      <c r="AI913" s="63" t="s">
        <v>2238</v>
      </c>
      <c r="AJ913" s="63">
        <v>515</v>
      </c>
      <c r="AK913" s="87">
        <f t="shared" si="91"/>
        <v>0</v>
      </c>
      <c r="AL913" s="86">
        <v>1575900</v>
      </c>
      <c r="AM913" s="86">
        <f t="shared" si="92"/>
        <v>19436100</v>
      </c>
      <c r="AN913" s="63" t="s">
        <v>1155</v>
      </c>
      <c r="AO913" s="86">
        <f t="shared" si="93"/>
        <v>0</v>
      </c>
      <c r="AP913" s="63"/>
      <c r="AQ913" s="81">
        <v>43320</v>
      </c>
      <c r="AR913" s="63" t="s">
        <v>2109</v>
      </c>
      <c r="AS913" s="81">
        <v>43321</v>
      </c>
      <c r="AT913" s="63" t="s">
        <v>1453</v>
      </c>
      <c r="AU913" s="220"/>
      <c r="AV913" s="220"/>
      <c r="AW913" s="220"/>
    </row>
    <row r="914" spans="1:49" s="221" customFormat="1" ht="299.25" x14ac:dyDescent="0.25">
      <c r="A914" s="63">
        <v>500</v>
      </c>
      <c r="B914" s="63" t="str">
        <f t="shared" si="90"/>
        <v>3075-500</v>
      </c>
      <c r="C914" s="76" t="s">
        <v>1141</v>
      </c>
      <c r="D914" s="76" t="s">
        <v>1142</v>
      </c>
      <c r="E914" s="76" t="s">
        <v>1143</v>
      </c>
      <c r="F914" s="76" t="s">
        <v>1158</v>
      </c>
      <c r="G914" s="77" t="s">
        <v>1159</v>
      </c>
      <c r="H914" s="78" t="s">
        <v>1160</v>
      </c>
      <c r="I914" s="76" t="s">
        <v>1147</v>
      </c>
      <c r="J914" s="76" t="s">
        <v>1148</v>
      </c>
      <c r="K914" s="76">
        <v>80111600</v>
      </c>
      <c r="L914" s="63" t="s">
        <v>1149</v>
      </c>
      <c r="M914" s="63" t="s">
        <v>58</v>
      </c>
      <c r="N914" s="63" t="s">
        <v>59</v>
      </c>
      <c r="O914" s="76" t="s">
        <v>1213</v>
      </c>
      <c r="P914" s="76" t="s">
        <v>2594</v>
      </c>
      <c r="Q914" s="83">
        <v>5253000</v>
      </c>
      <c r="R914" s="63">
        <v>1</v>
      </c>
      <c r="S914" s="80">
        <f t="shared" si="97"/>
        <v>21012000</v>
      </c>
      <c r="T914" s="63" t="s">
        <v>888</v>
      </c>
      <c r="U914" s="63" t="s">
        <v>1163</v>
      </c>
      <c r="V914" s="81" t="s">
        <v>875</v>
      </c>
      <c r="W914" s="82">
        <v>4</v>
      </c>
      <c r="X914" s="63" t="s">
        <v>2595</v>
      </c>
      <c r="Y914" s="81">
        <v>43329</v>
      </c>
      <c r="Z914" s="83">
        <v>21012000</v>
      </c>
      <c r="AA914" s="84" t="s">
        <v>2596</v>
      </c>
      <c r="AB914" s="85">
        <v>1089</v>
      </c>
      <c r="AC914" s="81">
        <v>43333</v>
      </c>
      <c r="AD914" s="86">
        <v>21012000</v>
      </c>
      <c r="AE914" s="87">
        <f t="shared" si="98"/>
        <v>0</v>
      </c>
      <c r="AF914" s="85">
        <v>2828</v>
      </c>
      <c r="AG914" s="81">
        <v>43353</v>
      </c>
      <c r="AH914" s="86">
        <v>21012000</v>
      </c>
      <c r="AI914" s="63" t="s">
        <v>2597</v>
      </c>
      <c r="AJ914" s="63">
        <v>540</v>
      </c>
      <c r="AK914" s="87">
        <f t="shared" si="91"/>
        <v>0</v>
      </c>
      <c r="AL914" s="86">
        <v>0</v>
      </c>
      <c r="AM914" s="86">
        <f t="shared" si="92"/>
        <v>21012000</v>
      </c>
      <c r="AN914" s="63" t="s">
        <v>1155</v>
      </c>
      <c r="AO914" s="86">
        <f t="shared" si="93"/>
        <v>0</v>
      </c>
      <c r="AP914" s="63"/>
      <c r="AQ914" s="81">
        <v>43328</v>
      </c>
      <c r="AR914" s="63" t="s">
        <v>2109</v>
      </c>
      <c r="AS914" s="81">
        <v>43329</v>
      </c>
      <c r="AT914" s="63" t="s">
        <v>1453</v>
      </c>
      <c r="AU914" s="220"/>
      <c r="AV914" s="220"/>
      <c r="AW914" s="220"/>
    </row>
    <row r="915" spans="1:49" s="221" customFormat="1" ht="213.75" x14ac:dyDescent="0.25">
      <c r="A915" s="63">
        <v>501</v>
      </c>
      <c r="B915" s="63" t="str">
        <f t="shared" si="90"/>
        <v>3075-501</v>
      </c>
      <c r="C915" s="76" t="s">
        <v>1141</v>
      </c>
      <c r="D915" s="76" t="s">
        <v>1142</v>
      </c>
      <c r="E915" s="76" t="s">
        <v>1174</v>
      </c>
      <c r="F915" s="76" t="s">
        <v>1175</v>
      </c>
      <c r="G915" s="77" t="s">
        <v>1176</v>
      </c>
      <c r="H915" s="78" t="s">
        <v>1177</v>
      </c>
      <c r="I915" s="76" t="s">
        <v>1191</v>
      </c>
      <c r="J915" s="76" t="s">
        <v>1192</v>
      </c>
      <c r="K915" s="76" t="s">
        <v>439</v>
      </c>
      <c r="L915" s="63" t="s">
        <v>1149</v>
      </c>
      <c r="M915" s="63" t="s">
        <v>58</v>
      </c>
      <c r="N915" s="63" t="s">
        <v>59</v>
      </c>
      <c r="O915" s="76" t="s">
        <v>1169</v>
      </c>
      <c r="P915" s="76" t="s">
        <v>2598</v>
      </c>
      <c r="Q915" s="79">
        <v>39062100</v>
      </c>
      <c r="R915" s="63">
        <v>1</v>
      </c>
      <c r="S915" s="80">
        <f t="shared" si="97"/>
        <v>39062100</v>
      </c>
      <c r="T915" s="63" t="s">
        <v>1171</v>
      </c>
      <c r="U915" s="63" t="s">
        <v>1171</v>
      </c>
      <c r="V915" s="81" t="s">
        <v>875</v>
      </c>
      <c r="W915" s="82">
        <v>1</v>
      </c>
      <c r="X915" s="90" t="s">
        <v>2599</v>
      </c>
      <c r="Y915" s="81">
        <v>43335</v>
      </c>
      <c r="Z915" s="83">
        <v>39062100</v>
      </c>
      <c r="AA915" s="84" t="s">
        <v>2600</v>
      </c>
      <c r="AB915" s="85">
        <v>1099</v>
      </c>
      <c r="AC915" s="81">
        <v>43336</v>
      </c>
      <c r="AD915" s="86">
        <v>39062100</v>
      </c>
      <c r="AE915" s="87">
        <f t="shared" si="98"/>
        <v>0</v>
      </c>
      <c r="AF915" s="85">
        <v>2857</v>
      </c>
      <c r="AG915" s="81">
        <v>43355</v>
      </c>
      <c r="AH915" s="86">
        <v>39062100</v>
      </c>
      <c r="AI915" s="63" t="s">
        <v>2601</v>
      </c>
      <c r="AJ915" s="63">
        <v>3316</v>
      </c>
      <c r="AK915" s="87">
        <f t="shared" si="91"/>
        <v>0</v>
      </c>
      <c r="AL915" s="86">
        <v>0</v>
      </c>
      <c r="AM915" s="86">
        <f t="shared" si="92"/>
        <v>39062100</v>
      </c>
      <c r="AN915" s="63" t="s">
        <v>1155</v>
      </c>
      <c r="AO915" s="86">
        <f t="shared" si="93"/>
        <v>0</v>
      </c>
      <c r="AP915" s="63"/>
      <c r="AQ915" s="81">
        <v>43334</v>
      </c>
      <c r="AR915" s="63" t="s">
        <v>2109</v>
      </c>
      <c r="AS915" s="81">
        <v>43335</v>
      </c>
      <c r="AT915" s="76" t="s">
        <v>2598</v>
      </c>
      <c r="AU915" s="220"/>
      <c r="AV915" s="220"/>
      <c r="AW915" s="220"/>
    </row>
    <row r="916" spans="1:49" s="221" customFormat="1" ht="213.75" x14ac:dyDescent="0.25">
      <c r="A916" s="63">
        <v>502</v>
      </c>
      <c r="B916" s="63" t="str">
        <f t="shared" si="90"/>
        <v>3075-502</v>
      </c>
      <c r="C916" s="76" t="s">
        <v>1141</v>
      </c>
      <c r="D916" s="76" t="s">
        <v>1142</v>
      </c>
      <c r="E916" s="76" t="s">
        <v>1174</v>
      </c>
      <c r="F916" s="76" t="s">
        <v>1175</v>
      </c>
      <c r="G916" s="77" t="s">
        <v>1176</v>
      </c>
      <c r="H916" s="78" t="s">
        <v>1177</v>
      </c>
      <c r="I916" s="76" t="s">
        <v>1191</v>
      </c>
      <c r="J916" s="76" t="s">
        <v>1192</v>
      </c>
      <c r="K916" s="76" t="s">
        <v>439</v>
      </c>
      <c r="L916" s="63" t="s">
        <v>1149</v>
      </c>
      <c r="M916" s="63" t="s">
        <v>58</v>
      </c>
      <c r="N916" s="63" t="s">
        <v>59</v>
      </c>
      <c r="O916" s="76" t="s">
        <v>1169</v>
      </c>
      <c r="P916" s="76" t="s">
        <v>2602</v>
      </c>
      <c r="Q916" s="79">
        <v>39062100</v>
      </c>
      <c r="R916" s="63">
        <v>1</v>
      </c>
      <c r="S916" s="80">
        <f t="shared" si="97"/>
        <v>39062100</v>
      </c>
      <c r="T916" s="63" t="s">
        <v>1171</v>
      </c>
      <c r="U916" s="63" t="s">
        <v>1171</v>
      </c>
      <c r="V916" s="81" t="s">
        <v>875</v>
      </c>
      <c r="W916" s="82">
        <v>1</v>
      </c>
      <c r="X916" s="90" t="s">
        <v>2603</v>
      </c>
      <c r="Y916" s="81">
        <v>43335</v>
      </c>
      <c r="Z916" s="83">
        <v>39062100</v>
      </c>
      <c r="AA916" s="84" t="s">
        <v>2604</v>
      </c>
      <c r="AB916" s="85">
        <v>1102</v>
      </c>
      <c r="AC916" s="81">
        <v>43336</v>
      </c>
      <c r="AD916" s="86">
        <v>39062100</v>
      </c>
      <c r="AE916" s="87">
        <f t="shared" si="98"/>
        <v>0</v>
      </c>
      <c r="AF916" s="85">
        <v>2858</v>
      </c>
      <c r="AG916" s="81">
        <v>43355</v>
      </c>
      <c r="AH916" s="86">
        <v>39062100</v>
      </c>
      <c r="AI916" s="63" t="s">
        <v>2605</v>
      </c>
      <c r="AJ916" s="63">
        <v>3315</v>
      </c>
      <c r="AK916" s="87">
        <f t="shared" si="91"/>
        <v>0</v>
      </c>
      <c r="AL916" s="86">
        <v>0</v>
      </c>
      <c r="AM916" s="86">
        <f t="shared" si="92"/>
        <v>39062100</v>
      </c>
      <c r="AN916" s="63" t="s">
        <v>1155</v>
      </c>
      <c r="AO916" s="86">
        <f t="shared" si="93"/>
        <v>0</v>
      </c>
      <c r="AP916" s="63"/>
      <c r="AQ916" s="81">
        <v>43334</v>
      </c>
      <c r="AR916" s="63" t="s">
        <v>2109</v>
      </c>
      <c r="AS916" s="81">
        <v>43335</v>
      </c>
      <c r="AT916" s="76" t="s">
        <v>2602</v>
      </c>
      <c r="AU916" s="220"/>
      <c r="AV916" s="220"/>
      <c r="AW916" s="220"/>
    </row>
    <row r="917" spans="1:49" s="221" customFormat="1" ht="270.75" x14ac:dyDescent="0.25">
      <c r="A917" s="63">
        <v>503</v>
      </c>
      <c r="B917" s="63" t="str">
        <f t="shared" si="90"/>
        <v>3075-503</v>
      </c>
      <c r="C917" s="76" t="s">
        <v>1141</v>
      </c>
      <c r="D917" s="76" t="s">
        <v>1142</v>
      </c>
      <c r="E917" s="76" t="s">
        <v>1174</v>
      </c>
      <c r="F917" s="76" t="s">
        <v>1175</v>
      </c>
      <c r="G917" s="77" t="s">
        <v>1176</v>
      </c>
      <c r="H917" s="78" t="s">
        <v>1177</v>
      </c>
      <c r="I917" s="76" t="s">
        <v>1191</v>
      </c>
      <c r="J917" s="76" t="s">
        <v>1192</v>
      </c>
      <c r="K917" s="76" t="s">
        <v>439</v>
      </c>
      <c r="L917" s="63" t="s">
        <v>1149</v>
      </c>
      <c r="M917" s="63" t="s">
        <v>58</v>
      </c>
      <c r="N917" s="63" t="s">
        <v>59</v>
      </c>
      <c r="O917" s="76" t="s">
        <v>1169</v>
      </c>
      <c r="P917" s="76" t="s">
        <v>2606</v>
      </c>
      <c r="Q917" s="79">
        <v>25211940</v>
      </c>
      <c r="R917" s="63">
        <v>1</v>
      </c>
      <c r="S917" s="80">
        <f t="shared" si="97"/>
        <v>25211940</v>
      </c>
      <c r="T917" s="63"/>
      <c r="U917" s="63" t="s">
        <v>1171</v>
      </c>
      <c r="V917" s="81" t="s">
        <v>875</v>
      </c>
      <c r="W917" s="82">
        <v>1</v>
      </c>
      <c r="X917" s="90" t="s">
        <v>2607</v>
      </c>
      <c r="Y917" s="81">
        <v>43335</v>
      </c>
      <c r="Z917" s="83">
        <v>25211940</v>
      </c>
      <c r="AA917" s="84" t="s">
        <v>2604</v>
      </c>
      <c r="AB917" s="85">
        <v>1103</v>
      </c>
      <c r="AC917" s="81">
        <v>43336</v>
      </c>
      <c r="AD917" s="86">
        <v>25211940</v>
      </c>
      <c r="AE917" s="87">
        <f t="shared" si="98"/>
        <v>0</v>
      </c>
      <c r="AF917" s="85"/>
      <c r="AG917" s="81"/>
      <c r="AH917" s="86"/>
      <c r="AI917" s="63"/>
      <c r="AJ917" s="63"/>
      <c r="AK917" s="87">
        <f t="shared" si="91"/>
        <v>25211940</v>
      </c>
      <c r="AL917" s="86"/>
      <c r="AM917" s="86">
        <f t="shared" si="92"/>
        <v>0</v>
      </c>
      <c r="AN917" s="63" t="s">
        <v>1155</v>
      </c>
      <c r="AO917" s="86">
        <f t="shared" si="93"/>
        <v>25211940</v>
      </c>
      <c r="AP917" s="63"/>
      <c r="AQ917" s="81">
        <v>43334</v>
      </c>
      <c r="AR917" s="63" t="s">
        <v>2109</v>
      </c>
      <c r="AS917" s="81">
        <v>43335</v>
      </c>
      <c r="AT917" s="76" t="s">
        <v>2606</v>
      </c>
      <c r="AU917" s="220"/>
      <c r="AV917" s="220"/>
      <c r="AW917" s="220"/>
    </row>
    <row r="918" spans="1:49" s="221" customFormat="1" ht="327.75" x14ac:dyDescent="0.25">
      <c r="A918" s="63">
        <v>504</v>
      </c>
      <c r="B918" s="63" t="str">
        <f t="shared" si="90"/>
        <v>3075-504</v>
      </c>
      <c r="C918" s="76" t="s">
        <v>1141</v>
      </c>
      <c r="D918" s="76" t="s">
        <v>1142</v>
      </c>
      <c r="E918" s="76" t="s">
        <v>1143</v>
      </c>
      <c r="F918" s="76" t="s">
        <v>1158</v>
      </c>
      <c r="G918" s="77" t="s">
        <v>1159</v>
      </c>
      <c r="H918" s="78" t="s">
        <v>1160</v>
      </c>
      <c r="I918" s="76" t="s">
        <v>1147</v>
      </c>
      <c r="J918" s="76" t="s">
        <v>1148</v>
      </c>
      <c r="K918" s="76">
        <v>80111600</v>
      </c>
      <c r="L918" s="63" t="s">
        <v>1149</v>
      </c>
      <c r="M918" s="63" t="s">
        <v>58</v>
      </c>
      <c r="N918" s="63" t="s">
        <v>59</v>
      </c>
      <c r="O918" s="76" t="s">
        <v>1213</v>
      </c>
      <c r="P918" s="76" t="s">
        <v>2608</v>
      </c>
      <c r="Q918" s="83">
        <v>4532000</v>
      </c>
      <c r="R918" s="63">
        <v>1</v>
      </c>
      <c r="S918" s="80">
        <f t="shared" si="97"/>
        <v>4532000</v>
      </c>
      <c r="T918" s="63" t="s">
        <v>888</v>
      </c>
      <c r="U918" s="63" t="s">
        <v>1163</v>
      </c>
      <c r="V918" s="81" t="s">
        <v>431</v>
      </c>
      <c r="W918" s="82">
        <v>1</v>
      </c>
      <c r="X918" s="63" t="s">
        <v>2609</v>
      </c>
      <c r="Y918" s="81">
        <v>43335</v>
      </c>
      <c r="Z918" s="83">
        <v>4532000</v>
      </c>
      <c r="AA918" s="84" t="s">
        <v>2568</v>
      </c>
      <c r="AB918" s="85">
        <v>1098</v>
      </c>
      <c r="AC918" s="81">
        <v>43335</v>
      </c>
      <c r="AD918" s="86">
        <v>4532000</v>
      </c>
      <c r="AE918" s="87">
        <f t="shared" si="98"/>
        <v>0</v>
      </c>
      <c r="AF918" s="85">
        <v>2742</v>
      </c>
      <c r="AG918" s="81">
        <v>43336</v>
      </c>
      <c r="AH918" s="86">
        <v>4532000</v>
      </c>
      <c r="AI918" s="63" t="s">
        <v>685</v>
      </c>
      <c r="AJ918" s="63">
        <v>319</v>
      </c>
      <c r="AK918" s="87">
        <f t="shared" si="91"/>
        <v>0</v>
      </c>
      <c r="AL918" s="86">
        <v>906400</v>
      </c>
      <c r="AM918" s="86">
        <f t="shared" si="92"/>
        <v>3625600</v>
      </c>
      <c r="AN918" s="63" t="s">
        <v>1155</v>
      </c>
      <c r="AO918" s="86">
        <f t="shared" si="93"/>
        <v>0</v>
      </c>
      <c r="AP918" s="63"/>
      <c r="AQ918" s="81">
        <v>43335</v>
      </c>
      <c r="AR918" s="63" t="s">
        <v>2109</v>
      </c>
      <c r="AS918" s="81">
        <v>43335</v>
      </c>
      <c r="AT918" s="63" t="s">
        <v>1453</v>
      </c>
      <c r="AU918" s="220"/>
      <c r="AV918" s="220"/>
      <c r="AW918" s="220"/>
    </row>
    <row r="919" spans="1:49" s="221" customFormat="1" ht="199.5" x14ac:dyDescent="0.25">
      <c r="A919" s="63">
        <v>505</v>
      </c>
      <c r="B919" s="63" t="str">
        <f t="shared" si="90"/>
        <v>3075-505</v>
      </c>
      <c r="C919" s="76" t="s">
        <v>1141</v>
      </c>
      <c r="D919" s="76" t="s">
        <v>1142</v>
      </c>
      <c r="E919" s="76" t="s">
        <v>1165</v>
      </c>
      <c r="F919" s="76" t="s">
        <v>1166</v>
      </c>
      <c r="G919" s="77" t="s">
        <v>1167</v>
      </c>
      <c r="H919" s="78" t="s">
        <v>1168</v>
      </c>
      <c r="I919" s="76" t="s">
        <v>1147</v>
      </c>
      <c r="J919" s="76" t="s">
        <v>1148</v>
      </c>
      <c r="K919" s="76" t="s">
        <v>439</v>
      </c>
      <c r="L919" s="63" t="s">
        <v>1149</v>
      </c>
      <c r="M919" s="63" t="s">
        <v>58</v>
      </c>
      <c r="N919" s="63" t="s">
        <v>59</v>
      </c>
      <c r="O919" s="76" t="s">
        <v>1169</v>
      </c>
      <c r="P919" s="63" t="s">
        <v>2610</v>
      </c>
      <c r="Q919" s="79">
        <v>34750800</v>
      </c>
      <c r="R919" s="63">
        <v>1</v>
      </c>
      <c r="S919" s="80">
        <f t="shared" si="97"/>
        <v>34750800</v>
      </c>
      <c r="T919" s="63" t="s">
        <v>1171</v>
      </c>
      <c r="U919" s="63" t="s">
        <v>1171</v>
      </c>
      <c r="V919" s="81" t="s">
        <v>875</v>
      </c>
      <c r="W919" s="82">
        <v>1</v>
      </c>
      <c r="X919" s="90" t="s">
        <v>2611</v>
      </c>
      <c r="Y919" s="89">
        <v>43336</v>
      </c>
      <c r="Z919" s="83">
        <v>34750800</v>
      </c>
      <c r="AA919" s="84" t="s">
        <v>2542</v>
      </c>
      <c r="AB919" s="85">
        <v>1108</v>
      </c>
      <c r="AC919" s="81">
        <v>43341</v>
      </c>
      <c r="AD919" s="86">
        <v>34750800</v>
      </c>
      <c r="AE919" s="87">
        <f t="shared" si="98"/>
        <v>0</v>
      </c>
      <c r="AF919" s="85">
        <v>2875</v>
      </c>
      <c r="AG919" s="81">
        <v>43360</v>
      </c>
      <c r="AH919" s="86">
        <v>34750800</v>
      </c>
      <c r="AI919" s="63" t="s">
        <v>2612</v>
      </c>
      <c r="AJ919" s="63">
        <v>3343</v>
      </c>
      <c r="AK919" s="87">
        <f t="shared" si="91"/>
        <v>0</v>
      </c>
      <c r="AL919" s="86">
        <v>0</v>
      </c>
      <c r="AM919" s="86">
        <f t="shared" si="92"/>
        <v>34750800</v>
      </c>
      <c r="AN919" s="63" t="s">
        <v>1155</v>
      </c>
      <c r="AO919" s="86">
        <f t="shared" si="93"/>
        <v>0</v>
      </c>
      <c r="AP919" s="63" t="s">
        <v>2132</v>
      </c>
      <c r="AQ919" s="81">
        <v>43336</v>
      </c>
      <c r="AR919" s="63" t="s">
        <v>2109</v>
      </c>
      <c r="AS919" s="81">
        <v>43336</v>
      </c>
      <c r="AT919" s="63" t="s">
        <v>2610</v>
      </c>
      <c r="AU919" s="220"/>
      <c r="AV919" s="220"/>
      <c r="AW919" s="220"/>
    </row>
    <row r="920" spans="1:49" s="221" customFormat="1" ht="199.5" x14ac:dyDescent="0.25">
      <c r="A920" s="63">
        <v>506</v>
      </c>
      <c r="B920" s="63" t="str">
        <f t="shared" si="90"/>
        <v>3075-506</v>
      </c>
      <c r="C920" s="76" t="s">
        <v>1141</v>
      </c>
      <c r="D920" s="76" t="s">
        <v>1142</v>
      </c>
      <c r="E920" s="76" t="s">
        <v>1165</v>
      </c>
      <c r="F920" s="76" t="s">
        <v>1166</v>
      </c>
      <c r="G920" s="77" t="s">
        <v>1167</v>
      </c>
      <c r="H920" s="78" t="s">
        <v>1168</v>
      </c>
      <c r="I920" s="76" t="s">
        <v>1147</v>
      </c>
      <c r="J920" s="76" t="s">
        <v>1148</v>
      </c>
      <c r="K920" s="76" t="s">
        <v>439</v>
      </c>
      <c r="L920" s="63" t="s">
        <v>1149</v>
      </c>
      <c r="M920" s="63" t="s">
        <v>58</v>
      </c>
      <c r="N920" s="63" t="s">
        <v>59</v>
      </c>
      <c r="O920" s="76" t="s">
        <v>1169</v>
      </c>
      <c r="P920" s="63" t="s">
        <v>2613</v>
      </c>
      <c r="Q920" s="79">
        <v>23438800</v>
      </c>
      <c r="R920" s="63">
        <v>1</v>
      </c>
      <c r="S920" s="80">
        <f t="shared" si="97"/>
        <v>23438800</v>
      </c>
      <c r="T920" s="63" t="s">
        <v>1171</v>
      </c>
      <c r="U920" s="63" t="s">
        <v>1171</v>
      </c>
      <c r="V920" s="81" t="s">
        <v>875</v>
      </c>
      <c r="W920" s="82">
        <v>1</v>
      </c>
      <c r="X920" s="63" t="s">
        <v>2614</v>
      </c>
      <c r="Y920" s="89">
        <v>43336</v>
      </c>
      <c r="Z920" s="83">
        <v>23438800</v>
      </c>
      <c r="AA920" s="84" t="s">
        <v>2542</v>
      </c>
      <c r="AB920" s="85">
        <v>1110</v>
      </c>
      <c r="AC920" s="81">
        <v>43341</v>
      </c>
      <c r="AD920" s="86">
        <v>23438800</v>
      </c>
      <c r="AE920" s="87">
        <f t="shared" si="98"/>
        <v>0</v>
      </c>
      <c r="AF920" s="85">
        <v>2876</v>
      </c>
      <c r="AG920" s="81">
        <v>43360</v>
      </c>
      <c r="AH920" s="86">
        <v>23438800</v>
      </c>
      <c r="AI920" s="63" t="s">
        <v>2615</v>
      </c>
      <c r="AJ920" s="63">
        <v>3341</v>
      </c>
      <c r="AK920" s="87">
        <f t="shared" si="91"/>
        <v>0</v>
      </c>
      <c r="AL920" s="86">
        <v>0</v>
      </c>
      <c r="AM920" s="86">
        <f t="shared" si="92"/>
        <v>23438800</v>
      </c>
      <c r="AN920" s="63" t="s">
        <v>1155</v>
      </c>
      <c r="AO920" s="86">
        <f t="shared" si="93"/>
        <v>0</v>
      </c>
      <c r="AP920" s="63" t="s">
        <v>2132</v>
      </c>
      <c r="AQ920" s="81">
        <v>43336</v>
      </c>
      <c r="AR920" s="63" t="s">
        <v>2109</v>
      </c>
      <c r="AS920" s="81">
        <v>43336</v>
      </c>
      <c r="AT920" s="63" t="s">
        <v>2613</v>
      </c>
      <c r="AU920" s="220"/>
      <c r="AV920" s="220"/>
      <c r="AW920" s="220"/>
    </row>
    <row r="921" spans="1:49" s="221" customFormat="1" ht="199.5" x14ac:dyDescent="0.25">
      <c r="A921" s="63">
        <v>507</v>
      </c>
      <c r="B921" s="63" t="str">
        <f t="shared" si="90"/>
        <v>3075-507</v>
      </c>
      <c r="C921" s="76" t="s">
        <v>1141</v>
      </c>
      <c r="D921" s="76" t="s">
        <v>1142</v>
      </c>
      <c r="E921" s="76" t="s">
        <v>1165</v>
      </c>
      <c r="F921" s="76" t="s">
        <v>1166</v>
      </c>
      <c r="G921" s="77" t="s">
        <v>1167</v>
      </c>
      <c r="H921" s="78" t="s">
        <v>1168</v>
      </c>
      <c r="I921" s="76" t="s">
        <v>1147</v>
      </c>
      <c r="J921" s="76" t="s">
        <v>1148</v>
      </c>
      <c r="K921" s="76" t="s">
        <v>439</v>
      </c>
      <c r="L921" s="63" t="s">
        <v>1149</v>
      </c>
      <c r="M921" s="63" t="s">
        <v>58</v>
      </c>
      <c r="N921" s="63" t="s">
        <v>59</v>
      </c>
      <c r="O921" s="76" t="s">
        <v>1169</v>
      </c>
      <c r="P921" s="63" t="s">
        <v>2616</v>
      </c>
      <c r="Q921" s="79">
        <v>32148000</v>
      </c>
      <c r="R921" s="63">
        <v>1</v>
      </c>
      <c r="S921" s="80">
        <f t="shared" si="97"/>
        <v>32148000</v>
      </c>
      <c r="T921" s="63"/>
      <c r="U921" s="63" t="s">
        <v>1171</v>
      </c>
      <c r="V921" s="81" t="s">
        <v>875</v>
      </c>
      <c r="W921" s="82">
        <v>1</v>
      </c>
      <c r="X921" s="90" t="s">
        <v>2617</v>
      </c>
      <c r="Y921" s="89">
        <v>43336</v>
      </c>
      <c r="Z921" s="83">
        <v>32148000</v>
      </c>
      <c r="AA921" s="84" t="s">
        <v>2542</v>
      </c>
      <c r="AB921" s="85">
        <v>1106</v>
      </c>
      <c r="AC921" s="81">
        <v>43341</v>
      </c>
      <c r="AD921" s="86">
        <v>32148000</v>
      </c>
      <c r="AE921" s="87">
        <f t="shared" si="98"/>
        <v>0</v>
      </c>
      <c r="AF921" s="85"/>
      <c r="AG921" s="81"/>
      <c r="AH921" s="86"/>
      <c r="AI921" s="63"/>
      <c r="AJ921" s="63"/>
      <c r="AK921" s="87">
        <f t="shared" si="91"/>
        <v>32148000</v>
      </c>
      <c r="AL921" s="86"/>
      <c r="AM921" s="86">
        <f t="shared" si="92"/>
        <v>0</v>
      </c>
      <c r="AN921" s="63" t="s">
        <v>1155</v>
      </c>
      <c r="AO921" s="86">
        <f t="shared" si="93"/>
        <v>32148000</v>
      </c>
      <c r="AP921" s="63" t="s">
        <v>2132</v>
      </c>
      <c r="AQ921" s="81">
        <v>43336</v>
      </c>
      <c r="AR921" s="63" t="s">
        <v>2109</v>
      </c>
      <c r="AS921" s="81">
        <v>43336</v>
      </c>
      <c r="AT921" s="63" t="s">
        <v>2616</v>
      </c>
      <c r="AU921" s="220"/>
      <c r="AV921" s="220"/>
      <c r="AW921" s="220"/>
    </row>
    <row r="922" spans="1:49" s="221" customFormat="1" ht="270.75" x14ac:dyDescent="0.25">
      <c r="A922" s="63">
        <v>508</v>
      </c>
      <c r="B922" s="63" t="str">
        <f t="shared" si="90"/>
        <v>3075-508</v>
      </c>
      <c r="C922" s="76" t="s">
        <v>1141</v>
      </c>
      <c r="D922" s="76" t="s">
        <v>1142</v>
      </c>
      <c r="E922" s="76" t="s">
        <v>1174</v>
      </c>
      <c r="F922" s="76" t="s">
        <v>1175</v>
      </c>
      <c r="G922" s="77" t="s">
        <v>1176</v>
      </c>
      <c r="H922" s="78" t="s">
        <v>1177</v>
      </c>
      <c r="I922" s="76" t="s">
        <v>1191</v>
      </c>
      <c r="J922" s="76" t="s">
        <v>1192</v>
      </c>
      <c r="K922" s="76" t="s">
        <v>439</v>
      </c>
      <c r="L922" s="63" t="s">
        <v>1149</v>
      </c>
      <c r="M922" s="63" t="s">
        <v>58</v>
      </c>
      <c r="N922" s="63" t="s">
        <v>59</v>
      </c>
      <c r="O922" s="76" t="s">
        <v>1169</v>
      </c>
      <c r="P922" s="76" t="s">
        <v>2618</v>
      </c>
      <c r="Q922" s="79">
        <v>41597285</v>
      </c>
      <c r="R922" s="63">
        <v>1</v>
      </c>
      <c r="S922" s="80">
        <f t="shared" si="97"/>
        <v>41597285</v>
      </c>
      <c r="T922" s="63" t="s">
        <v>1171</v>
      </c>
      <c r="U922" s="63" t="s">
        <v>1171</v>
      </c>
      <c r="V922" s="81" t="s">
        <v>875</v>
      </c>
      <c r="W922" s="82">
        <v>1</v>
      </c>
      <c r="X922" s="63" t="s">
        <v>2619</v>
      </c>
      <c r="Y922" s="89">
        <v>43336</v>
      </c>
      <c r="Z922" s="83">
        <v>41597285</v>
      </c>
      <c r="AA922" s="84" t="s">
        <v>2604</v>
      </c>
      <c r="AB922" s="85">
        <v>1107</v>
      </c>
      <c r="AC922" s="81">
        <v>43341</v>
      </c>
      <c r="AD922" s="86">
        <v>41597285</v>
      </c>
      <c r="AE922" s="87">
        <f t="shared" si="98"/>
        <v>0</v>
      </c>
      <c r="AF922" s="85">
        <v>2878</v>
      </c>
      <c r="AG922" s="81">
        <v>43360</v>
      </c>
      <c r="AH922" s="86">
        <v>41597285</v>
      </c>
      <c r="AI922" s="63" t="s">
        <v>2620</v>
      </c>
      <c r="AJ922" s="63">
        <v>3342</v>
      </c>
      <c r="AK922" s="87">
        <f t="shared" si="91"/>
        <v>0</v>
      </c>
      <c r="AL922" s="86">
        <v>0</v>
      </c>
      <c r="AM922" s="86">
        <f t="shared" si="92"/>
        <v>41597285</v>
      </c>
      <c r="AN922" s="63" t="s">
        <v>1155</v>
      </c>
      <c r="AO922" s="86">
        <f t="shared" si="93"/>
        <v>0</v>
      </c>
      <c r="AP922" s="63" t="s">
        <v>2132</v>
      </c>
      <c r="AQ922" s="81">
        <v>43336</v>
      </c>
      <c r="AR922" s="63" t="s">
        <v>2109</v>
      </c>
      <c r="AS922" s="81">
        <v>43336</v>
      </c>
      <c r="AT922" s="76" t="s">
        <v>2618</v>
      </c>
      <c r="AU922" s="220"/>
      <c r="AV922" s="220"/>
      <c r="AW922" s="220"/>
    </row>
    <row r="923" spans="1:49" s="221" customFormat="1" ht="242.25" x14ac:dyDescent="0.25">
      <c r="A923" s="63">
        <v>509</v>
      </c>
      <c r="B923" s="63" t="str">
        <f t="shared" si="90"/>
        <v>3075-509</v>
      </c>
      <c r="C923" s="76" t="s">
        <v>1141</v>
      </c>
      <c r="D923" s="76" t="s">
        <v>1142</v>
      </c>
      <c r="E923" s="76" t="s">
        <v>1174</v>
      </c>
      <c r="F923" s="76" t="s">
        <v>1175</v>
      </c>
      <c r="G923" s="77" t="s">
        <v>1176</v>
      </c>
      <c r="H923" s="78" t="s">
        <v>1177</v>
      </c>
      <c r="I923" s="76" t="s">
        <v>1191</v>
      </c>
      <c r="J923" s="76" t="s">
        <v>1192</v>
      </c>
      <c r="K923" s="76" t="s">
        <v>439</v>
      </c>
      <c r="L923" s="63" t="s">
        <v>1149</v>
      </c>
      <c r="M923" s="63" t="s">
        <v>58</v>
      </c>
      <c r="N923" s="63" t="s">
        <v>59</v>
      </c>
      <c r="O923" s="76" t="s">
        <v>1169</v>
      </c>
      <c r="P923" s="76" t="s">
        <v>2621</v>
      </c>
      <c r="Q923" s="79">
        <v>27796850</v>
      </c>
      <c r="R923" s="63">
        <v>1</v>
      </c>
      <c r="S923" s="80">
        <f t="shared" si="97"/>
        <v>27796850</v>
      </c>
      <c r="T923" s="63"/>
      <c r="U923" s="63" t="s">
        <v>1171</v>
      </c>
      <c r="V923" s="81" t="s">
        <v>875</v>
      </c>
      <c r="W923" s="82">
        <v>1</v>
      </c>
      <c r="X923" s="90" t="s">
        <v>2622</v>
      </c>
      <c r="Y923" s="81">
        <v>43342</v>
      </c>
      <c r="Z923" s="83">
        <v>27796850</v>
      </c>
      <c r="AA923" s="84" t="s">
        <v>2604</v>
      </c>
      <c r="AB923" s="85">
        <v>1137</v>
      </c>
      <c r="AC923" s="81">
        <v>43343</v>
      </c>
      <c r="AD923" s="86">
        <v>27796850</v>
      </c>
      <c r="AE923" s="87">
        <f t="shared" si="98"/>
        <v>0</v>
      </c>
      <c r="AF923" s="85"/>
      <c r="AG923" s="81"/>
      <c r="AH923" s="86"/>
      <c r="AI923" s="63"/>
      <c r="AJ923" s="63"/>
      <c r="AK923" s="87">
        <f t="shared" si="91"/>
        <v>27796850</v>
      </c>
      <c r="AL923" s="86"/>
      <c r="AM923" s="86">
        <f t="shared" si="92"/>
        <v>0</v>
      </c>
      <c r="AN923" s="63" t="s">
        <v>1155</v>
      </c>
      <c r="AO923" s="86">
        <f t="shared" si="93"/>
        <v>27796850</v>
      </c>
      <c r="AP923" s="63" t="s">
        <v>2132</v>
      </c>
      <c r="AQ923" s="81">
        <v>43341</v>
      </c>
      <c r="AR923" s="63" t="s">
        <v>2109</v>
      </c>
      <c r="AS923" s="81">
        <v>43342</v>
      </c>
      <c r="AT923" s="63" t="s">
        <v>2621</v>
      </c>
      <c r="AU923" s="220"/>
      <c r="AV923" s="220"/>
      <c r="AW923" s="220"/>
    </row>
    <row r="924" spans="1:49" s="221" customFormat="1" ht="199.5" x14ac:dyDescent="0.25">
      <c r="A924" s="63">
        <v>510</v>
      </c>
      <c r="B924" s="63" t="str">
        <f t="shared" si="90"/>
        <v>3075-510</v>
      </c>
      <c r="C924" s="76" t="s">
        <v>1141</v>
      </c>
      <c r="D924" s="76" t="s">
        <v>1142</v>
      </c>
      <c r="E924" s="76" t="s">
        <v>1165</v>
      </c>
      <c r="F924" s="76" t="s">
        <v>1166</v>
      </c>
      <c r="G924" s="77" t="s">
        <v>1167</v>
      </c>
      <c r="H924" s="78" t="s">
        <v>1168</v>
      </c>
      <c r="I924" s="76" t="s">
        <v>1147</v>
      </c>
      <c r="J924" s="76" t="s">
        <v>1148</v>
      </c>
      <c r="K924" s="76" t="s">
        <v>439</v>
      </c>
      <c r="L924" s="63" t="s">
        <v>1149</v>
      </c>
      <c r="M924" s="63" t="s">
        <v>58</v>
      </c>
      <c r="N924" s="63" t="s">
        <v>59</v>
      </c>
      <c r="O924" s="76" t="s">
        <v>1169</v>
      </c>
      <c r="P924" s="63" t="s">
        <v>2623</v>
      </c>
      <c r="Q924" s="79">
        <v>23177496</v>
      </c>
      <c r="R924" s="63">
        <v>1</v>
      </c>
      <c r="S924" s="80">
        <f t="shared" si="97"/>
        <v>23177496</v>
      </c>
      <c r="T924" s="63"/>
      <c r="U924" s="63" t="s">
        <v>1171</v>
      </c>
      <c r="V924" s="81" t="s">
        <v>875</v>
      </c>
      <c r="W924" s="82">
        <v>1</v>
      </c>
      <c r="X924" s="90" t="s">
        <v>2624</v>
      </c>
      <c r="Y924" s="89">
        <v>43342</v>
      </c>
      <c r="Z924" s="83">
        <v>23177496</v>
      </c>
      <c r="AA924" s="84" t="s">
        <v>2542</v>
      </c>
      <c r="AB924" s="85">
        <v>1136</v>
      </c>
      <c r="AC924" s="81">
        <v>43343</v>
      </c>
      <c r="AD924" s="86">
        <v>23177496</v>
      </c>
      <c r="AE924" s="87">
        <f t="shared" si="98"/>
        <v>0</v>
      </c>
      <c r="AF924" s="85"/>
      <c r="AG924" s="81"/>
      <c r="AH924" s="86"/>
      <c r="AI924" s="63"/>
      <c r="AJ924" s="63"/>
      <c r="AK924" s="87">
        <f t="shared" si="91"/>
        <v>23177496</v>
      </c>
      <c r="AL924" s="86"/>
      <c r="AM924" s="86">
        <f t="shared" si="92"/>
        <v>0</v>
      </c>
      <c r="AN924" s="63" t="s">
        <v>1155</v>
      </c>
      <c r="AO924" s="86">
        <f t="shared" si="93"/>
        <v>23177496</v>
      </c>
      <c r="AP924" s="63" t="s">
        <v>2132</v>
      </c>
      <c r="AQ924" s="81">
        <v>43341</v>
      </c>
      <c r="AR924" s="63" t="s">
        <v>2109</v>
      </c>
      <c r="AS924" s="81">
        <v>43342</v>
      </c>
      <c r="AT924" s="63" t="s">
        <v>2623</v>
      </c>
      <c r="AU924" s="220"/>
      <c r="AV924" s="220"/>
      <c r="AW924" s="220"/>
    </row>
    <row r="925" spans="1:49" s="221" customFormat="1" ht="327.75" x14ac:dyDescent="0.25">
      <c r="A925" s="63">
        <v>511</v>
      </c>
      <c r="B925" s="63" t="str">
        <f t="shared" si="90"/>
        <v>3075-511</v>
      </c>
      <c r="C925" s="76" t="s">
        <v>1141</v>
      </c>
      <c r="D925" s="76" t="s">
        <v>1142</v>
      </c>
      <c r="E925" s="76" t="s">
        <v>1143</v>
      </c>
      <c r="F925" s="76" t="s">
        <v>1158</v>
      </c>
      <c r="G925" s="77" t="s">
        <v>1159</v>
      </c>
      <c r="H925" s="78" t="s">
        <v>1160</v>
      </c>
      <c r="I925" s="76" t="s">
        <v>1147</v>
      </c>
      <c r="J925" s="76" t="s">
        <v>1148</v>
      </c>
      <c r="K925" s="76">
        <v>93151501</v>
      </c>
      <c r="L925" s="63" t="s">
        <v>1149</v>
      </c>
      <c r="M925" s="63" t="s">
        <v>58</v>
      </c>
      <c r="N925" s="63" t="s">
        <v>59</v>
      </c>
      <c r="O925" s="76" t="s">
        <v>1213</v>
      </c>
      <c r="P925" s="76" t="s">
        <v>2583</v>
      </c>
      <c r="Q925" s="83">
        <v>4120000</v>
      </c>
      <c r="R925" s="63">
        <v>1</v>
      </c>
      <c r="S925" s="80">
        <v>15106667</v>
      </c>
      <c r="T925" s="63" t="s">
        <v>888</v>
      </c>
      <c r="U925" s="63" t="s">
        <v>1163</v>
      </c>
      <c r="V925" s="81" t="s">
        <v>875</v>
      </c>
      <c r="W925" s="82" t="s">
        <v>2625</v>
      </c>
      <c r="X925" s="63" t="s">
        <v>2626</v>
      </c>
      <c r="Y925" s="81">
        <v>43342</v>
      </c>
      <c r="Z925" s="83">
        <v>15106667</v>
      </c>
      <c r="AA925" s="84" t="s">
        <v>2627</v>
      </c>
      <c r="AB925" s="85">
        <v>1133</v>
      </c>
      <c r="AC925" s="81">
        <v>43343</v>
      </c>
      <c r="AD925" s="86">
        <v>15106667</v>
      </c>
      <c r="AE925" s="87">
        <f t="shared" si="98"/>
        <v>0</v>
      </c>
      <c r="AF925" s="85">
        <v>2859</v>
      </c>
      <c r="AG925" s="81">
        <v>43356</v>
      </c>
      <c r="AH925" s="86">
        <v>15106667</v>
      </c>
      <c r="AI925" s="63" t="s">
        <v>1670</v>
      </c>
      <c r="AJ925" s="63">
        <v>576</v>
      </c>
      <c r="AK925" s="87">
        <f t="shared" si="91"/>
        <v>0</v>
      </c>
      <c r="AL925" s="86">
        <v>0</v>
      </c>
      <c r="AM925" s="86">
        <f t="shared" si="92"/>
        <v>15106667</v>
      </c>
      <c r="AN925" s="63" t="s">
        <v>1155</v>
      </c>
      <c r="AO925" s="86">
        <f t="shared" si="93"/>
        <v>0</v>
      </c>
      <c r="AP925" s="63"/>
      <c r="AQ925" s="81">
        <v>43341</v>
      </c>
      <c r="AR925" s="63" t="s">
        <v>2109</v>
      </c>
      <c r="AS925" s="81">
        <v>43342</v>
      </c>
      <c r="AT925" s="63" t="s">
        <v>1453</v>
      </c>
      <c r="AU925" s="220"/>
      <c r="AV925" s="220"/>
      <c r="AW925" s="220"/>
    </row>
    <row r="926" spans="1:49" s="221" customFormat="1" ht="299.25" x14ac:dyDescent="0.25">
      <c r="A926" s="63">
        <v>512</v>
      </c>
      <c r="B926" s="63" t="str">
        <f t="shared" si="90"/>
        <v>3075-512</v>
      </c>
      <c r="C926" s="76" t="s">
        <v>1141</v>
      </c>
      <c r="D926" s="76" t="s">
        <v>1142</v>
      </c>
      <c r="E926" s="76" t="s">
        <v>1143</v>
      </c>
      <c r="F926" s="76" t="s">
        <v>1158</v>
      </c>
      <c r="G926" s="77" t="s">
        <v>1159</v>
      </c>
      <c r="H926" s="78" t="s">
        <v>1160</v>
      </c>
      <c r="I926" s="76" t="s">
        <v>1147</v>
      </c>
      <c r="J926" s="76" t="s">
        <v>1148</v>
      </c>
      <c r="K926" s="76">
        <v>80111600</v>
      </c>
      <c r="L926" s="63" t="s">
        <v>1149</v>
      </c>
      <c r="M926" s="63" t="s">
        <v>58</v>
      </c>
      <c r="N926" s="63" t="s">
        <v>59</v>
      </c>
      <c r="O926" s="76" t="s">
        <v>1213</v>
      </c>
      <c r="P926" s="76" t="s">
        <v>2628</v>
      </c>
      <c r="Q926" s="83">
        <v>5036700</v>
      </c>
      <c r="R926" s="63">
        <v>1</v>
      </c>
      <c r="S926" s="80">
        <v>18467900</v>
      </c>
      <c r="T926" s="63" t="s">
        <v>888</v>
      </c>
      <c r="U926" s="63" t="s">
        <v>1163</v>
      </c>
      <c r="V926" s="81" t="s">
        <v>875</v>
      </c>
      <c r="W926" s="82" t="s">
        <v>2625</v>
      </c>
      <c r="X926" s="63" t="s">
        <v>2629</v>
      </c>
      <c r="Y926" s="81">
        <v>43342</v>
      </c>
      <c r="Z926" s="83">
        <v>18467900</v>
      </c>
      <c r="AA926" s="84" t="s">
        <v>2627</v>
      </c>
      <c r="AB926" s="85">
        <v>1135</v>
      </c>
      <c r="AC926" s="81">
        <v>43343</v>
      </c>
      <c r="AD926" s="86">
        <v>18467900</v>
      </c>
      <c r="AE926" s="87">
        <f t="shared" si="98"/>
        <v>0</v>
      </c>
      <c r="AF926" s="85">
        <v>2867</v>
      </c>
      <c r="AG926" s="81">
        <v>43357</v>
      </c>
      <c r="AH926" s="86">
        <v>18467900</v>
      </c>
      <c r="AI926" s="63" t="s">
        <v>1704</v>
      </c>
      <c r="AJ926" s="63">
        <v>579</v>
      </c>
      <c r="AK926" s="87">
        <f t="shared" si="91"/>
        <v>0</v>
      </c>
      <c r="AL926" s="86">
        <v>0</v>
      </c>
      <c r="AM926" s="86">
        <f t="shared" si="92"/>
        <v>18467900</v>
      </c>
      <c r="AN926" s="63" t="s">
        <v>1155</v>
      </c>
      <c r="AO926" s="86">
        <f t="shared" si="93"/>
        <v>0</v>
      </c>
      <c r="AP926" s="63"/>
      <c r="AQ926" s="81">
        <v>43341</v>
      </c>
      <c r="AR926" s="63" t="s">
        <v>2109</v>
      </c>
      <c r="AS926" s="81">
        <v>43342</v>
      </c>
      <c r="AT926" s="63" t="s">
        <v>1453</v>
      </c>
      <c r="AU926" s="220"/>
      <c r="AV926" s="220"/>
      <c r="AW926" s="220"/>
    </row>
    <row r="927" spans="1:49" s="221" customFormat="1" ht="299.25" x14ac:dyDescent="0.25">
      <c r="A927" s="63">
        <v>513</v>
      </c>
      <c r="B927" s="63" t="str">
        <f t="shared" ref="B927:B990" si="99">CONCATENATE("3075","-",A927)</f>
        <v>3075-513</v>
      </c>
      <c r="C927" s="76" t="s">
        <v>1141</v>
      </c>
      <c r="D927" s="76" t="s">
        <v>1142</v>
      </c>
      <c r="E927" s="76" t="s">
        <v>1143</v>
      </c>
      <c r="F927" s="76" t="s">
        <v>1158</v>
      </c>
      <c r="G927" s="77" t="s">
        <v>1159</v>
      </c>
      <c r="H927" s="78" t="s">
        <v>1160</v>
      </c>
      <c r="I927" s="76" t="s">
        <v>1147</v>
      </c>
      <c r="J927" s="76" t="s">
        <v>1148</v>
      </c>
      <c r="K927" s="76">
        <v>80111600</v>
      </c>
      <c r="L927" s="63" t="s">
        <v>1149</v>
      </c>
      <c r="M927" s="63" t="s">
        <v>58</v>
      </c>
      <c r="N927" s="63" t="s">
        <v>59</v>
      </c>
      <c r="O927" s="76" t="s">
        <v>1213</v>
      </c>
      <c r="P927" s="76" t="s">
        <v>1354</v>
      </c>
      <c r="Q927" s="83">
        <v>3326900</v>
      </c>
      <c r="R927" s="63">
        <v>1</v>
      </c>
      <c r="S927" s="80">
        <v>12198633</v>
      </c>
      <c r="T927" s="63" t="s">
        <v>928</v>
      </c>
      <c r="U927" s="63" t="s">
        <v>1163</v>
      </c>
      <c r="V927" s="81" t="s">
        <v>875</v>
      </c>
      <c r="W927" s="82" t="s">
        <v>2625</v>
      </c>
      <c r="X927" s="63" t="s">
        <v>2630</v>
      </c>
      <c r="Y927" s="81">
        <v>43342</v>
      </c>
      <c r="Z927" s="83">
        <v>12198633</v>
      </c>
      <c r="AA927" s="84" t="s">
        <v>2627</v>
      </c>
      <c r="AB927" s="85">
        <v>1131</v>
      </c>
      <c r="AC927" s="81">
        <v>43343</v>
      </c>
      <c r="AD927" s="86">
        <v>12198633</v>
      </c>
      <c r="AE927" s="87">
        <f t="shared" si="98"/>
        <v>0</v>
      </c>
      <c r="AF927" s="85">
        <v>2861</v>
      </c>
      <c r="AG927" s="81">
        <v>43356</v>
      </c>
      <c r="AH927" s="86">
        <v>12198633</v>
      </c>
      <c r="AI927" s="63" t="s">
        <v>1356</v>
      </c>
      <c r="AJ927" s="63">
        <v>578</v>
      </c>
      <c r="AK927" s="87">
        <f t="shared" ref="AK927:AK939" si="100">AD927-AH927</f>
        <v>0</v>
      </c>
      <c r="AL927" s="86">
        <v>0</v>
      </c>
      <c r="AM927" s="86">
        <f t="shared" ref="AM927:AM990" si="101">AH927-AL927</f>
        <v>12198633</v>
      </c>
      <c r="AN927" s="63" t="s">
        <v>1155</v>
      </c>
      <c r="AO927" s="86">
        <f t="shared" ref="AO927:AO990" si="102">S927-AH927</f>
        <v>0</v>
      </c>
      <c r="AP927" s="63"/>
      <c r="AQ927" s="81">
        <v>43341</v>
      </c>
      <c r="AR927" s="63" t="s">
        <v>2109</v>
      </c>
      <c r="AS927" s="81">
        <v>43342</v>
      </c>
      <c r="AT927" s="63" t="s">
        <v>1453</v>
      </c>
      <c r="AU927" s="220"/>
      <c r="AV927" s="220"/>
      <c r="AW927" s="220"/>
    </row>
    <row r="928" spans="1:49" s="221" customFormat="1" ht="299.25" x14ac:dyDescent="0.25">
      <c r="A928" s="63">
        <v>514</v>
      </c>
      <c r="B928" s="63" t="str">
        <f t="shared" si="99"/>
        <v>3075-514</v>
      </c>
      <c r="C928" s="76" t="s">
        <v>1141</v>
      </c>
      <c r="D928" s="76" t="s">
        <v>1142</v>
      </c>
      <c r="E928" s="76" t="s">
        <v>1143</v>
      </c>
      <c r="F928" s="76" t="s">
        <v>1158</v>
      </c>
      <c r="G928" s="77" t="s">
        <v>1159</v>
      </c>
      <c r="H928" s="78" t="s">
        <v>1160</v>
      </c>
      <c r="I928" s="76" t="s">
        <v>1147</v>
      </c>
      <c r="J928" s="76" t="s">
        <v>1148</v>
      </c>
      <c r="K928" s="76">
        <v>80111600</v>
      </c>
      <c r="L928" s="63" t="s">
        <v>1149</v>
      </c>
      <c r="M928" s="63" t="s">
        <v>58</v>
      </c>
      <c r="N928" s="63" t="s">
        <v>59</v>
      </c>
      <c r="O928" s="76" t="s">
        <v>1213</v>
      </c>
      <c r="P928" s="76" t="s">
        <v>1637</v>
      </c>
      <c r="Q928" s="83">
        <v>5253000</v>
      </c>
      <c r="R928" s="63">
        <v>1</v>
      </c>
      <c r="S928" s="80">
        <v>19261000</v>
      </c>
      <c r="T928" s="63" t="s">
        <v>888</v>
      </c>
      <c r="U928" s="63" t="s">
        <v>1163</v>
      </c>
      <c r="V928" s="81" t="s">
        <v>875</v>
      </c>
      <c r="W928" s="82" t="s">
        <v>2625</v>
      </c>
      <c r="X928" s="63" t="s">
        <v>2631</v>
      </c>
      <c r="Y928" s="81">
        <v>43342</v>
      </c>
      <c r="Z928" s="83">
        <v>19261000</v>
      </c>
      <c r="AA928" s="84" t="s">
        <v>2627</v>
      </c>
      <c r="AB928" s="85">
        <v>1132</v>
      </c>
      <c r="AC928" s="81">
        <v>43343</v>
      </c>
      <c r="AD928" s="86">
        <v>19261000</v>
      </c>
      <c r="AE928" s="87">
        <f t="shared" si="98"/>
        <v>0</v>
      </c>
      <c r="AF928" s="85">
        <v>2842</v>
      </c>
      <c r="AG928" s="81">
        <v>43354</v>
      </c>
      <c r="AH928" s="86">
        <v>19261000</v>
      </c>
      <c r="AI928" s="63" t="s">
        <v>1358</v>
      </c>
      <c r="AJ928" s="63">
        <v>573</v>
      </c>
      <c r="AK928" s="87">
        <f t="shared" si="100"/>
        <v>0</v>
      </c>
      <c r="AL928" s="86">
        <v>0</v>
      </c>
      <c r="AM928" s="86">
        <f t="shared" si="101"/>
        <v>19261000</v>
      </c>
      <c r="AN928" s="63" t="s">
        <v>1155</v>
      </c>
      <c r="AO928" s="86">
        <f t="shared" si="102"/>
        <v>0</v>
      </c>
      <c r="AP928" s="63"/>
      <c r="AQ928" s="81">
        <v>43341</v>
      </c>
      <c r="AR928" s="63" t="s">
        <v>2109</v>
      </c>
      <c r="AS928" s="81">
        <v>43342</v>
      </c>
      <c r="AT928" s="63" t="s">
        <v>1453</v>
      </c>
      <c r="AU928" s="220"/>
      <c r="AV928" s="220"/>
      <c r="AW928" s="220"/>
    </row>
    <row r="929" spans="1:49" s="221" customFormat="1" ht="299.25" x14ac:dyDescent="0.25">
      <c r="A929" s="63">
        <v>515</v>
      </c>
      <c r="B929" s="63" t="str">
        <f t="shared" si="99"/>
        <v>3075-515</v>
      </c>
      <c r="C929" s="76" t="s">
        <v>1141</v>
      </c>
      <c r="D929" s="76" t="s">
        <v>1142</v>
      </c>
      <c r="E929" s="76" t="s">
        <v>1143</v>
      </c>
      <c r="F929" s="76" t="s">
        <v>1158</v>
      </c>
      <c r="G929" s="77" t="s">
        <v>1159</v>
      </c>
      <c r="H929" s="78" t="s">
        <v>1160</v>
      </c>
      <c r="I929" s="76" t="s">
        <v>1147</v>
      </c>
      <c r="J929" s="76" t="s">
        <v>1148</v>
      </c>
      <c r="K929" s="76">
        <v>80111600</v>
      </c>
      <c r="L929" s="63" t="s">
        <v>1149</v>
      </c>
      <c r="M929" s="63" t="s">
        <v>58</v>
      </c>
      <c r="N929" s="63" t="s">
        <v>59</v>
      </c>
      <c r="O929" s="76" t="s">
        <v>1213</v>
      </c>
      <c r="P929" s="76" t="s">
        <v>2632</v>
      </c>
      <c r="Q929" s="83">
        <v>5253000</v>
      </c>
      <c r="R929" s="63">
        <v>1</v>
      </c>
      <c r="S929" s="80">
        <v>19261000</v>
      </c>
      <c r="T929" s="63" t="s">
        <v>888</v>
      </c>
      <c r="U929" s="63" t="s">
        <v>1163</v>
      </c>
      <c r="V929" s="81" t="s">
        <v>875</v>
      </c>
      <c r="W929" s="82" t="s">
        <v>2625</v>
      </c>
      <c r="X929" s="63" t="s">
        <v>2633</v>
      </c>
      <c r="Y929" s="81">
        <v>43342</v>
      </c>
      <c r="Z929" s="83">
        <v>19261000</v>
      </c>
      <c r="AA929" s="84" t="s">
        <v>2627</v>
      </c>
      <c r="AB929" s="85">
        <v>1139</v>
      </c>
      <c r="AC929" s="81">
        <v>43343</v>
      </c>
      <c r="AD929" s="86">
        <v>19261000</v>
      </c>
      <c r="AE929" s="87">
        <f t="shared" si="98"/>
        <v>0</v>
      </c>
      <c r="AF929" s="85">
        <v>2854</v>
      </c>
      <c r="AG929" s="81">
        <v>43355</v>
      </c>
      <c r="AH929" s="86">
        <v>19261000</v>
      </c>
      <c r="AI929" s="63" t="s">
        <v>1396</v>
      </c>
      <c r="AJ929" s="63">
        <v>569</v>
      </c>
      <c r="AK929" s="87">
        <f t="shared" si="100"/>
        <v>0</v>
      </c>
      <c r="AL929" s="86">
        <v>0</v>
      </c>
      <c r="AM929" s="86">
        <f t="shared" si="101"/>
        <v>19261000</v>
      </c>
      <c r="AN929" s="63" t="s">
        <v>1155</v>
      </c>
      <c r="AO929" s="86">
        <f t="shared" si="102"/>
        <v>0</v>
      </c>
      <c r="AP929" s="63"/>
      <c r="AQ929" s="81">
        <v>43341</v>
      </c>
      <c r="AR929" s="63" t="s">
        <v>2109</v>
      </c>
      <c r="AS929" s="81">
        <v>43342</v>
      </c>
      <c r="AT929" s="63" t="s">
        <v>1453</v>
      </c>
      <c r="AU929" s="220"/>
      <c r="AV929" s="220"/>
      <c r="AW929" s="220"/>
    </row>
    <row r="930" spans="1:49" s="221" customFormat="1" ht="299.25" x14ac:dyDescent="0.25">
      <c r="A930" s="63">
        <v>516</v>
      </c>
      <c r="B930" s="63" t="str">
        <f t="shared" si="99"/>
        <v>3075-516</v>
      </c>
      <c r="C930" s="76" t="s">
        <v>1141</v>
      </c>
      <c r="D930" s="76" t="s">
        <v>1142</v>
      </c>
      <c r="E930" s="76" t="s">
        <v>1143</v>
      </c>
      <c r="F930" s="76" t="s">
        <v>1158</v>
      </c>
      <c r="G930" s="77" t="s">
        <v>1159</v>
      </c>
      <c r="H930" s="78" t="s">
        <v>1160</v>
      </c>
      <c r="I930" s="76" t="s">
        <v>1147</v>
      </c>
      <c r="J930" s="76" t="s">
        <v>1148</v>
      </c>
      <c r="K930" s="76">
        <v>93141506</v>
      </c>
      <c r="L930" s="63" t="s">
        <v>1149</v>
      </c>
      <c r="M930" s="63" t="s">
        <v>58</v>
      </c>
      <c r="N930" s="63" t="s">
        <v>59</v>
      </c>
      <c r="O930" s="76" t="s">
        <v>1213</v>
      </c>
      <c r="P930" s="76" t="s">
        <v>1287</v>
      </c>
      <c r="Q930" s="83">
        <v>5253000</v>
      </c>
      <c r="R930" s="63">
        <v>1</v>
      </c>
      <c r="S930" s="80">
        <v>19261000</v>
      </c>
      <c r="T930" s="63" t="s">
        <v>888</v>
      </c>
      <c r="U930" s="63" t="s">
        <v>1163</v>
      </c>
      <c r="V930" s="81" t="s">
        <v>875</v>
      </c>
      <c r="W930" s="82" t="s">
        <v>2625</v>
      </c>
      <c r="X930" s="63" t="s">
        <v>2634</v>
      </c>
      <c r="Y930" s="81">
        <v>43342</v>
      </c>
      <c r="Z930" s="83">
        <v>19261000</v>
      </c>
      <c r="AA930" s="84" t="s">
        <v>2627</v>
      </c>
      <c r="AB930" s="85">
        <v>1129</v>
      </c>
      <c r="AC930" s="81">
        <v>43343</v>
      </c>
      <c r="AD930" s="86">
        <v>19261000</v>
      </c>
      <c r="AE930" s="87">
        <f t="shared" si="98"/>
        <v>0</v>
      </c>
      <c r="AF930" s="85">
        <v>2865</v>
      </c>
      <c r="AG930" s="81">
        <v>43357</v>
      </c>
      <c r="AH930" s="86">
        <v>19261000</v>
      </c>
      <c r="AI930" s="63" t="s">
        <v>2244</v>
      </c>
      <c r="AJ930" s="63">
        <v>575</v>
      </c>
      <c r="AK930" s="87">
        <f t="shared" si="100"/>
        <v>0</v>
      </c>
      <c r="AL930" s="86">
        <v>0</v>
      </c>
      <c r="AM930" s="86">
        <f t="shared" si="101"/>
        <v>19261000</v>
      </c>
      <c r="AN930" s="63" t="s">
        <v>1155</v>
      </c>
      <c r="AO930" s="86">
        <f t="shared" si="102"/>
        <v>0</v>
      </c>
      <c r="AP930" s="63"/>
      <c r="AQ930" s="81">
        <v>43341</v>
      </c>
      <c r="AR930" s="63" t="s">
        <v>2109</v>
      </c>
      <c r="AS930" s="81">
        <v>43342</v>
      </c>
      <c r="AT930" s="63" t="s">
        <v>1453</v>
      </c>
      <c r="AU930" s="220"/>
      <c r="AV930" s="220"/>
      <c r="AW930" s="220"/>
    </row>
    <row r="931" spans="1:49" s="221" customFormat="1" ht="299.25" x14ac:dyDescent="0.25">
      <c r="A931" s="63">
        <v>517</v>
      </c>
      <c r="B931" s="63" t="str">
        <f t="shared" si="99"/>
        <v>3075-517</v>
      </c>
      <c r="C931" s="76" t="s">
        <v>1141</v>
      </c>
      <c r="D931" s="76" t="s">
        <v>1142</v>
      </c>
      <c r="E931" s="76" t="s">
        <v>1143</v>
      </c>
      <c r="F931" s="76" t="s">
        <v>1158</v>
      </c>
      <c r="G931" s="77" t="s">
        <v>1159</v>
      </c>
      <c r="H931" s="78" t="s">
        <v>1160</v>
      </c>
      <c r="I931" s="76" t="s">
        <v>1147</v>
      </c>
      <c r="J931" s="76" t="s">
        <v>1148</v>
      </c>
      <c r="K931" s="76">
        <v>80111600</v>
      </c>
      <c r="L931" s="63" t="s">
        <v>1149</v>
      </c>
      <c r="M931" s="63" t="s">
        <v>58</v>
      </c>
      <c r="N931" s="63" t="s">
        <v>59</v>
      </c>
      <c r="O931" s="76" t="s">
        <v>1213</v>
      </c>
      <c r="P931" s="76" t="s">
        <v>1219</v>
      </c>
      <c r="Q931" s="83">
        <v>1545000</v>
      </c>
      <c r="R931" s="63">
        <v>1</v>
      </c>
      <c r="S931" s="80">
        <v>5665000</v>
      </c>
      <c r="T931" s="63" t="s">
        <v>928</v>
      </c>
      <c r="U931" s="63" t="s">
        <v>1163</v>
      </c>
      <c r="V931" s="81" t="s">
        <v>875</v>
      </c>
      <c r="W931" s="82" t="s">
        <v>2625</v>
      </c>
      <c r="X931" s="63" t="s">
        <v>2635</v>
      </c>
      <c r="Y931" s="81">
        <v>43342</v>
      </c>
      <c r="Z931" s="83">
        <v>5665000</v>
      </c>
      <c r="AA931" s="84" t="s">
        <v>2627</v>
      </c>
      <c r="AB931" s="85">
        <v>1134</v>
      </c>
      <c r="AC931" s="81">
        <v>43343</v>
      </c>
      <c r="AD931" s="86">
        <v>5665000</v>
      </c>
      <c r="AE931" s="87">
        <f t="shared" si="98"/>
        <v>0</v>
      </c>
      <c r="AF931" s="85">
        <v>2836</v>
      </c>
      <c r="AG931" s="81">
        <v>43353</v>
      </c>
      <c r="AH931" s="86">
        <v>5665000</v>
      </c>
      <c r="AI931" s="63" t="s">
        <v>1545</v>
      </c>
      <c r="AJ931" s="63">
        <v>574</v>
      </c>
      <c r="AK931" s="87">
        <f t="shared" si="100"/>
        <v>0</v>
      </c>
      <c r="AL931" s="86">
        <v>0</v>
      </c>
      <c r="AM931" s="86">
        <f t="shared" si="101"/>
        <v>5665000</v>
      </c>
      <c r="AN931" s="63" t="s">
        <v>1155</v>
      </c>
      <c r="AO931" s="86">
        <f t="shared" si="102"/>
        <v>0</v>
      </c>
      <c r="AP931" s="63"/>
      <c r="AQ931" s="81">
        <v>43341</v>
      </c>
      <c r="AR931" s="63" t="s">
        <v>2109</v>
      </c>
      <c r="AS931" s="81">
        <v>43342</v>
      </c>
      <c r="AT931" s="63" t="s">
        <v>1453</v>
      </c>
      <c r="AU931" s="220"/>
      <c r="AV931" s="220"/>
      <c r="AW931" s="220"/>
    </row>
    <row r="932" spans="1:49" s="221" customFormat="1" ht="299.25" x14ac:dyDescent="0.25">
      <c r="A932" s="63">
        <v>518</v>
      </c>
      <c r="B932" s="63" t="str">
        <f t="shared" si="99"/>
        <v>3075-518</v>
      </c>
      <c r="C932" s="76" t="s">
        <v>1141</v>
      </c>
      <c r="D932" s="76" t="s">
        <v>1142</v>
      </c>
      <c r="E932" s="76" t="s">
        <v>1143</v>
      </c>
      <c r="F932" s="76" t="s">
        <v>1158</v>
      </c>
      <c r="G932" s="77" t="s">
        <v>1159</v>
      </c>
      <c r="H932" s="78" t="s">
        <v>1160</v>
      </c>
      <c r="I932" s="76" t="s">
        <v>1147</v>
      </c>
      <c r="J932" s="76" t="s">
        <v>1148</v>
      </c>
      <c r="K932" s="76">
        <v>80111600</v>
      </c>
      <c r="L932" s="63" t="s">
        <v>1149</v>
      </c>
      <c r="M932" s="63" t="s">
        <v>58</v>
      </c>
      <c r="N932" s="63" t="s">
        <v>59</v>
      </c>
      <c r="O932" s="76" t="s">
        <v>1213</v>
      </c>
      <c r="P932" s="76" t="s">
        <v>2636</v>
      </c>
      <c r="Q932" s="83">
        <v>3326900</v>
      </c>
      <c r="R932" s="63">
        <v>1</v>
      </c>
      <c r="S932" s="80">
        <v>12198633</v>
      </c>
      <c r="T932" s="63" t="s">
        <v>928</v>
      </c>
      <c r="U932" s="63" t="s">
        <v>1163</v>
      </c>
      <c r="V932" s="81" t="s">
        <v>875</v>
      </c>
      <c r="W932" s="82" t="s">
        <v>2625</v>
      </c>
      <c r="X932" s="63" t="s">
        <v>2637</v>
      </c>
      <c r="Y932" s="81">
        <v>43342</v>
      </c>
      <c r="Z932" s="83">
        <v>12198633</v>
      </c>
      <c r="AA932" s="84" t="s">
        <v>2627</v>
      </c>
      <c r="AB932" s="85">
        <v>1138</v>
      </c>
      <c r="AC932" s="81">
        <v>43343</v>
      </c>
      <c r="AD932" s="86">
        <v>12198633</v>
      </c>
      <c r="AE932" s="87">
        <f t="shared" si="98"/>
        <v>0</v>
      </c>
      <c r="AF932" s="85">
        <v>2860</v>
      </c>
      <c r="AG932" s="81">
        <v>43356</v>
      </c>
      <c r="AH932" s="86">
        <v>12198633</v>
      </c>
      <c r="AI932" s="63" t="s">
        <v>2638</v>
      </c>
      <c r="AJ932" s="63">
        <v>567</v>
      </c>
      <c r="AK932" s="87">
        <f t="shared" si="100"/>
        <v>0</v>
      </c>
      <c r="AL932" s="86">
        <v>0</v>
      </c>
      <c r="AM932" s="86">
        <f t="shared" si="101"/>
        <v>12198633</v>
      </c>
      <c r="AN932" s="63" t="s">
        <v>1155</v>
      </c>
      <c r="AO932" s="86">
        <f t="shared" si="102"/>
        <v>0</v>
      </c>
      <c r="AP932" s="63"/>
      <c r="AQ932" s="81">
        <v>43341</v>
      </c>
      <c r="AR932" s="63" t="s">
        <v>2109</v>
      </c>
      <c r="AS932" s="81">
        <v>43342</v>
      </c>
      <c r="AT932" s="63" t="s">
        <v>1453</v>
      </c>
      <c r="AU932" s="220"/>
      <c r="AV932" s="220"/>
      <c r="AW932" s="220"/>
    </row>
    <row r="933" spans="1:49" s="221" customFormat="1" ht="299.25" x14ac:dyDescent="0.25">
      <c r="A933" s="63">
        <v>519</v>
      </c>
      <c r="B933" s="63" t="str">
        <f t="shared" si="99"/>
        <v>3075-519</v>
      </c>
      <c r="C933" s="76" t="s">
        <v>1141</v>
      </c>
      <c r="D933" s="76" t="s">
        <v>1142</v>
      </c>
      <c r="E933" s="76" t="s">
        <v>1143</v>
      </c>
      <c r="F933" s="76" t="s">
        <v>1158</v>
      </c>
      <c r="G933" s="77" t="s">
        <v>1159</v>
      </c>
      <c r="H933" s="78" t="s">
        <v>1160</v>
      </c>
      <c r="I933" s="76" t="s">
        <v>1147</v>
      </c>
      <c r="J933" s="76" t="s">
        <v>1148</v>
      </c>
      <c r="K933" s="76">
        <v>93141506</v>
      </c>
      <c r="L933" s="63" t="s">
        <v>1149</v>
      </c>
      <c r="M933" s="63" t="s">
        <v>58</v>
      </c>
      <c r="N933" s="63" t="s">
        <v>59</v>
      </c>
      <c r="O933" s="76" t="s">
        <v>1213</v>
      </c>
      <c r="P933" s="76" t="s">
        <v>2639</v>
      </c>
      <c r="Q933" s="83">
        <v>8240000</v>
      </c>
      <c r="R933" s="63">
        <v>1</v>
      </c>
      <c r="S933" s="80">
        <v>30213333</v>
      </c>
      <c r="T933" s="63" t="s">
        <v>888</v>
      </c>
      <c r="U933" s="63" t="s">
        <v>1163</v>
      </c>
      <c r="V933" s="81" t="s">
        <v>875</v>
      </c>
      <c r="W933" s="82" t="s">
        <v>2625</v>
      </c>
      <c r="X933" s="63" t="s">
        <v>2640</v>
      </c>
      <c r="Y933" s="81">
        <v>43342</v>
      </c>
      <c r="Z933" s="83">
        <v>30213333</v>
      </c>
      <c r="AA933" s="84" t="s">
        <v>2627</v>
      </c>
      <c r="AB933" s="85">
        <v>1128</v>
      </c>
      <c r="AC933" s="81">
        <v>43343</v>
      </c>
      <c r="AD933" s="86">
        <v>30213333</v>
      </c>
      <c r="AE933" s="87">
        <f t="shared" si="98"/>
        <v>0</v>
      </c>
      <c r="AF933" s="85">
        <v>2792</v>
      </c>
      <c r="AG933" s="81">
        <v>43347</v>
      </c>
      <c r="AH933" s="86">
        <v>30213333</v>
      </c>
      <c r="AI933" s="63" t="s">
        <v>2641</v>
      </c>
      <c r="AJ933" s="63">
        <v>555</v>
      </c>
      <c r="AK933" s="87">
        <f t="shared" si="100"/>
        <v>0</v>
      </c>
      <c r="AL933" s="86">
        <v>0</v>
      </c>
      <c r="AM933" s="86">
        <f t="shared" si="101"/>
        <v>30213333</v>
      </c>
      <c r="AN933" s="63" t="s">
        <v>1155</v>
      </c>
      <c r="AO933" s="86">
        <f t="shared" si="102"/>
        <v>0</v>
      </c>
      <c r="AP933" s="63"/>
      <c r="AQ933" s="81">
        <v>43341</v>
      </c>
      <c r="AR933" s="63" t="s">
        <v>2109</v>
      </c>
      <c r="AS933" s="81">
        <v>43342</v>
      </c>
      <c r="AT933" s="63" t="s">
        <v>1453</v>
      </c>
      <c r="AU933" s="220"/>
      <c r="AV933" s="220"/>
      <c r="AW933" s="220"/>
    </row>
    <row r="934" spans="1:49" s="221" customFormat="1" ht="299.25" x14ac:dyDescent="0.25">
      <c r="A934" s="63">
        <v>520</v>
      </c>
      <c r="B934" s="63" t="str">
        <f t="shared" si="99"/>
        <v>3075-520</v>
      </c>
      <c r="C934" s="76" t="s">
        <v>1141</v>
      </c>
      <c r="D934" s="76" t="s">
        <v>1142</v>
      </c>
      <c r="E934" s="76" t="s">
        <v>1143</v>
      </c>
      <c r="F934" s="76" t="s">
        <v>1158</v>
      </c>
      <c r="G934" s="77" t="s">
        <v>1159</v>
      </c>
      <c r="H934" s="78" t="s">
        <v>1160</v>
      </c>
      <c r="I934" s="76" t="s">
        <v>1147</v>
      </c>
      <c r="J934" s="76" t="s">
        <v>1148</v>
      </c>
      <c r="K934" s="76">
        <v>93141506</v>
      </c>
      <c r="L934" s="63" t="s">
        <v>1149</v>
      </c>
      <c r="M934" s="63" t="s">
        <v>58</v>
      </c>
      <c r="N934" s="63" t="s">
        <v>59</v>
      </c>
      <c r="O934" s="76" t="s">
        <v>1213</v>
      </c>
      <c r="P934" s="76" t="s">
        <v>1287</v>
      </c>
      <c r="Q934" s="83">
        <v>5036700</v>
      </c>
      <c r="R934" s="63">
        <v>1</v>
      </c>
      <c r="S934" s="80">
        <v>18467900</v>
      </c>
      <c r="T934" s="63" t="s">
        <v>888</v>
      </c>
      <c r="U934" s="63" t="s">
        <v>1163</v>
      </c>
      <c r="V934" s="81" t="s">
        <v>875</v>
      </c>
      <c r="W934" s="82" t="s">
        <v>2625</v>
      </c>
      <c r="X934" s="63" t="s">
        <v>2642</v>
      </c>
      <c r="Y934" s="81">
        <v>43342</v>
      </c>
      <c r="Z934" s="83">
        <v>18467900</v>
      </c>
      <c r="AA934" s="84" t="s">
        <v>2627</v>
      </c>
      <c r="AB934" s="85">
        <v>1130</v>
      </c>
      <c r="AC934" s="81">
        <v>43343</v>
      </c>
      <c r="AD934" s="86">
        <v>18467900</v>
      </c>
      <c r="AE934" s="87">
        <f t="shared" si="98"/>
        <v>0</v>
      </c>
      <c r="AF934" s="85">
        <v>2851</v>
      </c>
      <c r="AG934" s="81">
        <v>43355</v>
      </c>
      <c r="AH934" s="86">
        <v>18467900</v>
      </c>
      <c r="AI934" s="63" t="s">
        <v>2643</v>
      </c>
      <c r="AJ934" s="63">
        <v>570</v>
      </c>
      <c r="AK934" s="87">
        <f t="shared" si="100"/>
        <v>0</v>
      </c>
      <c r="AL934" s="86">
        <v>0</v>
      </c>
      <c r="AM934" s="86">
        <f t="shared" si="101"/>
        <v>18467900</v>
      </c>
      <c r="AN934" s="63" t="s">
        <v>1155</v>
      </c>
      <c r="AO934" s="86">
        <f t="shared" si="102"/>
        <v>0</v>
      </c>
      <c r="AP934" s="63"/>
      <c r="AQ934" s="81">
        <v>43341</v>
      </c>
      <c r="AR934" s="63" t="s">
        <v>2109</v>
      </c>
      <c r="AS934" s="81">
        <v>43342</v>
      </c>
      <c r="AT934" s="63" t="s">
        <v>1453</v>
      </c>
      <c r="AU934" s="220"/>
      <c r="AV934" s="220"/>
      <c r="AW934" s="220"/>
    </row>
    <row r="935" spans="1:49" s="221" customFormat="1" ht="299.25" x14ac:dyDescent="0.25">
      <c r="A935" s="63">
        <v>521</v>
      </c>
      <c r="B935" s="63" t="str">
        <f t="shared" si="99"/>
        <v>3075-521</v>
      </c>
      <c r="C935" s="76" t="s">
        <v>1141</v>
      </c>
      <c r="D935" s="76" t="s">
        <v>1142</v>
      </c>
      <c r="E935" s="76" t="s">
        <v>1143</v>
      </c>
      <c r="F935" s="76" t="s">
        <v>1158</v>
      </c>
      <c r="G935" s="77" t="s">
        <v>1159</v>
      </c>
      <c r="H935" s="78" t="s">
        <v>1160</v>
      </c>
      <c r="I935" s="76" t="s">
        <v>1147</v>
      </c>
      <c r="J935" s="76" t="s">
        <v>1148</v>
      </c>
      <c r="K935" s="76">
        <v>80111600</v>
      </c>
      <c r="L935" s="63" t="s">
        <v>1149</v>
      </c>
      <c r="M935" s="63" t="s">
        <v>58</v>
      </c>
      <c r="N935" s="63" t="s">
        <v>59</v>
      </c>
      <c r="O935" s="76" t="s">
        <v>1213</v>
      </c>
      <c r="P935" s="76" t="s">
        <v>2594</v>
      </c>
      <c r="Q935" s="83">
        <v>4120000</v>
      </c>
      <c r="R935" s="63">
        <v>1</v>
      </c>
      <c r="S935" s="80">
        <f>Q935*R935*W935</f>
        <v>12360000</v>
      </c>
      <c r="T935" s="63"/>
      <c r="U935" s="63" t="s">
        <v>1163</v>
      </c>
      <c r="V935" s="81" t="s">
        <v>875</v>
      </c>
      <c r="W935" s="82">
        <v>3</v>
      </c>
      <c r="X935" s="63" t="s">
        <v>2644</v>
      </c>
      <c r="Y935" s="81">
        <v>43348</v>
      </c>
      <c r="Z935" s="83">
        <v>12360000</v>
      </c>
      <c r="AA935" s="84" t="s">
        <v>2627</v>
      </c>
      <c r="AB935" s="85">
        <v>1151</v>
      </c>
      <c r="AC935" s="81">
        <v>43353</v>
      </c>
      <c r="AD935" s="86">
        <v>12360000</v>
      </c>
      <c r="AE935" s="87">
        <f t="shared" si="98"/>
        <v>0</v>
      </c>
      <c r="AF935" s="85"/>
      <c r="AG935" s="81"/>
      <c r="AH935" s="86"/>
      <c r="AI935" s="86"/>
      <c r="AJ935" s="86"/>
      <c r="AK935" s="87">
        <f t="shared" si="100"/>
        <v>12360000</v>
      </c>
      <c r="AL935" s="86"/>
      <c r="AM935" s="86">
        <f t="shared" si="101"/>
        <v>0</v>
      </c>
      <c r="AN935" s="63" t="s">
        <v>1155</v>
      </c>
      <c r="AO935" s="86">
        <f t="shared" si="102"/>
        <v>12360000</v>
      </c>
      <c r="AP935" s="63"/>
      <c r="AQ935" s="81">
        <v>43347</v>
      </c>
      <c r="AR935" s="63" t="s">
        <v>2109</v>
      </c>
      <c r="AS935" s="81">
        <v>43348</v>
      </c>
      <c r="AT935" s="63" t="s">
        <v>1453</v>
      </c>
      <c r="AU935" s="220"/>
      <c r="AV935" s="220"/>
      <c r="AW935" s="220"/>
    </row>
    <row r="936" spans="1:49" s="221" customFormat="1" ht="327.75" x14ac:dyDescent="0.25">
      <c r="A936" s="63">
        <v>522</v>
      </c>
      <c r="B936" s="63" t="str">
        <f t="shared" si="99"/>
        <v>3075-522</v>
      </c>
      <c r="C936" s="76" t="s">
        <v>1141</v>
      </c>
      <c r="D936" s="76" t="s">
        <v>1142</v>
      </c>
      <c r="E936" s="76" t="s">
        <v>1174</v>
      </c>
      <c r="F936" s="76" t="s">
        <v>1175</v>
      </c>
      <c r="G936" s="77" t="s">
        <v>1176</v>
      </c>
      <c r="H936" s="78" t="s">
        <v>1177</v>
      </c>
      <c r="I936" s="76" t="s">
        <v>1191</v>
      </c>
      <c r="J936" s="76" t="s">
        <v>1192</v>
      </c>
      <c r="K936" s="76" t="s">
        <v>439</v>
      </c>
      <c r="L936" s="63" t="s">
        <v>1149</v>
      </c>
      <c r="M936" s="63" t="s">
        <v>58</v>
      </c>
      <c r="N936" s="63" t="s">
        <v>59</v>
      </c>
      <c r="O936" s="76" t="s">
        <v>1169</v>
      </c>
      <c r="P936" s="76" t="s">
        <v>2645</v>
      </c>
      <c r="Q936" s="79">
        <v>39062100</v>
      </c>
      <c r="R936" s="63">
        <v>1</v>
      </c>
      <c r="S936" s="80">
        <f>Q936*R936*W936</f>
        <v>39062100</v>
      </c>
      <c r="T936" s="63"/>
      <c r="U936" s="63" t="s">
        <v>1171</v>
      </c>
      <c r="V936" s="81" t="s">
        <v>875</v>
      </c>
      <c r="W936" s="82">
        <v>1</v>
      </c>
      <c r="X936" s="90" t="s">
        <v>2646</v>
      </c>
      <c r="Y936" s="81">
        <v>43349</v>
      </c>
      <c r="Z936" s="83">
        <v>39062100</v>
      </c>
      <c r="AA936" s="84" t="s">
        <v>2164</v>
      </c>
      <c r="AB936" s="85">
        <v>1152</v>
      </c>
      <c r="AC936" s="81">
        <v>43353</v>
      </c>
      <c r="AD936" s="86">
        <v>39062100</v>
      </c>
      <c r="AE936" s="87">
        <f t="shared" si="98"/>
        <v>0</v>
      </c>
      <c r="AF936" s="85"/>
      <c r="AG936" s="81"/>
      <c r="AH936" s="86"/>
      <c r="AI936" s="63"/>
      <c r="AJ936" s="63"/>
      <c r="AK936" s="87">
        <f t="shared" si="100"/>
        <v>39062100</v>
      </c>
      <c r="AL936" s="86"/>
      <c r="AM936" s="86">
        <f t="shared" si="101"/>
        <v>0</v>
      </c>
      <c r="AN936" s="63" t="s">
        <v>1155</v>
      </c>
      <c r="AO936" s="86">
        <f t="shared" si="102"/>
        <v>39062100</v>
      </c>
      <c r="AP936" s="63"/>
      <c r="AQ936" s="81">
        <v>43348</v>
      </c>
      <c r="AR936" s="63" t="s">
        <v>2109</v>
      </c>
      <c r="AS936" s="81">
        <v>43349</v>
      </c>
      <c r="AT936" s="76" t="s">
        <v>2645</v>
      </c>
      <c r="AU936" s="220"/>
      <c r="AV936" s="220"/>
      <c r="AW936" s="220"/>
    </row>
    <row r="937" spans="1:49" s="221" customFormat="1" ht="228" x14ac:dyDescent="0.25">
      <c r="A937" s="63">
        <v>523</v>
      </c>
      <c r="B937" s="63" t="str">
        <f t="shared" si="99"/>
        <v>3075-523</v>
      </c>
      <c r="C937" s="76" t="s">
        <v>1141</v>
      </c>
      <c r="D937" s="76" t="s">
        <v>1142</v>
      </c>
      <c r="E937" s="76" t="s">
        <v>1174</v>
      </c>
      <c r="F937" s="76" t="s">
        <v>1175</v>
      </c>
      <c r="G937" s="77" t="s">
        <v>1176</v>
      </c>
      <c r="H937" s="78" t="s">
        <v>1177</v>
      </c>
      <c r="I937" s="76" t="s">
        <v>1147</v>
      </c>
      <c r="J937" s="76" t="s">
        <v>1178</v>
      </c>
      <c r="K937" s="76" t="s">
        <v>439</v>
      </c>
      <c r="L937" s="63" t="s">
        <v>1149</v>
      </c>
      <c r="M937" s="63" t="s">
        <v>58</v>
      </c>
      <c r="N937" s="63" t="s">
        <v>59</v>
      </c>
      <c r="O937" s="76" t="s">
        <v>1169</v>
      </c>
      <c r="P937" s="76" t="s">
        <v>2647</v>
      </c>
      <c r="Q937" s="79">
        <v>39062100</v>
      </c>
      <c r="R937" s="63">
        <v>1</v>
      </c>
      <c r="S937" s="80">
        <f>Q937*R937*W937</f>
        <v>39062100</v>
      </c>
      <c r="T937" s="63"/>
      <c r="U937" s="63" t="s">
        <v>1171</v>
      </c>
      <c r="V937" s="81" t="s">
        <v>875</v>
      </c>
      <c r="W937" s="82">
        <v>1</v>
      </c>
      <c r="X937" s="90" t="s">
        <v>2648</v>
      </c>
      <c r="Y937" s="89">
        <v>43357</v>
      </c>
      <c r="Z937" s="83">
        <v>39062100</v>
      </c>
      <c r="AA937" s="84" t="s">
        <v>2649</v>
      </c>
      <c r="AB937" s="85">
        <v>1164</v>
      </c>
      <c r="AC937" s="81">
        <v>43360</v>
      </c>
      <c r="AD937" s="86">
        <v>39062100</v>
      </c>
      <c r="AE937" s="87">
        <f t="shared" si="98"/>
        <v>0</v>
      </c>
      <c r="AF937" s="85"/>
      <c r="AG937" s="81"/>
      <c r="AH937" s="86"/>
      <c r="AI937" s="63"/>
      <c r="AJ937" s="63"/>
      <c r="AK937" s="87">
        <f t="shared" si="100"/>
        <v>39062100</v>
      </c>
      <c r="AL937" s="86"/>
      <c r="AM937" s="86">
        <f t="shared" si="101"/>
        <v>0</v>
      </c>
      <c r="AN937" s="63" t="s">
        <v>1155</v>
      </c>
      <c r="AO937" s="86">
        <f t="shared" si="102"/>
        <v>39062100</v>
      </c>
      <c r="AP937" s="63"/>
      <c r="AQ937" s="81">
        <v>43356</v>
      </c>
      <c r="AR937" s="63" t="s">
        <v>2109</v>
      </c>
      <c r="AS937" s="81">
        <v>43357</v>
      </c>
      <c r="AT937" s="63" t="s">
        <v>2647</v>
      </c>
      <c r="AU937" s="220"/>
      <c r="AV937" s="220"/>
      <c r="AW937" s="220"/>
    </row>
    <row r="938" spans="1:49" s="221" customFormat="1" ht="285" x14ac:dyDescent="0.25">
      <c r="A938" s="63">
        <v>524</v>
      </c>
      <c r="B938" s="63" t="str">
        <f t="shared" si="99"/>
        <v>3075-524</v>
      </c>
      <c r="C938" s="76" t="s">
        <v>1141</v>
      </c>
      <c r="D938" s="76" t="s">
        <v>1142</v>
      </c>
      <c r="E938" s="76" t="s">
        <v>1174</v>
      </c>
      <c r="F938" s="76" t="s">
        <v>1175</v>
      </c>
      <c r="G938" s="77" t="s">
        <v>1176</v>
      </c>
      <c r="H938" s="78" t="s">
        <v>1177</v>
      </c>
      <c r="I938" s="76" t="s">
        <v>1147</v>
      </c>
      <c r="J938" s="76" t="s">
        <v>1178</v>
      </c>
      <c r="K938" s="76" t="s">
        <v>439</v>
      </c>
      <c r="L938" s="63" t="s">
        <v>1149</v>
      </c>
      <c r="M938" s="63" t="s">
        <v>58</v>
      </c>
      <c r="N938" s="63" t="s">
        <v>59</v>
      </c>
      <c r="O938" s="76" t="s">
        <v>1169</v>
      </c>
      <c r="P938" s="76" t="s">
        <v>2650</v>
      </c>
      <c r="Q938" s="79">
        <v>54686940</v>
      </c>
      <c r="R938" s="63">
        <v>1</v>
      </c>
      <c r="S938" s="80">
        <f>Q938*R938*W938</f>
        <v>54686940</v>
      </c>
      <c r="T938" s="63"/>
      <c r="U938" s="63" t="s">
        <v>1171</v>
      </c>
      <c r="V938" s="81" t="s">
        <v>875</v>
      </c>
      <c r="W938" s="82">
        <v>1</v>
      </c>
      <c r="X938" s="90" t="s">
        <v>2651</v>
      </c>
      <c r="Y938" s="89">
        <v>43357</v>
      </c>
      <c r="Z938" s="83">
        <v>54686940</v>
      </c>
      <c r="AA938" s="84" t="s">
        <v>2649</v>
      </c>
      <c r="AB938" s="85">
        <v>1165</v>
      </c>
      <c r="AC938" s="81">
        <v>43360</v>
      </c>
      <c r="AD938" s="86">
        <v>54686940</v>
      </c>
      <c r="AE938" s="87">
        <f t="shared" si="98"/>
        <v>0</v>
      </c>
      <c r="AF938" s="85"/>
      <c r="AG938" s="81"/>
      <c r="AH938" s="86"/>
      <c r="AI938" s="63"/>
      <c r="AJ938" s="63"/>
      <c r="AK938" s="87">
        <f t="shared" si="100"/>
        <v>54686940</v>
      </c>
      <c r="AL938" s="86"/>
      <c r="AM938" s="86">
        <f t="shared" si="101"/>
        <v>0</v>
      </c>
      <c r="AN938" s="63" t="s">
        <v>1155</v>
      </c>
      <c r="AO938" s="86">
        <f t="shared" si="102"/>
        <v>54686940</v>
      </c>
      <c r="AP938" s="63"/>
      <c r="AQ938" s="81">
        <v>43356</v>
      </c>
      <c r="AR938" s="63" t="s">
        <v>2109</v>
      </c>
      <c r="AS938" s="81">
        <v>43357</v>
      </c>
      <c r="AT938" s="63" t="s">
        <v>2650</v>
      </c>
      <c r="AU938" s="220"/>
      <c r="AV938" s="220"/>
      <c r="AW938" s="220"/>
    </row>
    <row r="939" spans="1:49" s="221" customFormat="1" ht="199.5" x14ac:dyDescent="0.25">
      <c r="A939" s="63">
        <v>525</v>
      </c>
      <c r="B939" s="63" t="str">
        <f t="shared" si="99"/>
        <v>3075-525</v>
      </c>
      <c r="C939" s="76" t="s">
        <v>1141</v>
      </c>
      <c r="D939" s="76" t="s">
        <v>1142</v>
      </c>
      <c r="E939" s="76" t="s">
        <v>1174</v>
      </c>
      <c r="F939" s="76" t="s">
        <v>1175</v>
      </c>
      <c r="G939" s="77" t="s">
        <v>1176</v>
      </c>
      <c r="H939" s="78" t="s">
        <v>1177</v>
      </c>
      <c r="I939" s="76" t="s">
        <v>1191</v>
      </c>
      <c r="J939" s="76" t="s">
        <v>1192</v>
      </c>
      <c r="K939" s="76" t="s">
        <v>439</v>
      </c>
      <c r="L939" s="63" t="s">
        <v>1149</v>
      </c>
      <c r="M939" s="63" t="s">
        <v>58</v>
      </c>
      <c r="N939" s="63" t="s">
        <v>59</v>
      </c>
      <c r="O939" s="76" t="s">
        <v>1169</v>
      </c>
      <c r="P939" s="76" t="s">
        <v>2652</v>
      </c>
      <c r="Q939" s="80">
        <v>90000</v>
      </c>
      <c r="R939" s="63">
        <v>1</v>
      </c>
      <c r="S939" s="80">
        <v>90000</v>
      </c>
      <c r="T939" s="63"/>
      <c r="U939" s="63" t="s">
        <v>1171</v>
      </c>
      <c r="V939" s="81" t="s">
        <v>875</v>
      </c>
      <c r="W939" s="82" t="s">
        <v>439</v>
      </c>
      <c r="X939" s="90" t="s">
        <v>2653</v>
      </c>
      <c r="Y939" s="81">
        <v>43361</v>
      </c>
      <c r="Z939" s="80">
        <v>90000</v>
      </c>
      <c r="AA939" s="84" t="s">
        <v>2654</v>
      </c>
      <c r="AB939" s="85">
        <v>1173</v>
      </c>
      <c r="AC939" s="81">
        <v>43363</v>
      </c>
      <c r="AD939" s="86">
        <v>90000</v>
      </c>
      <c r="AE939" s="87">
        <f t="shared" si="98"/>
        <v>0</v>
      </c>
      <c r="AF939" s="85"/>
      <c r="AG939" s="81"/>
      <c r="AH939" s="86"/>
      <c r="AI939" s="63"/>
      <c r="AJ939" s="63"/>
      <c r="AK939" s="87">
        <f t="shared" si="100"/>
        <v>90000</v>
      </c>
      <c r="AL939" s="86"/>
      <c r="AM939" s="86">
        <f t="shared" si="101"/>
        <v>0</v>
      </c>
      <c r="AN939" s="63" t="s">
        <v>1155</v>
      </c>
      <c r="AO939" s="86">
        <f t="shared" si="102"/>
        <v>90000</v>
      </c>
      <c r="AP939" s="63"/>
      <c r="AQ939" s="81">
        <v>43361</v>
      </c>
      <c r="AR939" s="63" t="s">
        <v>2109</v>
      </c>
      <c r="AS939" s="81">
        <v>43361</v>
      </c>
      <c r="AT939" s="63"/>
      <c r="AU939" s="220"/>
      <c r="AV939" s="220"/>
      <c r="AW939" s="220"/>
    </row>
    <row r="940" spans="1:49" s="221" customFormat="1" ht="342" x14ac:dyDescent="0.25">
      <c r="A940" s="63">
        <v>526</v>
      </c>
      <c r="B940" s="63" t="str">
        <f t="shared" si="99"/>
        <v>3075-526</v>
      </c>
      <c r="C940" s="76" t="s">
        <v>1141</v>
      </c>
      <c r="D940" s="76" t="s">
        <v>1142</v>
      </c>
      <c r="E940" s="76" t="s">
        <v>1143</v>
      </c>
      <c r="F940" s="76" t="s">
        <v>1158</v>
      </c>
      <c r="G940" s="77" t="s">
        <v>1159</v>
      </c>
      <c r="H940" s="78" t="s">
        <v>1160</v>
      </c>
      <c r="I940" s="76" t="s">
        <v>1147</v>
      </c>
      <c r="J940" s="76" t="s">
        <v>1148</v>
      </c>
      <c r="K940" s="76">
        <v>80111600</v>
      </c>
      <c r="L940" s="63" t="s">
        <v>1149</v>
      </c>
      <c r="M940" s="63" t="s">
        <v>58</v>
      </c>
      <c r="N940" s="63" t="s">
        <v>59</v>
      </c>
      <c r="O940" s="76" t="s">
        <v>1213</v>
      </c>
      <c r="P940" s="76" t="s">
        <v>2655</v>
      </c>
      <c r="Q940" s="83">
        <f>(S940/W940)/R940</f>
        <v>3553500</v>
      </c>
      <c r="R940" s="63">
        <v>1</v>
      </c>
      <c r="S940" s="80">
        <f>11371200</f>
        <v>11371200</v>
      </c>
      <c r="T940" s="63" t="s">
        <v>888</v>
      </c>
      <c r="U940" s="63" t="s">
        <v>1163</v>
      </c>
      <c r="V940" s="81" t="s">
        <v>875</v>
      </c>
      <c r="W940" s="82">
        <v>3.2</v>
      </c>
      <c r="X940" s="63" t="s">
        <v>2656</v>
      </c>
      <c r="Y940" s="81">
        <v>43364</v>
      </c>
      <c r="Z940" s="80">
        <f>11371200</f>
        <v>11371200</v>
      </c>
      <c r="AA940" s="84" t="s">
        <v>2657</v>
      </c>
      <c r="AB940" s="85">
        <v>1176</v>
      </c>
      <c r="AC940" s="81">
        <v>43364</v>
      </c>
      <c r="AD940" s="86">
        <v>11371200</v>
      </c>
      <c r="AE940" s="87">
        <f t="shared" si="98"/>
        <v>0</v>
      </c>
      <c r="AF940" s="85">
        <v>2928</v>
      </c>
      <c r="AG940" s="81">
        <v>43367</v>
      </c>
      <c r="AH940" s="86">
        <v>11371200</v>
      </c>
      <c r="AI940" s="63" t="s">
        <v>1383</v>
      </c>
      <c r="AJ940" s="63">
        <v>370</v>
      </c>
      <c r="AK940" s="87"/>
      <c r="AL940" s="86">
        <v>0</v>
      </c>
      <c r="AM940" s="86">
        <f t="shared" si="101"/>
        <v>11371200</v>
      </c>
      <c r="AN940" s="63" t="s">
        <v>1155</v>
      </c>
      <c r="AO940" s="86">
        <f t="shared" si="102"/>
        <v>0</v>
      </c>
      <c r="AP940" s="63"/>
      <c r="AQ940" s="81">
        <v>43364</v>
      </c>
      <c r="AR940" s="63" t="s">
        <v>2109</v>
      </c>
      <c r="AS940" s="81">
        <v>43364</v>
      </c>
      <c r="AT940" s="63"/>
      <c r="AU940" s="220"/>
      <c r="AV940" s="220"/>
      <c r="AW940" s="220"/>
    </row>
    <row r="941" spans="1:49" s="221" customFormat="1" ht="299.25" x14ac:dyDescent="0.25">
      <c r="A941" s="63">
        <v>527</v>
      </c>
      <c r="B941" s="63" t="str">
        <f t="shared" si="99"/>
        <v>3075-527</v>
      </c>
      <c r="C941" s="76" t="s">
        <v>1141</v>
      </c>
      <c r="D941" s="76" t="s">
        <v>1142</v>
      </c>
      <c r="E941" s="76" t="s">
        <v>1143</v>
      </c>
      <c r="F941" s="76" t="s">
        <v>1158</v>
      </c>
      <c r="G941" s="77" t="s">
        <v>1159</v>
      </c>
      <c r="H941" s="78" t="s">
        <v>1160</v>
      </c>
      <c r="I941" s="76" t="s">
        <v>1147</v>
      </c>
      <c r="J941" s="76" t="s">
        <v>1148</v>
      </c>
      <c r="K941" s="76">
        <v>93141506</v>
      </c>
      <c r="L941" s="63" t="s">
        <v>1149</v>
      </c>
      <c r="M941" s="63" t="s">
        <v>58</v>
      </c>
      <c r="N941" s="63" t="s">
        <v>59</v>
      </c>
      <c r="O941" s="76" t="s">
        <v>1213</v>
      </c>
      <c r="P941" s="76" t="s">
        <v>1287</v>
      </c>
      <c r="Q941" s="83">
        <v>3553500</v>
      </c>
      <c r="R941" s="63">
        <v>1</v>
      </c>
      <c r="S941" s="80">
        <v>11252750</v>
      </c>
      <c r="T941" s="63"/>
      <c r="U941" s="63" t="s">
        <v>1163</v>
      </c>
      <c r="V941" s="81" t="s">
        <v>875</v>
      </c>
      <c r="W941" s="82">
        <v>3</v>
      </c>
      <c r="X941" s="63" t="s">
        <v>2658</v>
      </c>
      <c r="Y941" s="81">
        <v>43368</v>
      </c>
      <c r="Z941" s="83">
        <v>11252750</v>
      </c>
      <c r="AA941" s="84" t="s">
        <v>2627</v>
      </c>
      <c r="AB941" s="85">
        <v>1195</v>
      </c>
      <c r="AC941" s="81">
        <v>43369</v>
      </c>
      <c r="AD941" s="86">
        <v>11252750</v>
      </c>
      <c r="AE941" s="87">
        <f t="shared" si="98"/>
        <v>0</v>
      </c>
      <c r="AF941" s="85"/>
      <c r="AG941" s="81"/>
      <c r="AH941" s="86"/>
      <c r="AI941" s="86"/>
      <c r="AJ941" s="86"/>
      <c r="AK941" s="87">
        <f>AD941-AH941</f>
        <v>11252750</v>
      </c>
      <c r="AL941" s="86"/>
      <c r="AM941" s="86">
        <f t="shared" si="101"/>
        <v>0</v>
      </c>
      <c r="AN941" s="63" t="s">
        <v>1155</v>
      </c>
      <c r="AO941" s="86">
        <f t="shared" si="102"/>
        <v>11252750</v>
      </c>
      <c r="AP941" s="63"/>
      <c r="AQ941" s="81">
        <v>43367</v>
      </c>
      <c r="AR941" s="63" t="s">
        <v>2109</v>
      </c>
      <c r="AS941" s="81">
        <v>43367</v>
      </c>
      <c r="AT941" s="63" t="s">
        <v>1453</v>
      </c>
      <c r="AU941" s="220"/>
      <c r="AV941" s="220"/>
      <c r="AW941" s="220"/>
    </row>
    <row r="942" spans="1:49" s="221" customFormat="1" ht="299.25" x14ac:dyDescent="0.25">
      <c r="A942" s="63">
        <v>528</v>
      </c>
      <c r="B942" s="63" t="str">
        <f t="shared" si="99"/>
        <v>3075-528</v>
      </c>
      <c r="C942" s="76" t="s">
        <v>1141</v>
      </c>
      <c r="D942" s="76" t="s">
        <v>1142</v>
      </c>
      <c r="E942" s="76" t="s">
        <v>1143</v>
      </c>
      <c r="F942" s="76" t="s">
        <v>1158</v>
      </c>
      <c r="G942" s="77" t="s">
        <v>1159</v>
      </c>
      <c r="H942" s="78" t="s">
        <v>1160</v>
      </c>
      <c r="I942" s="76" t="s">
        <v>1147</v>
      </c>
      <c r="J942" s="76" t="s">
        <v>1148</v>
      </c>
      <c r="K942" s="76">
        <v>93141506</v>
      </c>
      <c r="L942" s="63" t="s">
        <v>1149</v>
      </c>
      <c r="M942" s="63" t="s">
        <v>58</v>
      </c>
      <c r="N942" s="63" t="s">
        <v>59</v>
      </c>
      <c r="O942" s="76" t="s">
        <v>1213</v>
      </c>
      <c r="P942" s="76" t="s">
        <v>2659</v>
      </c>
      <c r="Q942" s="83">
        <v>5036700</v>
      </c>
      <c r="R942" s="63">
        <v>1</v>
      </c>
      <c r="S942" s="80">
        <v>15949550</v>
      </c>
      <c r="T942" s="63"/>
      <c r="U942" s="63" t="s">
        <v>1163</v>
      </c>
      <c r="V942" s="81" t="s">
        <v>875</v>
      </c>
      <c r="W942" s="82">
        <v>9</v>
      </c>
      <c r="X942" s="63" t="s">
        <v>2660</v>
      </c>
      <c r="Y942" s="81">
        <v>43368</v>
      </c>
      <c r="Z942" s="83">
        <v>15949550</v>
      </c>
      <c r="AA942" s="84" t="s">
        <v>2661</v>
      </c>
      <c r="AB942" s="85">
        <v>1194</v>
      </c>
      <c r="AC942" s="81">
        <v>43369</v>
      </c>
      <c r="AD942" s="86">
        <v>15949550</v>
      </c>
      <c r="AE942" s="87">
        <f t="shared" si="98"/>
        <v>0</v>
      </c>
      <c r="AF942" s="85"/>
      <c r="AG942" s="81"/>
      <c r="AH942" s="86"/>
      <c r="AI942" s="63"/>
      <c r="AJ942" s="63"/>
      <c r="AK942" s="87">
        <f>AD942-AH942</f>
        <v>15949550</v>
      </c>
      <c r="AL942" s="86"/>
      <c r="AM942" s="86">
        <f t="shared" si="101"/>
        <v>0</v>
      </c>
      <c r="AN942" s="63" t="s">
        <v>1155</v>
      </c>
      <c r="AO942" s="86">
        <f t="shared" si="102"/>
        <v>15949550</v>
      </c>
      <c r="AP942" s="63"/>
      <c r="AQ942" s="81">
        <v>43367</v>
      </c>
      <c r="AR942" s="63" t="s">
        <v>2109</v>
      </c>
      <c r="AS942" s="81">
        <v>43367</v>
      </c>
      <c r="AT942" s="63" t="s">
        <v>1453</v>
      </c>
      <c r="AU942" s="220"/>
      <c r="AV942" s="220"/>
      <c r="AW942" s="220"/>
    </row>
    <row r="943" spans="1:49" s="221" customFormat="1" ht="342" x14ac:dyDescent="0.25">
      <c r="A943" s="63">
        <v>529</v>
      </c>
      <c r="B943" s="63" t="str">
        <f t="shared" si="99"/>
        <v>3075-529</v>
      </c>
      <c r="C943" s="76" t="s">
        <v>1141</v>
      </c>
      <c r="D943" s="76" t="s">
        <v>1142</v>
      </c>
      <c r="E943" s="76" t="s">
        <v>1143</v>
      </c>
      <c r="F943" s="76" t="s">
        <v>1158</v>
      </c>
      <c r="G943" s="77" t="s">
        <v>1159</v>
      </c>
      <c r="H943" s="78" t="s">
        <v>1160</v>
      </c>
      <c r="I943" s="76" t="s">
        <v>1147</v>
      </c>
      <c r="J943" s="76" t="s">
        <v>1148</v>
      </c>
      <c r="K943" s="76">
        <v>80111600</v>
      </c>
      <c r="L943" s="63" t="s">
        <v>1149</v>
      </c>
      <c r="M943" s="63" t="s">
        <v>58</v>
      </c>
      <c r="N943" s="63" t="s">
        <v>59</v>
      </c>
      <c r="O943" s="76" t="s">
        <v>1213</v>
      </c>
      <c r="P943" s="76" t="s">
        <v>2662</v>
      </c>
      <c r="Q943" s="83">
        <v>3326900</v>
      </c>
      <c r="R943" s="63">
        <v>1</v>
      </c>
      <c r="S943" s="80">
        <v>10535183</v>
      </c>
      <c r="T943" s="63"/>
      <c r="U943" s="63" t="s">
        <v>1163</v>
      </c>
      <c r="V943" s="81" t="s">
        <v>875</v>
      </c>
      <c r="W943" s="82">
        <v>9</v>
      </c>
      <c r="X943" s="63" t="s">
        <v>2663</v>
      </c>
      <c r="Y943" s="81">
        <v>43368</v>
      </c>
      <c r="Z943" s="83">
        <v>10535183</v>
      </c>
      <c r="AA943" s="84" t="s">
        <v>2661</v>
      </c>
      <c r="AB943" s="85">
        <v>1193</v>
      </c>
      <c r="AC943" s="81">
        <v>43369</v>
      </c>
      <c r="AD943" s="86">
        <v>10535183</v>
      </c>
      <c r="AE943" s="87">
        <f t="shared" si="98"/>
        <v>0</v>
      </c>
      <c r="AF943" s="85"/>
      <c r="AG943" s="81"/>
      <c r="AH943" s="86"/>
      <c r="AI943" s="63"/>
      <c r="AJ943" s="63"/>
      <c r="AK943" s="87">
        <f>AD943-AH943</f>
        <v>10535183</v>
      </c>
      <c r="AL943" s="86"/>
      <c r="AM943" s="86">
        <f t="shared" si="101"/>
        <v>0</v>
      </c>
      <c r="AN943" s="63" t="s">
        <v>1155</v>
      </c>
      <c r="AO943" s="86">
        <f t="shared" si="102"/>
        <v>10535183</v>
      </c>
      <c r="AP943" s="63"/>
      <c r="AQ943" s="81">
        <v>43367</v>
      </c>
      <c r="AR943" s="63" t="s">
        <v>2109</v>
      </c>
      <c r="AS943" s="81">
        <v>43367</v>
      </c>
      <c r="AT943" s="63" t="s">
        <v>1453</v>
      </c>
      <c r="AU943" s="220"/>
      <c r="AV943" s="220"/>
      <c r="AW943" s="220"/>
    </row>
    <row r="944" spans="1:49" s="221" customFormat="1" ht="299.25" x14ac:dyDescent="0.25">
      <c r="A944" s="63">
        <v>530</v>
      </c>
      <c r="B944" s="63" t="str">
        <f t="shared" si="99"/>
        <v>3075-530</v>
      </c>
      <c r="C944" s="76" t="s">
        <v>1141</v>
      </c>
      <c r="D944" s="76" t="s">
        <v>1142</v>
      </c>
      <c r="E944" s="76" t="s">
        <v>1143</v>
      </c>
      <c r="F944" s="76" t="s">
        <v>1158</v>
      </c>
      <c r="G944" s="77" t="s">
        <v>1159</v>
      </c>
      <c r="H944" s="78" t="s">
        <v>1160</v>
      </c>
      <c r="I944" s="76" t="s">
        <v>1147</v>
      </c>
      <c r="J944" s="76" t="s">
        <v>1148</v>
      </c>
      <c r="K944" s="76">
        <v>80111600</v>
      </c>
      <c r="L944" s="63" t="s">
        <v>1149</v>
      </c>
      <c r="M944" s="63" t="s">
        <v>58</v>
      </c>
      <c r="N944" s="63" t="s">
        <v>59</v>
      </c>
      <c r="O944" s="76" t="s">
        <v>1213</v>
      </c>
      <c r="P944" s="76" t="s">
        <v>2664</v>
      </c>
      <c r="Q944" s="83">
        <f>(S944/W944)/R944</f>
        <v>5036700.5925530111</v>
      </c>
      <c r="R944" s="63">
        <v>1</v>
      </c>
      <c r="S944" s="80">
        <v>14270650</v>
      </c>
      <c r="T944" s="63"/>
      <c r="U944" s="63" t="s">
        <v>1163</v>
      </c>
      <c r="V944" s="81" t="s">
        <v>875</v>
      </c>
      <c r="W944" s="82">
        <v>2.8333330000000001</v>
      </c>
      <c r="X944" s="63" t="s">
        <v>2665</v>
      </c>
      <c r="Y944" s="81">
        <v>43367</v>
      </c>
      <c r="Z944" s="83">
        <v>14270650</v>
      </c>
      <c r="AA944" s="84" t="s">
        <v>2666</v>
      </c>
      <c r="AB944" s="85">
        <v>1196</v>
      </c>
      <c r="AC944" s="81">
        <v>43369</v>
      </c>
      <c r="AD944" s="86">
        <v>14270650</v>
      </c>
      <c r="AE944" s="87">
        <f t="shared" si="98"/>
        <v>0</v>
      </c>
      <c r="AF944" s="85"/>
      <c r="AG944" s="81"/>
      <c r="AH944" s="86"/>
      <c r="AI944" s="63"/>
      <c r="AJ944" s="63"/>
      <c r="AK944" s="87"/>
      <c r="AL944" s="86"/>
      <c r="AM944" s="86">
        <f t="shared" si="101"/>
        <v>0</v>
      </c>
      <c r="AN944" s="63" t="s">
        <v>1155</v>
      </c>
      <c r="AO944" s="86">
        <f t="shared" si="102"/>
        <v>14270650</v>
      </c>
      <c r="AP944" s="63"/>
      <c r="AQ944" s="81">
        <v>43367</v>
      </c>
      <c r="AR944" s="63" t="s">
        <v>2109</v>
      </c>
      <c r="AS944" s="81">
        <v>43367</v>
      </c>
      <c r="AT944" s="63" t="s">
        <v>1453</v>
      </c>
      <c r="AU944" s="220"/>
      <c r="AV944" s="220"/>
      <c r="AW944" s="220"/>
    </row>
    <row r="945" spans="1:49" s="221" customFormat="1" ht="299.25" x14ac:dyDescent="0.25">
      <c r="A945" s="63">
        <v>531</v>
      </c>
      <c r="B945" s="63" t="str">
        <f t="shared" si="99"/>
        <v>3075-531</v>
      </c>
      <c r="C945" s="76" t="s">
        <v>1141</v>
      </c>
      <c r="D945" s="76" t="s">
        <v>1142</v>
      </c>
      <c r="E945" s="76" t="s">
        <v>1143</v>
      </c>
      <c r="F945" s="76" t="s">
        <v>1158</v>
      </c>
      <c r="G945" s="77" t="s">
        <v>1159</v>
      </c>
      <c r="H945" s="78" t="s">
        <v>1160</v>
      </c>
      <c r="I945" s="76" t="s">
        <v>1147</v>
      </c>
      <c r="J945" s="76" t="s">
        <v>1148</v>
      </c>
      <c r="K945" s="76">
        <v>80111600</v>
      </c>
      <c r="L945" s="63" t="s">
        <v>1149</v>
      </c>
      <c r="M945" s="63" t="s">
        <v>58</v>
      </c>
      <c r="N945" s="63" t="s">
        <v>59</v>
      </c>
      <c r="O945" s="76" t="s">
        <v>1213</v>
      </c>
      <c r="P945" s="76" t="s">
        <v>2667</v>
      </c>
      <c r="Q945" s="83">
        <v>1545000</v>
      </c>
      <c r="R945" s="63">
        <v>1</v>
      </c>
      <c r="S945" s="80">
        <v>4892500</v>
      </c>
      <c r="T945" s="63"/>
      <c r="U945" s="63" t="s">
        <v>1163</v>
      </c>
      <c r="V945" s="81" t="s">
        <v>875</v>
      </c>
      <c r="W945" s="82">
        <v>3</v>
      </c>
      <c r="X945" s="63" t="s">
        <v>2668</v>
      </c>
      <c r="Y945" s="81">
        <v>43368</v>
      </c>
      <c r="Z945" s="83">
        <v>4892500</v>
      </c>
      <c r="AA945" s="84" t="s">
        <v>2669</v>
      </c>
      <c r="AB945" s="85">
        <v>1191</v>
      </c>
      <c r="AC945" s="81">
        <v>43369</v>
      </c>
      <c r="AD945" s="86">
        <v>4892500</v>
      </c>
      <c r="AE945" s="87">
        <f t="shared" si="98"/>
        <v>0</v>
      </c>
      <c r="AF945" s="85"/>
      <c r="AG945" s="81"/>
      <c r="AH945" s="86"/>
      <c r="AI945" s="63"/>
      <c r="AJ945" s="63"/>
      <c r="AK945" s="87">
        <f t="shared" ref="AK945:AK1009" si="103">AD945-AH945</f>
        <v>4892500</v>
      </c>
      <c r="AL945" s="86"/>
      <c r="AM945" s="86">
        <f t="shared" si="101"/>
        <v>0</v>
      </c>
      <c r="AN945" s="63" t="s">
        <v>1155</v>
      </c>
      <c r="AO945" s="86">
        <f t="shared" si="102"/>
        <v>4892500</v>
      </c>
      <c r="AP945" s="63"/>
      <c r="AQ945" s="81">
        <v>43367</v>
      </c>
      <c r="AR945" s="63" t="s">
        <v>2109</v>
      </c>
      <c r="AS945" s="81">
        <v>43368</v>
      </c>
      <c r="AT945" s="63" t="s">
        <v>1453</v>
      </c>
      <c r="AU945" s="220"/>
      <c r="AV945" s="220"/>
      <c r="AW945" s="220"/>
    </row>
    <row r="946" spans="1:49" s="221" customFormat="1" ht="299.25" x14ac:dyDescent="0.25">
      <c r="A946" s="63">
        <v>532</v>
      </c>
      <c r="B946" s="63" t="str">
        <f t="shared" si="99"/>
        <v>3075-532</v>
      </c>
      <c r="C946" s="76" t="s">
        <v>1141</v>
      </c>
      <c r="D946" s="76" t="s">
        <v>1142</v>
      </c>
      <c r="E946" s="76" t="s">
        <v>1143</v>
      </c>
      <c r="F946" s="76" t="s">
        <v>1158</v>
      </c>
      <c r="G946" s="77" t="s">
        <v>1159</v>
      </c>
      <c r="H946" s="78" t="s">
        <v>1160</v>
      </c>
      <c r="I946" s="76" t="s">
        <v>1147</v>
      </c>
      <c r="J946" s="76" t="s">
        <v>1148</v>
      </c>
      <c r="K946" s="76">
        <v>80111600</v>
      </c>
      <c r="L946" s="63" t="s">
        <v>1149</v>
      </c>
      <c r="M946" s="63" t="s">
        <v>58</v>
      </c>
      <c r="N946" s="63" t="s">
        <v>59</v>
      </c>
      <c r="O946" s="76" t="s">
        <v>1213</v>
      </c>
      <c r="P946" s="76" t="s">
        <v>2670</v>
      </c>
      <c r="Q946" s="83">
        <v>4120000</v>
      </c>
      <c r="R946" s="63">
        <v>1</v>
      </c>
      <c r="S946" s="80">
        <v>13046667</v>
      </c>
      <c r="T946" s="63"/>
      <c r="U946" s="63" t="s">
        <v>1163</v>
      </c>
      <c r="V946" s="81" t="s">
        <v>875</v>
      </c>
      <c r="W946" s="82">
        <v>3</v>
      </c>
      <c r="X946" s="63" t="s">
        <v>2671</v>
      </c>
      <c r="Y946" s="81">
        <v>43368</v>
      </c>
      <c r="Z946" s="83">
        <v>13046667</v>
      </c>
      <c r="AA946" s="84" t="s">
        <v>2669</v>
      </c>
      <c r="AB946" s="85">
        <v>1189</v>
      </c>
      <c r="AC946" s="81">
        <v>43369</v>
      </c>
      <c r="AD946" s="86">
        <v>13046667</v>
      </c>
      <c r="AE946" s="87">
        <f t="shared" si="98"/>
        <v>0</v>
      </c>
      <c r="AF946" s="85"/>
      <c r="AG946" s="81"/>
      <c r="AH946" s="86"/>
      <c r="AI946" s="63"/>
      <c r="AJ946" s="63"/>
      <c r="AK946" s="87">
        <f t="shared" si="103"/>
        <v>13046667</v>
      </c>
      <c r="AL946" s="86"/>
      <c r="AM946" s="86">
        <f t="shared" si="101"/>
        <v>0</v>
      </c>
      <c r="AN946" s="63" t="s">
        <v>1155</v>
      </c>
      <c r="AO946" s="86">
        <f t="shared" si="102"/>
        <v>13046667</v>
      </c>
      <c r="AP946" s="63"/>
      <c r="AQ946" s="81">
        <v>43367</v>
      </c>
      <c r="AR946" s="63" t="s">
        <v>2109</v>
      </c>
      <c r="AS946" s="81">
        <v>43368</v>
      </c>
      <c r="AT946" s="63" t="s">
        <v>1453</v>
      </c>
      <c r="AU946" s="220"/>
      <c r="AV946" s="220"/>
      <c r="AW946" s="220"/>
    </row>
    <row r="947" spans="1:49" s="221" customFormat="1" ht="299.25" x14ac:dyDescent="0.25">
      <c r="A947" s="63">
        <v>533</v>
      </c>
      <c r="B947" s="63" t="str">
        <f t="shared" si="99"/>
        <v>3075-533</v>
      </c>
      <c r="C947" s="76" t="s">
        <v>1141</v>
      </c>
      <c r="D947" s="76" t="s">
        <v>1142</v>
      </c>
      <c r="E947" s="76" t="s">
        <v>1143</v>
      </c>
      <c r="F947" s="76" t="s">
        <v>1158</v>
      </c>
      <c r="G947" s="77" t="s">
        <v>1159</v>
      </c>
      <c r="H947" s="78" t="s">
        <v>1160</v>
      </c>
      <c r="I947" s="76" t="s">
        <v>1147</v>
      </c>
      <c r="J947" s="76" t="s">
        <v>1148</v>
      </c>
      <c r="K947" s="76">
        <v>80111600</v>
      </c>
      <c r="L947" s="63" t="s">
        <v>1149</v>
      </c>
      <c r="M947" s="63" t="s">
        <v>58</v>
      </c>
      <c r="N947" s="63" t="s">
        <v>59</v>
      </c>
      <c r="O947" s="76" t="s">
        <v>1213</v>
      </c>
      <c r="P947" s="76" t="s">
        <v>2672</v>
      </c>
      <c r="Q947" s="83">
        <v>5036700</v>
      </c>
      <c r="R947" s="63">
        <v>1</v>
      </c>
      <c r="S947" s="80">
        <v>15949550</v>
      </c>
      <c r="T947" s="63"/>
      <c r="U947" s="63" t="s">
        <v>1163</v>
      </c>
      <c r="V947" s="81" t="s">
        <v>875</v>
      </c>
      <c r="W947" s="82">
        <v>3</v>
      </c>
      <c r="X947" s="63" t="s">
        <v>2673</v>
      </c>
      <c r="Y947" s="81">
        <v>43368</v>
      </c>
      <c r="Z947" s="83">
        <v>15949550</v>
      </c>
      <c r="AA947" s="84" t="s">
        <v>2666</v>
      </c>
      <c r="AB947" s="85">
        <v>1187</v>
      </c>
      <c r="AC947" s="81">
        <v>43369</v>
      </c>
      <c r="AD947" s="86">
        <v>15949550</v>
      </c>
      <c r="AE947" s="87">
        <f t="shared" si="98"/>
        <v>0</v>
      </c>
      <c r="AF947" s="85"/>
      <c r="AG947" s="81"/>
      <c r="AH947" s="86"/>
      <c r="AI947" s="63"/>
      <c r="AJ947" s="63"/>
      <c r="AK947" s="87">
        <f t="shared" si="103"/>
        <v>15949550</v>
      </c>
      <c r="AL947" s="86"/>
      <c r="AM947" s="86">
        <f t="shared" si="101"/>
        <v>0</v>
      </c>
      <c r="AN947" s="63" t="s">
        <v>1155</v>
      </c>
      <c r="AO947" s="86">
        <f t="shared" si="102"/>
        <v>15949550</v>
      </c>
      <c r="AP947" s="63"/>
      <c r="AQ947" s="81">
        <v>43367</v>
      </c>
      <c r="AR947" s="63" t="s">
        <v>2109</v>
      </c>
      <c r="AS947" s="81">
        <v>43368</v>
      </c>
      <c r="AT947" s="63" t="s">
        <v>1453</v>
      </c>
      <c r="AU947" s="220"/>
      <c r="AV947" s="220"/>
      <c r="AW947" s="220"/>
    </row>
    <row r="948" spans="1:49" s="221" customFormat="1" ht="299.25" x14ac:dyDescent="0.25">
      <c r="A948" s="63">
        <v>534</v>
      </c>
      <c r="B948" s="63" t="str">
        <f t="shared" si="99"/>
        <v>3075-534</v>
      </c>
      <c r="C948" s="76" t="s">
        <v>1141</v>
      </c>
      <c r="D948" s="76" t="s">
        <v>1142</v>
      </c>
      <c r="E948" s="76" t="s">
        <v>1143</v>
      </c>
      <c r="F948" s="76" t="s">
        <v>1158</v>
      </c>
      <c r="G948" s="77" t="s">
        <v>1159</v>
      </c>
      <c r="H948" s="78" t="s">
        <v>1160</v>
      </c>
      <c r="I948" s="76" t="s">
        <v>1147</v>
      </c>
      <c r="J948" s="76" t="s">
        <v>1148</v>
      </c>
      <c r="K948" s="76">
        <v>80111600</v>
      </c>
      <c r="L948" s="63" t="s">
        <v>1149</v>
      </c>
      <c r="M948" s="63" t="s">
        <v>58</v>
      </c>
      <c r="N948" s="63" t="s">
        <v>59</v>
      </c>
      <c r="O948" s="76" t="s">
        <v>1213</v>
      </c>
      <c r="P948" s="76" t="s">
        <v>1563</v>
      </c>
      <c r="Q948" s="83">
        <v>3399000</v>
      </c>
      <c r="R948" s="63">
        <v>1</v>
      </c>
      <c r="S948" s="80">
        <v>10763500</v>
      </c>
      <c r="T948" s="63"/>
      <c r="U948" s="63" t="s">
        <v>1163</v>
      </c>
      <c r="V948" s="81" t="s">
        <v>875</v>
      </c>
      <c r="W948" s="82">
        <v>3</v>
      </c>
      <c r="X948" s="63" t="s">
        <v>2674</v>
      </c>
      <c r="Y948" s="81">
        <v>43368</v>
      </c>
      <c r="Z948" s="83">
        <v>10763500</v>
      </c>
      <c r="AA948" s="84" t="s">
        <v>2666</v>
      </c>
      <c r="AB948" s="85">
        <v>1184</v>
      </c>
      <c r="AC948" s="81">
        <v>43369</v>
      </c>
      <c r="AD948" s="86">
        <v>10763500</v>
      </c>
      <c r="AE948" s="87">
        <f t="shared" si="98"/>
        <v>0</v>
      </c>
      <c r="AF948" s="85"/>
      <c r="AG948" s="81"/>
      <c r="AH948" s="86"/>
      <c r="AI948" s="63"/>
      <c r="AJ948" s="63"/>
      <c r="AK948" s="87">
        <f t="shared" si="103"/>
        <v>10763500</v>
      </c>
      <c r="AL948" s="86"/>
      <c r="AM948" s="86">
        <f t="shared" si="101"/>
        <v>0</v>
      </c>
      <c r="AN948" s="63" t="s">
        <v>1155</v>
      </c>
      <c r="AO948" s="86">
        <f t="shared" si="102"/>
        <v>10763500</v>
      </c>
      <c r="AP948" s="63"/>
      <c r="AQ948" s="81">
        <v>43367</v>
      </c>
      <c r="AR948" s="63" t="s">
        <v>2109</v>
      </c>
      <c r="AS948" s="81">
        <v>43368</v>
      </c>
      <c r="AT948" s="63" t="s">
        <v>1453</v>
      </c>
      <c r="AU948" s="220"/>
      <c r="AV948" s="220"/>
      <c r="AW948" s="220"/>
    </row>
    <row r="949" spans="1:49" s="221" customFormat="1" ht="299.25" x14ac:dyDescent="0.25">
      <c r="A949" s="63">
        <v>535</v>
      </c>
      <c r="B949" s="63" t="str">
        <f t="shared" si="99"/>
        <v>3075-535</v>
      </c>
      <c r="C949" s="76" t="s">
        <v>1141</v>
      </c>
      <c r="D949" s="76" t="s">
        <v>1142</v>
      </c>
      <c r="E949" s="76" t="s">
        <v>1143</v>
      </c>
      <c r="F949" s="76" t="s">
        <v>1158</v>
      </c>
      <c r="G949" s="77" t="s">
        <v>1159</v>
      </c>
      <c r="H949" s="78" t="s">
        <v>1160</v>
      </c>
      <c r="I949" s="76" t="s">
        <v>1147</v>
      </c>
      <c r="J949" s="76" t="s">
        <v>1148</v>
      </c>
      <c r="K949" s="76">
        <v>80111600</v>
      </c>
      <c r="L949" s="63" t="s">
        <v>1149</v>
      </c>
      <c r="M949" s="63" t="s">
        <v>58</v>
      </c>
      <c r="N949" s="63" t="s">
        <v>59</v>
      </c>
      <c r="O949" s="76" t="s">
        <v>1213</v>
      </c>
      <c r="P949" s="76" t="s">
        <v>1566</v>
      </c>
      <c r="Q949" s="83">
        <v>5665000</v>
      </c>
      <c r="R949" s="63">
        <v>1</v>
      </c>
      <c r="S949" s="80">
        <v>17939167</v>
      </c>
      <c r="T949" s="63"/>
      <c r="U949" s="63" t="s">
        <v>1163</v>
      </c>
      <c r="V949" s="81" t="s">
        <v>875</v>
      </c>
      <c r="W949" s="82">
        <v>3</v>
      </c>
      <c r="X949" s="63" t="s">
        <v>2675</v>
      </c>
      <c r="Y949" s="81">
        <v>43368</v>
      </c>
      <c r="Z949" s="83">
        <v>17939167</v>
      </c>
      <c r="AA949" s="84" t="s">
        <v>2676</v>
      </c>
      <c r="AB949" s="85">
        <v>1185</v>
      </c>
      <c r="AC949" s="81">
        <v>43369</v>
      </c>
      <c r="AD949" s="86">
        <v>17939167</v>
      </c>
      <c r="AE949" s="87">
        <f t="shared" si="98"/>
        <v>0</v>
      </c>
      <c r="AF949" s="85"/>
      <c r="AG949" s="81"/>
      <c r="AH949" s="86"/>
      <c r="AI949" s="63"/>
      <c r="AJ949" s="63"/>
      <c r="AK949" s="87">
        <f t="shared" si="103"/>
        <v>17939167</v>
      </c>
      <c r="AL949" s="86"/>
      <c r="AM949" s="86">
        <f t="shared" si="101"/>
        <v>0</v>
      </c>
      <c r="AN949" s="63" t="s">
        <v>1155</v>
      </c>
      <c r="AO949" s="86">
        <f t="shared" si="102"/>
        <v>17939167</v>
      </c>
      <c r="AP949" s="63"/>
      <c r="AQ949" s="81">
        <v>43367</v>
      </c>
      <c r="AR949" s="63" t="s">
        <v>2109</v>
      </c>
      <c r="AS949" s="81">
        <v>43368</v>
      </c>
      <c r="AT949" s="63" t="s">
        <v>1453</v>
      </c>
      <c r="AU949" s="220"/>
      <c r="AV949" s="220"/>
      <c r="AW949" s="220"/>
    </row>
    <row r="950" spans="1:49" s="221" customFormat="1" ht="299.25" x14ac:dyDescent="0.25">
      <c r="A950" s="63">
        <v>536</v>
      </c>
      <c r="B950" s="63" t="str">
        <f t="shared" si="99"/>
        <v>3075-536</v>
      </c>
      <c r="C950" s="76" t="s">
        <v>1141</v>
      </c>
      <c r="D950" s="76" t="s">
        <v>1142</v>
      </c>
      <c r="E950" s="76" t="s">
        <v>1143</v>
      </c>
      <c r="F950" s="76" t="s">
        <v>1158</v>
      </c>
      <c r="G950" s="77" t="s">
        <v>1159</v>
      </c>
      <c r="H950" s="78" t="s">
        <v>1160</v>
      </c>
      <c r="I950" s="76" t="s">
        <v>1147</v>
      </c>
      <c r="J950" s="76" t="s">
        <v>1148</v>
      </c>
      <c r="K950" s="76">
        <v>80111600</v>
      </c>
      <c r="L950" s="63" t="s">
        <v>1149</v>
      </c>
      <c r="M950" s="63" t="s">
        <v>58</v>
      </c>
      <c r="N950" s="63" t="s">
        <v>59</v>
      </c>
      <c r="O950" s="76" t="s">
        <v>1213</v>
      </c>
      <c r="P950" s="76" t="s">
        <v>2677</v>
      </c>
      <c r="Q950" s="83">
        <v>7210000</v>
      </c>
      <c r="R950" s="63">
        <v>1</v>
      </c>
      <c r="S950" s="80">
        <v>22831667</v>
      </c>
      <c r="T950" s="63"/>
      <c r="U950" s="63" t="s">
        <v>1163</v>
      </c>
      <c r="V950" s="81" t="s">
        <v>875</v>
      </c>
      <c r="W950" s="82">
        <v>3</v>
      </c>
      <c r="X950" s="63" t="s">
        <v>2678</v>
      </c>
      <c r="Y950" s="81">
        <v>43368</v>
      </c>
      <c r="Z950" s="83">
        <v>22831667</v>
      </c>
      <c r="AA950" s="84" t="s">
        <v>2676</v>
      </c>
      <c r="AB950" s="85">
        <v>1186</v>
      </c>
      <c r="AC950" s="81">
        <v>43369</v>
      </c>
      <c r="AD950" s="86">
        <v>22831667</v>
      </c>
      <c r="AE950" s="87">
        <f t="shared" si="98"/>
        <v>0</v>
      </c>
      <c r="AF950" s="85"/>
      <c r="AG950" s="81"/>
      <c r="AH950" s="86"/>
      <c r="AI950" s="63"/>
      <c r="AJ950" s="63"/>
      <c r="AK950" s="87">
        <f t="shared" si="103"/>
        <v>22831667</v>
      </c>
      <c r="AL950" s="86"/>
      <c r="AM950" s="86">
        <f t="shared" si="101"/>
        <v>0</v>
      </c>
      <c r="AN950" s="63" t="s">
        <v>1155</v>
      </c>
      <c r="AO950" s="86">
        <f t="shared" si="102"/>
        <v>22831667</v>
      </c>
      <c r="AP950" s="63"/>
      <c r="AQ950" s="81">
        <v>43367</v>
      </c>
      <c r="AR950" s="63" t="s">
        <v>2109</v>
      </c>
      <c r="AS950" s="81">
        <v>43368</v>
      </c>
      <c r="AT950" s="63" t="s">
        <v>1453</v>
      </c>
      <c r="AU950" s="220"/>
      <c r="AV950" s="220"/>
      <c r="AW950" s="220"/>
    </row>
    <row r="951" spans="1:49" s="221" customFormat="1" ht="299.25" x14ac:dyDescent="0.25">
      <c r="A951" s="63">
        <v>537</v>
      </c>
      <c r="B951" s="63" t="str">
        <f t="shared" si="99"/>
        <v>3075-537</v>
      </c>
      <c r="C951" s="76" t="s">
        <v>1141</v>
      </c>
      <c r="D951" s="76" t="s">
        <v>1142</v>
      </c>
      <c r="E951" s="76" t="s">
        <v>1143</v>
      </c>
      <c r="F951" s="76" t="s">
        <v>1158</v>
      </c>
      <c r="G951" s="77" t="s">
        <v>1159</v>
      </c>
      <c r="H951" s="78" t="s">
        <v>1160</v>
      </c>
      <c r="I951" s="76" t="s">
        <v>1147</v>
      </c>
      <c r="J951" s="76" t="s">
        <v>1148</v>
      </c>
      <c r="K951" s="76">
        <v>80111600</v>
      </c>
      <c r="L951" s="63" t="s">
        <v>1149</v>
      </c>
      <c r="M951" s="63" t="s">
        <v>58</v>
      </c>
      <c r="N951" s="63" t="s">
        <v>59</v>
      </c>
      <c r="O951" s="76" t="s">
        <v>1213</v>
      </c>
      <c r="P951" s="76" t="s">
        <v>1496</v>
      </c>
      <c r="Q951" s="83">
        <v>7210000</v>
      </c>
      <c r="R951" s="63">
        <v>1</v>
      </c>
      <c r="S951" s="80">
        <v>22831667</v>
      </c>
      <c r="T951" s="63"/>
      <c r="U951" s="63" t="s">
        <v>1163</v>
      </c>
      <c r="V951" s="81" t="s">
        <v>875</v>
      </c>
      <c r="W951" s="82">
        <v>3</v>
      </c>
      <c r="X951" s="63" t="s">
        <v>2679</v>
      </c>
      <c r="Y951" s="81">
        <v>43368</v>
      </c>
      <c r="Z951" s="83">
        <v>22831667</v>
      </c>
      <c r="AA951" s="84" t="s">
        <v>2680</v>
      </c>
      <c r="AB951" s="85">
        <v>1188</v>
      </c>
      <c r="AC951" s="81">
        <v>43369</v>
      </c>
      <c r="AD951" s="86">
        <v>22831667</v>
      </c>
      <c r="AE951" s="87">
        <f t="shared" si="98"/>
        <v>0</v>
      </c>
      <c r="AF951" s="85"/>
      <c r="AG951" s="81"/>
      <c r="AH951" s="86"/>
      <c r="AI951" s="63"/>
      <c r="AJ951" s="63"/>
      <c r="AK951" s="87">
        <f t="shared" si="103"/>
        <v>22831667</v>
      </c>
      <c r="AL951" s="86"/>
      <c r="AM951" s="86">
        <f t="shared" si="101"/>
        <v>0</v>
      </c>
      <c r="AN951" s="63" t="s">
        <v>1155</v>
      </c>
      <c r="AO951" s="86">
        <f t="shared" si="102"/>
        <v>22831667</v>
      </c>
      <c r="AP951" s="63"/>
      <c r="AQ951" s="81">
        <v>43367</v>
      </c>
      <c r="AR951" s="63" t="s">
        <v>2109</v>
      </c>
      <c r="AS951" s="81">
        <v>43368</v>
      </c>
      <c r="AT951" s="63" t="s">
        <v>1453</v>
      </c>
      <c r="AU951" s="220"/>
      <c r="AV951" s="220"/>
      <c r="AW951" s="220"/>
    </row>
    <row r="952" spans="1:49" s="221" customFormat="1" ht="299.25" x14ac:dyDescent="0.25">
      <c r="A952" s="63">
        <v>538</v>
      </c>
      <c r="B952" s="63" t="str">
        <f t="shared" si="99"/>
        <v>3075-538</v>
      </c>
      <c r="C952" s="76" t="s">
        <v>1141</v>
      </c>
      <c r="D952" s="76" t="s">
        <v>1142</v>
      </c>
      <c r="E952" s="76" t="s">
        <v>1143</v>
      </c>
      <c r="F952" s="76" t="s">
        <v>1158</v>
      </c>
      <c r="G952" s="77" t="s">
        <v>1159</v>
      </c>
      <c r="H952" s="78" t="s">
        <v>1160</v>
      </c>
      <c r="I952" s="76" t="s">
        <v>1147</v>
      </c>
      <c r="J952" s="76" t="s">
        <v>1148</v>
      </c>
      <c r="K952" s="76">
        <v>80111600</v>
      </c>
      <c r="L952" s="63" t="s">
        <v>1149</v>
      </c>
      <c r="M952" s="63" t="s">
        <v>58</v>
      </c>
      <c r="N952" s="63" t="s">
        <v>59</v>
      </c>
      <c r="O952" s="76" t="s">
        <v>1213</v>
      </c>
      <c r="P952" s="76" t="s">
        <v>1276</v>
      </c>
      <c r="Q952" s="83">
        <v>2472000</v>
      </c>
      <c r="R952" s="63">
        <v>1</v>
      </c>
      <c r="S952" s="80">
        <v>7828000</v>
      </c>
      <c r="T952" s="63"/>
      <c r="U952" s="63" t="s">
        <v>1163</v>
      </c>
      <c r="V952" s="81" t="s">
        <v>875</v>
      </c>
      <c r="W952" s="82">
        <v>3</v>
      </c>
      <c r="X952" s="90" t="s">
        <v>2681</v>
      </c>
      <c r="Y952" s="81">
        <v>43368</v>
      </c>
      <c r="Z952" s="83">
        <v>7828000</v>
      </c>
      <c r="AA952" s="84" t="s">
        <v>2682</v>
      </c>
      <c r="AB952" s="85">
        <v>1190</v>
      </c>
      <c r="AC952" s="81">
        <v>43369</v>
      </c>
      <c r="AD952" s="86">
        <v>7828000</v>
      </c>
      <c r="AE952" s="87">
        <f t="shared" si="98"/>
        <v>0</v>
      </c>
      <c r="AF952" s="85"/>
      <c r="AG952" s="81"/>
      <c r="AH952" s="86"/>
      <c r="AI952" s="63"/>
      <c r="AJ952" s="63"/>
      <c r="AK952" s="87">
        <f t="shared" si="103"/>
        <v>7828000</v>
      </c>
      <c r="AL952" s="86">
        <v>0</v>
      </c>
      <c r="AM952" s="86">
        <f t="shared" si="101"/>
        <v>0</v>
      </c>
      <c r="AN952" s="63" t="s">
        <v>1155</v>
      </c>
      <c r="AO952" s="86">
        <f t="shared" si="102"/>
        <v>7828000</v>
      </c>
      <c r="AP952" s="63"/>
      <c r="AQ952" s="81">
        <v>43367</v>
      </c>
      <c r="AR952" s="63" t="s">
        <v>2109</v>
      </c>
      <c r="AS952" s="81">
        <v>43368</v>
      </c>
      <c r="AT952" s="63" t="s">
        <v>1453</v>
      </c>
      <c r="AU952" s="220"/>
      <c r="AV952" s="220"/>
      <c r="AW952" s="220"/>
    </row>
    <row r="953" spans="1:49" s="221" customFormat="1" ht="299.25" x14ac:dyDescent="0.25">
      <c r="A953" s="63">
        <v>539</v>
      </c>
      <c r="B953" s="63" t="str">
        <f t="shared" si="99"/>
        <v>3075-539</v>
      </c>
      <c r="C953" s="76" t="s">
        <v>1141</v>
      </c>
      <c r="D953" s="76" t="s">
        <v>1142</v>
      </c>
      <c r="E953" s="76" t="s">
        <v>1143</v>
      </c>
      <c r="F953" s="76" t="s">
        <v>1158</v>
      </c>
      <c r="G953" s="77" t="s">
        <v>1159</v>
      </c>
      <c r="H953" s="78" t="s">
        <v>1160</v>
      </c>
      <c r="I953" s="76" t="s">
        <v>1147</v>
      </c>
      <c r="J953" s="76" t="s">
        <v>1148</v>
      </c>
      <c r="K953" s="76">
        <v>93141506</v>
      </c>
      <c r="L953" s="63" t="s">
        <v>1149</v>
      </c>
      <c r="M953" s="63" t="s">
        <v>58</v>
      </c>
      <c r="N953" s="63" t="s">
        <v>59</v>
      </c>
      <c r="O953" s="76" t="s">
        <v>1213</v>
      </c>
      <c r="P953" s="76" t="s">
        <v>2683</v>
      </c>
      <c r="Q953" s="83">
        <v>3326900</v>
      </c>
      <c r="R953" s="63">
        <v>1</v>
      </c>
      <c r="S953" s="80">
        <v>10535183</v>
      </c>
      <c r="T953" s="63"/>
      <c r="U953" s="63" t="s">
        <v>1163</v>
      </c>
      <c r="V953" s="81" t="s">
        <v>875</v>
      </c>
      <c r="W953" s="82">
        <v>3</v>
      </c>
      <c r="X953" s="63" t="s">
        <v>2684</v>
      </c>
      <c r="Y953" s="81">
        <v>43368</v>
      </c>
      <c r="Z953" s="83">
        <v>10535183</v>
      </c>
      <c r="AA953" s="84" t="s">
        <v>2685</v>
      </c>
      <c r="AB953" s="85">
        <v>1192</v>
      </c>
      <c r="AC953" s="81">
        <v>43369</v>
      </c>
      <c r="AD953" s="86">
        <v>10535183</v>
      </c>
      <c r="AE953" s="87">
        <f t="shared" si="98"/>
        <v>0</v>
      </c>
      <c r="AF953" s="85"/>
      <c r="AG953" s="81"/>
      <c r="AH953" s="86"/>
      <c r="AI953" s="63"/>
      <c r="AJ953" s="63"/>
      <c r="AK953" s="87">
        <f t="shared" si="103"/>
        <v>10535183</v>
      </c>
      <c r="AL953" s="86">
        <v>0</v>
      </c>
      <c r="AM953" s="86">
        <f t="shared" si="101"/>
        <v>0</v>
      </c>
      <c r="AN953" s="63" t="s">
        <v>1155</v>
      </c>
      <c r="AO953" s="86">
        <f t="shared" si="102"/>
        <v>10535183</v>
      </c>
      <c r="AP953" s="63"/>
      <c r="AQ953" s="81">
        <v>43367</v>
      </c>
      <c r="AR953" s="63" t="s">
        <v>2109</v>
      </c>
      <c r="AS953" s="81">
        <v>43368</v>
      </c>
      <c r="AT953" s="63" t="s">
        <v>1453</v>
      </c>
      <c r="AU953" s="220"/>
      <c r="AV953" s="220"/>
      <c r="AW953" s="220"/>
    </row>
    <row r="954" spans="1:49" s="221" customFormat="1" ht="299.25" x14ac:dyDescent="0.25">
      <c r="A954" s="63">
        <v>540</v>
      </c>
      <c r="B954" s="63" t="str">
        <f t="shared" si="99"/>
        <v>3075-540</v>
      </c>
      <c r="C954" s="76" t="s">
        <v>1141</v>
      </c>
      <c r="D954" s="76" t="s">
        <v>1142</v>
      </c>
      <c r="E954" s="76" t="s">
        <v>1143</v>
      </c>
      <c r="F954" s="76" t="s">
        <v>1158</v>
      </c>
      <c r="G954" s="77" t="s">
        <v>1159</v>
      </c>
      <c r="H954" s="78" t="s">
        <v>1160</v>
      </c>
      <c r="I954" s="76" t="s">
        <v>1147</v>
      </c>
      <c r="J954" s="76" t="s">
        <v>1148</v>
      </c>
      <c r="K954" s="76">
        <v>80111600</v>
      </c>
      <c r="L954" s="63" t="s">
        <v>1149</v>
      </c>
      <c r="M954" s="63" t="s">
        <v>58</v>
      </c>
      <c r="N954" s="63" t="s">
        <v>59</v>
      </c>
      <c r="O954" s="76" t="s">
        <v>1213</v>
      </c>
      <c r="P954" s="76" t="s">
        <v>1566</v>
      </c>
      <c r="Q954" s="83">
        <v>5665000</v>
      </c>
      <c r="R954" s="63">
        <v>1</v>
      </c>
      <c r="S954" s="80">
        <v>16050833</v>
      </c>
      <c r="T954" s="63"/>
      <c r="U954" s="63" t="s">
        <v>1163</v>
      </c>
      <c r="V954" s="81" t="s">
        <v>875</v>
      </c>
      <c r="W954" s="82">
        <v>3</v>
      </c>
      <c r="X954" s="63" t="s">
        <v>2686</v>
      </c>
      <c r="Y954" s="81">
        <v>43368</v>
      </c>
      <c r="Z954" s="83">
        <v>16050833</v>
      </c>
      <c r="AA954" s="84" t="s">
        <v>2687</v>
      </c>
      <c r="AB954" s="85">
        <v>1183</v>
      </c>
      <c r="AC954" s="81">
        <v>43369</v>
      </c>
      <c r="AD954" s="86">
        <v>16050833</v>
      </c>
      <c r="AE954" s="87">
        <f t="shared" si="98"/>
        <v>0</v>
      </c>
      <c r="AF954" s="85"/>
      <c r="AG954" s="81"/>
      <c r="AH954" s="86"/>
      <c r="AI954" s="63"/>
      <c r="AJ954" s="63"/>
      <c r="AK954" s="87">
        <f t="shared" si="103"/>
        <v>16050833</v>
      </c>
      <c r="AL954" s="86"/>
      <c r="AM954" s="86">
        <f t="shared" si="101"/>
        <v>0</v>
      </c>
      <c r="AN954" s="63" t="s">
        <v>1155</v>
      </c>
      <c r="AO954" s="86">
        <f t="shared" si="102"/>
        <v>16050833</v>
      </c>
      <c r="AP954" s="63"/>
      <c r="AQ954" s="81">
        <v>43368</v>
      </c>
      <c r="AR954" s="63" t="s">
        <v>2109</v>
      </c>
      <c r="AS954" s="81">
        <v>43368</v>
      </c>
      <c r="AT954" s="63" t="s">
        <v>1453</v>
      </c>
      <c r="AU954" s="220"/>
      <c r="AV954" s="220"/>
      <c r="AW954" s="220"/>
    </row>
    <row r="955" spans="1:49" s="221" customFormat="1" ht="356.25" x14ac:dyDescent="0.25">
      <c r="A955" s="63">
        <v>541</v>
      </c>
      <c r="B955" s="63" t="str">
        <f t="shared" si="99"/>
        <v>3075-541</v>
      </c>
      <c r="C955" s="76" t="s">
        <v>1141</v>
      </c>
      <c r="D955" s="76" t="s">
        <v>1142</v>
      </c>
      <c r="E955" s="76" t="s">
        <v>1143</v>
      </c>
      <c r="F955" s="76" t="s">
        <v>1158</v>
      </c>
      <c r="G955" s="77" t="s">
        <v>1159</v>
      </c>
      <c r="H955" s="78" t="s">
        <v>1160</v>
      </c>
      <c r="I955" s="76" t="s">
        <v>1147</v>
      </c>
      <c r="J955" s="76" t="s">
        <v>1148</v>
      </c>
      <c r="K955" s="76">
        <v>93151501</v>
      </c>
      <c r="L955" s="63" t="s">
        <v>1149</v>
      </c>
      <c r="M955" s="63" t="s">
        <v>58</v>
      </c>
      <c r="N955" s="63" t="s">
        <v>59</v>
      </c>
      <c r="O955" s="76" t="s">
        <v>1213</v>
      </c>
      <c r="P955" s="76" t="s">
        <v>2688</v>
      </c>
      <c r="Q955" s="79">
        <v>4532000</v>
      </c>
      <c r="R955" s="63">
        <v>1</v>
      </c>
      <c r="S955" s="80">
        <f t="shared" ref="S955:S974" si="104">Q955*R955*W955</f>
        <v>27192000</v>
      </c>
      <c r="T955" s="63"/>
      <c r="U955" s="63" t="s">
        <v>1163</v>
      </c>
      <c r="V955" s="81" t="s">
        <v>875</v>
      </c>
      <c r="W955" s="82">
        <v>6</v>
      </c>
      <c r="X955" s="63" t="s">
        <v>2689</v>
      </c>
      <c r="Y955" s="81">
        <v>43369</v>
      </c>
      <c r="Z955" s="83">
        <v>27192000</v>
      </c>
      <c r="AA955" s="84" t="s">
        <v>2185</v>
      </c>
      <c r="AB955" s="85">
        <v>1222</v>
      </c>
      <c r="AC955" s="81">
        <v>43370</v>
      </c>
      <c r="AD955" s="86">
        <v>27192000</v>
      </c>
      <c r="AE955" s="87">
        <f t="shared" si="98"/>
        <v>0</v>
      </c>
      <c r="AF955" s="85"/>
      <c r="AG955" s="81"/>
      <c r="AH955" s="86"/>
      <c r="AI955" s="63"/>
      <c r="AJ955" s="63"/>
      <c r="AK955" s="87">
        <f t="shared" si="103"/>
        <v>27192000</v>
      </c>
      <c r="AL955" s="86"/>
      <c r="AM955" s="86">
        <f t="shared" si="101"/>
        <v>0</v>
      </c>
      <c r="AN955" s="63" t="s">
        <v>1155</v>
      </c>
      <c r="AO955" s="86">
        <f t="shared" si="102"/>
        <v>27192000</v>
      </c>
      <c r="AP955" s="63"/>
      <c r="AQ955" s="81">
        <v>43368</v>
      </c>
      <c r="AR955" s="63" t="s">
        <v>2109</v>
      </c>
      <c r="AS955" s="81">
        <v>43369</v>
      </c>
      <c r="AT955" s="63" t="s">
        <v>1453</v>
      </c>
      <c r="AU955" s="220"/>
      <c r="AV955" s="220"/>
      <c r="AW955" s="220"/>
    </row>
    <row r="956" spans="1:49" s="221" customFormat="1" ht="409.5" x14ac:dyDescent="0.25">
      <c r="A956" s="63">
        <v>542</v>
      </c>
      <c r="B956" s="63" t="str">
        <f t="shared" si="99"/>
        <v>3075-542</v>
      </c>
      <c r="C956" s="76" t="s">
        <v>1141</v>
      </c>
      <c r="D956" s="76" t="s">
        <v>1142</v>
      </c>
      <c r="E956" s="76" t="s">
        <v>1143</v>
      </c>
      <c r="F956" s="76" t="s">
        <v>1158</v>
      </c>
      <c r="G956" s="77" t="s">
        <v>1159</v>
      </c>
      <c r="H956" s="78" t="s">
        <v>1160</v>
      </c>
      <c r="I956" s="76" t="s">
        <v>1147</v>
      </c>
      <c r="J956" s="76" t="s">
        <v>1148</v>
      </c>
      <c r="K956" s="76">
        <v>80111600</v>
      </c>
      <c r="L956" s="63" t="s">
        <v>1149</v>
      </c>
      <c r="M956" s="63" t="s">
        <v>58</v>
      </c>
      <c r="N956" s="63" t="s">
        <v>59</v>
      </c>
      <c r="O956" s="76" t="s">
        <v>1213</v>
      </c>
      <c r="P956" s="76" t="s">
        <v>2690</v>
      </c>
      <c r="Q956" s="79">
        <v>4532000</v>
      </c>
      <c r="R956" s="63">
        <v>1</v>
      </c>
      <c r="S956" s="80">
        <f t="shared" si="104"/>
        <v>27192000</v>
      </c>
      <c r="T956" s="63"/>
      <c r="U956" s="63" t="s">
        <v>1163</v>
      </c>
      <c r="V956" s="81" t="s">
        <v>875</v>
      </c>
      <c r="W956" s="82">
        <v>6</v>
      </c>
      <c r="X956" s="90" t="s">
        <v>2691</v>
      </c>
      <c r="Y956" s="81">
        <v>43369</v>
      </c>
      <c r="Z956" s="83">
        <v>27192000</v>
      </c>
      <c r="AA956" s="84" t="s">
        <v>2185</v>
      </c>
      <c r="AB956" s="85">
        <v>1225</v>
      </c>
      <c r="AC956" s="81">
        <v>43370</v>
      </c>
      <c r="AD956" s="86">
        <v>27192000</v>
      </c>
      <c r="AE956" s="87">
        <f t="shared" si="98"/>
        <v>0</v>
      </c>
      <c r="AF956" s="85"/>
      <c r="AG956" s="81"/>
      <c r="AH956" s="86"/>
      <c r="AI956" s="63"/>
      <c r="AJ956" s="63"/>
      <c r="AK956" s="87">
        <f t="shared" si="103"/>
        <v>27192000</v>
      </c>
      <c r="AL956" s="86"/>
      <c r="AM956" s="86">
        <f t="shared" si="101"/>
        <v>0</v>
      </c>
      <c r="AN956" s="63" t="s">
        <v>1155</v>
      </c>
      <c r="AO956" s="86">
        <f t="shared" si="102"/>
        <v>27192000</v>
      </c>
      <c r="AP956" s="63"/>
      <c r="AQ956" s="81">
        <v>43368</v>
      </c>
      <c r="AR956" s="63" t="s">
        <v>2109</v>
      </c>
      <c r="AS956" s="81">
        <v>43369</v>
      </c>
      <c r="AT956" s="63" t="s">
        <v>1453</v>
      </c>
      <c r="AU956" s="220"/>
      <c r="AV956" s="220"/>
      <c r="AW956" s="220"/>
    </row>
    <row r="957" spans="1:49" s="221" customFormat="1" ht="409.5" x14ac:dyDescent="0.25">
      <c r="A957" s="63">
        <v>543</v>
      </c>
      <c r="B957" s="63" t="str">
        <f t="shared" si="99"/>
        <v>3075-543</v>
      </c>
      <c r="C957" s="76" t="s">
        <v>1141</v>
      </c>
      <c r="D957" s="76" t="s">
        <v>1142</v>
      </c>
      <c r="E957" s="76" t="s">
        <v>1143</v>
      </c>
      <c r="F957" s="76" t="s">
        <v>1158</v>
      </c>
      <c r="G957" s="77" t="s">
        <v>1159</v>
      </c>
      <c r="H957" s="78" t="s">
        <v>1160</v>
      </c>
      <c r="I957" s="76" t="s">
        <v>1147</v>
      </c>
      <c r="J957" s="76" t="s">
        <v>1148</v>
      </c>
      <c r="K957" s="76">
        <v>80111600</v>
      </c>
      <c r="L957" s="63" t="s">
        <v>1149</v>
      </c>
      <c r="M957" s="63" t="s">
        <v>58</v>
      </c>
      <c r="N957" s="63" t="s">
        <v>59</v>
      </c>
      <c r="O957" s="76" t="s">
        <v>1213</v>
      </c>
      <c r="P957" s="76" t="s">
        <v>2692</v>
      </c>
      <c r="Q957" s="79">
        <v>4532000</v>
      </c>
      <c r="R957" s="63">
        <v>1</v>
      </c>
      <c r="S957" s="80">
        <f t="shared" si="104"/>
        <v>27192000</v>
      </c>
      <c r="T957" s="63"/>
      <c r="U957" s="63" t="s">
        <v>1163</v>
      </c>
      <c r="V957" s="81" t="s">
        <v>875</v>
      </c>
      <c r="W957" s="82">
        <v>6</v>
      </c>
      <c r="X957" s="63" t="s">
        <v>2693</v>
      </c>
      <c r="Y957" s="81">
        <v>43369</v>
      </c>
      <c r="Z957" s="83">
        <v>27192000</v>
      </c>
      <c r="AA957" s="84" t="s">
        <v>2185</v>
      </c>
      <c r="AB957" s="85">
        <v>1224</v>
      </c>
      <c r="AC957" s="81">
        <v>43370</v>
      </c>
      <c r="AD957" s="86">
        <v>27192000</v>
      </c>
      <c r="AE957" s="87">
        <f t="shared" si="98"/>
        <v>0</v>
      </c>
      <c r="AF957" s="85"/>
      <c r="AG957" s="81"/>
      <c r="AH957" s="86"/>
      <c r="AI957" s="63"/>
      <c r="AJ957" s="63"/>
      <c r="AK957" s="87">
        <f t="shared" si="103"/>
        <v>27192000</v>
      </c>
      <c r="AL957" s="86"/>
      <c r="AM957" s="86">
        <f t="shared" si="101"/>
        <v>0</v>
      </c>
      <c r="AN957" s="63" t="s">
        <v>1155</v>
      </c>
      <c r="AO957" s="86">
        <f t="shared" si="102"/>
        <v>27192000</v>
      </c>
      <c r="AP957" s="63"/>
      <c r="AQ957" s="81">
        <v>43368</v>
      </c>
      <c r="AR957" s="63" t="s">
        <v>2109</v>
      </c>
      <c r="AS957" s="81">
        <v>43369</v>
      </c>
      <c r="AT957" s="63" t="s">
        <v>1453</v>
      </c>
      <c r="AU957" s="220"/>
      <c r="AV957" s="220"/>
      <c r="AW957" s="220"/>
    </row>
    <row r="958" spans="1:49" s="221" customFormat="1" ht="409.5" x14ac:dyDescent="0.25">
      <c r="A958" s="63">
        <v>544</v>
      </c>
      <c r="B958" s="63" t="str">
        <f t="shared" si="99"/>
        <v>3075-544</v>
      </c>
      <c r="C958" s="76" t="s">
        <v>1141</v>
      </c>
      <c r="D958" s="76" t="s">
        <v>1142</v>
      </c>
      <c r="E958" s="76" t="s">
        <v>1143</v>
      </c>
      <c r="F958" s="76" t="s">
        <v>1158</v>
      </c>
      <c r="G958" s="77" t="s">
        <v>1159</v>
      </c>
      <c r="H958" s="78" t="s">
        <v>1160</v>
      </c>
      <c r="I958" s="76" t="s">
        <v>1147</v>
      </c>
      <c r="J958" s="76" t="s">
        <v>1148</v>
      </c>
      <c r="K958" s="76">
        <v>80111600</v>
      </c>
      <c r="L958" s="63" t="s">
        <v>1149</v>
      </c>
      <c r="M958" s="63" t="s">
        <v>58</v>
      </c>
      <c r="N958" s="63" t="s">
        <v>59</v>
      </c>
      <c r="O958" s="76" t="s">
        <v>1213</v>
      </c>
      <c r="P958" s="76" t="s">
        <v>2692</v>
      </c>
      <c r="Q958" s="79">
        <v>4532000</v>
      </c>
      <c r="R958" s="63">
        <v>1</v>
      </c>
      <c r="S958" s="80">
        <f t="shared" si="104"/>
        <v>27192000</v>
      </c>
      <c r="T958" s="63"/>
      <c r="U958" s="63" t="s">
        <v>1163</v>
      </c>
      <c r="V958" s="81" t="s">
        <v>875</v>
      </c>
      <c r="W958" s="82">
        <v>6</v>
      </c>
      <c r="X958" s="63" t="s">
        <v>2694</v>
      </c>
      <c r="Y958" s="81">
        <v>43369</v>
      </c>
      <c r="Z958" s="83">
        <v>27192000</v>
      </c>
      <c r="AA958" s="84" t="s">
        <v>2185</v>
      </c>
      <c r="AB958" s="85">
        <v>1223</v>
      </c>
      <c r="AC958" s="81">
        <v>43370</v>
      </c>
      <c r="AD958" s="86">
        <v>27192000</v>
      </c>
      <c r="AE958" s="87">
        <f t="shared" si="98"/>
        <v>0</v>
      </c>
      <c r="AF958" s="85"/>
      <c r="AG958" s="81"/>
      <c r="AH958" s="86"/>
      <c r="AI958" s="63"/>
      <c r="AJ958" s="63"/>
      <c r="AK958" s="87">
        <f t="shared" si="103"/>
        <v>27192000</v>
      </c>
      <c r="AL958" s="86"/>
      <c r="AM958" s="86">
        <f t="shared" si="101"/>
        <v>0</v>
      </c>
      <c r="AN958" s="63" t="s">
        <v>1155</v>
      </c>
      <c r="AO958" s="86">
        <f t="shared" si="102"/>
        <v>27192000</v>
      </c>
      <c r="AP958" s="63"/>
      <c r="AQ958" s="81">
        <v>43368</v>
      </c>
      <c r="AR958" s="63" t="s">
        <v>2109</v>
      </c>
      <c r="AS958" s="81">
        <v>43369</v>
      </c>
      <c r="AT958" s="63" t="s">
        <v>1453</v>
      </c>
      <c r="AU958" s="220"/>
      <c r="AV958" s="220"/>
      <c r="AW958" s="220"/>
    </row>
    <row r="959" spans="1:49" s="221" customFormat="1" ht="399" x14ac:dyDescent="0.25">
      <c r="A959" s="63">
        <v>545</v>
      </c>
      <c r="B959" s="63" t="str">
        <f t="shared" si="99"/>
        <v>3075-545</v>
      </c>
      <c r="C959" s="76" t="s">
        <v>1141</v>
      </c>
      <c r="D959" s="76" t="s">
        <v>1142</v>
      </c>
      <c r="E959" s="76" t="s">
        <v>1143</v>
      </c>
      <c r="F959" s="76" t="s">
        <v>1158</v>
      </c>
      <c r="G959" s="77" t="s">
        <v>1159</v>
      </c>
      <c r="H959" s="78" t="s">
        <v>1160</v>
      </c>
      <c r="I959" s="76" t="s">
        <v>1147</v>
      </c>
      <c r="J959" s="76" t="s">
        <v>1148</v>
      </c>
      <c r="K959" s="76">
        <v>80111600</v>
      </c>
      <c r="L959" s="63" t="s">
        <v>1149</v>
      </c>
      <c r="M959" s="63" t="s">
        <v>58</v>
      </c>
      <c r="N959" s="63" t="s">
        <v>59</v>
      </c>
      <c r="O959" s="76" t="s">
        <v>1213</v>
      </c>
      <c r="P959" s="76" t="s">
        <v>2695</v>
      </c>
      <c r="Q959" s="79">
        <v>4120000</v>
      </c>
      <c r="R959" s="63">
        <v>1</v>
      </c>
      <c r="S959" s="80">
        <f t="shared" si="104"/>
        <v>24720000</v>
      </c>
      <c r="T959" s="63"/>
      <c r="U959" s="63" t="s">
        <v>1163</v>
      </c>
      <c r="V959" s="81" t="s">
        <v>875</v>
      </c>
      <c r="W959" s="82">
        <v>6</v>
      </c>
      <c r="X959" s="63" t="s">
        <v>2696</v>
      </c>
      <c r="Y959" s="81">
        <v>43369</v>
      </c>
      <c r="Z959" s="83">
        <v>24720000</v>
      </c>
      <c r="AA959" s="84" t="s">
        <v>2185</v>
      </c>
      <c r="AB959" s="85">
        <v>1226</v>
      </c>
      <c r="AC959" s="81">
        <v>43370</v>
      </c>
      <c r="AD959" s="86">
        <v>24720000</v>
      </c>
      <c r="AE959" s="87">
        <f t="shared" si="98"/>
        <v>0</v>
      </c>
      <c r="AF959" s="85"/>
      <c r="AG959" s="81"/>
      <c r="AH959" s="86"/>
      <c r="AI959" s="63"/>
      <c r="AJ959" s="63"/>
      <c r="AK959" s="87">
        <f t="shared" si="103"/>
        <v>24720000</v>
      </c>
      <c r="AL959" s="86"/>
      <c r="AM959" s="86">
        <f t="shared" si="101"/>
        <v>0</v>
      </c>
      <c r="AN959" s="63" t="s">
        <v>1155</v>
      </c>
      <c r="AO959" s="86">
        <f t="shared" si="102"/>
        <v>24720000</v>
      </c>
      <c r="AP959" s="63"/>
      <c r="AQ959" s="81">
        <v>43368</v>
      </c>
      <c r="AR959" s="63" t="s">
        <v>2109</v>
      </c>
      <c r="AS959" s="81">
        <v>43369</v>
      </c>
      <c r="AT959" s="63" t="s">
        <v>1453</v>
      </c>
      <c r="AU959" s="220"/>
      <c r="AV959" s="220"/>
      <c r="AW959" s="220"/>
    </row>
    <row r="960" spans="1:49" s="221" customFormat="1" ht="409.5" x14ac:dyDescent="0.25">
      <c r="A960" s="63">
        <v>546</v>
      </c>
      <c r="B960" s="63" t="str">
        <f t="shared" si="99"/>
        <v>3075-546</v>
      </c>
      <c r="C960" s="76" t="s">
        <v>1141</v>
      </c>
      <c r="D960" s="76" t="s">
        <v>1142</v>
      </c>
      <c r="E960" s="76" t="s">
        <v>1143</v>
      </c>
      <c r="F960" s="76" t="s">
        <v>1158</v>
      </c>
      <c r="G960" s="77" t="s">
        <v>1159</v>
      </c>
      <c r="H960" s="78" t="s">
        <v>1160</v>
      </c>
      <c r="I960" s="76" t="s">
        <v>1147</v>
      </c>
      <c r="J960" s="76" t="s">
        <v>1148</v>
      </c>
      <c r="K960" s="76">
        <v>80111600</v>
      </c>
      <c r="L960" s="63" t="s">
        <v>1149</v>
      </c>
      <c r="M960" s="63" t="s">
        <v>58</v>
      </c>
      <c r="N960" s="63" t="s">
        <v>59</v>
      </c>
      <c r="O960" s="76" t="s">
        <v>1213</v>
      </c>
      <c r="P960" s="76" t="s">
        <v>2697</v>
      </c>
      <c r="Q960" s="79">
        <v>1545000</v>
      </c>
      <c r="R960" s="63">
        <v>1</v>
      </c>
      <c r="S960" s="80">
        <f t="shared" si="104"/>
        <v>9270000</v>
      </c>
      <c r="T960" s="63"/>
      <c r="U960" s="63" t="s">
        <v>1163</v>
      </c>
      <c r="V960" s="81" t="s">
        <v>875</v>
      </c>
      <c r="W960" s="82">
        <v>6</v>
      </c>
      <c r="X960" s="90" t="s">
        <v>2698</v>
      </c>
      <c r="Y960" s="81">
        <v>43369</v>
      </c>
      <c r="Z960" s="83">
        <v>9270000</v>
      </c>
      <c r="AA960" s="84" t="s">
        <v>2185</v>
      </c>
      <c r="AB960" s="85">
        <v>1204</v>
      </c>
      <c r="AC960" s="81">
        <v>43370</v>
      </c>
      <c r="AD960" s="86">
        <v>9270000</v>
      </c>
      <c r="AE960" s="87">
        <f t="shared" si="98"/>
        <v>0</v>
      </c>
      <c r="AF960" s="85"/>
      <c r="AG960" s="81"/>
      <c r="AH960" s="86"/>
      <c r="AI960" s="63"/>
      <c r="AJ960" s="63"/>
      <c r="AK960" s="87">
        <f t="shared" si="103"/>
        <v>9270000</v>
      </c>
      <c r="AL960" s="86"/>
      <c r="AM960" s="86">
        <f t="shared" si="101"/>
        <v>0</v>
      </c>
      <c r="AN960" s="63" t="s">
        <v>1155</v>
      </c>
      <c r="AO960" s="86">
        <f t="shared" si="102"/>
        <v>9270000</v>
      </c>
      <c r="AP960" s="63"/>
      <c r="AQ960" s="81">
        <v>43368</v>
      </c>
      <c r="AR960" s="63" t="s">
        <v>2109</v>
      </c>
      <c r="AS960" s="81">
        <v>43369</v>
      </c>
      <c r="AT960" s="63" t="s">
        <v>1453</v>
      </c>
      <c r="AU960" s="220"/>
      <c r="AV960" s="220"/>
      <c r="AW960" s="220"/>
    </row>
    <row r="961" spans="1:49" s="221" customFormat="1" ht="399" x14ac:dyDescent="0.25">
      <c r="A961" s="63">
        <v>547</v>
      </c>
      <c r="B961" s="63" t="str">
        <f t="shared" si="99"/>
        <v>3075-547</v>
      </c>
      <c r="C961" s="76" t="s">
        <v>1141</v>
      </c>
      <c r="D961" s="76" t="s">
        <v>1142</v>
      </c>
      <c r="E961" s="76" t="s">
        <v>1143</v>
      </c>
      <c r="F961" s="76" t="s">
        <v>1158</v>
      </c>
      <c r="G961" s="77" t="s">
        <v>1159</v>
      </c>
      <c r="H961" s="78" t="s">
        <v>1160</v>
      </c>
      <c r="I961" s="76" t="s">
        <v>1147</v>
      </c>
      <c r="J961" s="76" t="s">
        <v>1148</v>
      </c>
      <c r="K961" s="76">
        <v>80111600</v>
      </c>
      <c r="L961" s="63" t="s">
        <v>1149</v>
      </c>
      <c r="M961" s="63" t="s">
        <v>58</v>
      </c>
      <c r="N961" s="63" t="s">
        <v>59</v>
      </c>
      <c r="O961" s="76" t="s">
        <v>1213</v>
      </c>
      <c r="P961" s="76" t="s">
        <v>2695</v>
      </c>
      <c r="Q961" s="79">
        <v>3553500</v>
      </c>
      <c r="R961" s="63">
        <v>1</v>
      </c>
      <c r="S961" s="80">
        <f t="shared" si="104"/>
        <v>21321000</v>
      </c>
      <c r="T961" s="63"/>
      <c r="U961" s="63" t="s">
        <v>1163</v>
      </c>
      <c r="V961" s="81" t="s">
        <v>875</v>
      </c>
      <c r="W961" s="82">
        <v>6</v>
      </c>
      <c r="X961" s="63" t="s">
        <v>2699</v>
      </c>
      <c r="Y961" s="81">
        <v>43369</v>
      </c>
      <c r="Z961" s="83">
        <v>21321000</v>
      </c>
      <c r="AA961" s="84" t="s">
        <v>2185</v>
      </c>
      <c r="AB961" s="85">
        <v>1217</v>
      </c>
      <c r="AC961" s="81">
        <v>43370</v>
      </c>
      <c r="AD961" s="86">
        <v>21321000</v>
      </c>
      <c r="AE961" s="87">
        <f t="shared" si="98"/>
        <v>0</v>
      </c>
      <c r="AF961" s="85"/>
      <c r="AG961" s="81"/>
      <c r="AH961" s="86"/>
      <c r="AI961" s="63"/>
      <c r="AJ961" s="63"/>
      <c r="AK961" s="87">
        <f t="shared" si="103"/>
        <v>21321000</v>
      </c>
      <c r="AL961" s="86"/>
      <c r="AM961" s="86">
        <f t="shared" si="101"/>
        <v>0</v>
      </c>
      <c r="AN961" s="63" t="s">
        <v>1155</v>
      </c>
      <c r="AO961" s="86">
        <f t="shared" si="102"/>
        <v>21321000</v>
      </c>
      <c r="AP961" s="63"/>
      <c r="AQ961" s="81">
        <v>43368</v>
      </c>
      <c r="AR961" s="63" t="s">
        <v>2109</v>
      </c>
      <c r="AS961" s="81">
        <v>43369</v>
      </c>
      <c r="AT961" s="63" t="s">
        <v>1453</v>
      </c>
      <c r="AU961" s="220"/>
      <c r="AV961" s="220"/>
      <c r="AW961" s="220"/>
    </row>
    <row r="962" spans="1:49" s="221" customFormat="1" ht="399" x14ac:dyDescent="0.25">
      <c r="A962" s="63">
        <v>548</v>
      </c>
      <c r="B962" s="63" t="str">
        <f t="shared" si="99"/>
        <v>3075-548</v>
      </c>
      <c r="C962" s="76" t="s">
        <v>1141</v>
      </c>
      <c r="D962" s="76" t="s">
        <v>1142</v>
      </c>
      <c r="E962" s="76" t="s">
        <v>1143</v>
      </c>
      <c r="F962" s="76" t="s">
        <v>1158</v>
      </c>
      <c r="G962" s="77" t="s">
        <v>1159</v>
      </c>
      <c r="H962" s="78" t="s">
        <v>1160</v>
      </c>
      <c r="I962" s="76" t="s">
        <v>1147</v>
      </c>
      <c r="J962" s="76" t="s">
        <v>1148</v>
      </c>
      <c r="K962" s="76">
        <v>80111600</v>
      </c>
      <c r="L962" s="63" t="s">
        <v>1149</v>
      </c>
      <c r="M962" s="63" t="s">
        <v>58</v>
      </c>
      <c r="N962" s="63" t="s">
        <v>59</v>
      </c>
      <c r="O962" s="76" t="s">
        <v>1213</v>
      </c>
      <c r="P962" s="76" t="s">
        <v>2695</v>
      </c>
      <c r="Q962" s="79">
        <v>4120000</v>
      </c>
      <c r="R962" s="63">
        <v>1</v>
      </c>
      <c r="S962" s="80">
        <f t="shared" si="104"/>
        <v>24720000</v>
      </c>
      <c r="T962" s="63"/>
      <c r="U962" s="63" t="s">
        <v>1163</v>
      </c>
      <c r="V962" s="81" t="s">
        <v>875</v>
      </c>
      <c r="W962" s="82">
        <v>6</v>
      </c>
      <c r="X962" s="63" t="s">
        <v>2700</v>
      </c>
      <c r="Y962" s="81">
        <v>43369</v>
      </c>
      <c r="Z962" s="83">
        <v>24720000</v>
      </c>
      <c r="AA962" s="84" t="s">
        <v>2185</v>
      </c>
      <c r="AB962" s="85">
        <v>1229</v>
      </c>
      <c r="AC962" s="81">
        <v>43370</v>
      </c>
      <c r="AD962" s="86">
        <v>24720000</v>
      </c>
      <c r="AE962" s="87">
        <f t="shared" si="98"/>
        <v>0</v>
      </c>
      <c r="AF962" s="85"/>
      <c r="AG962" s="81"/>
      <c r="AH962" s="86"/>
      <c r="AI962" s="63"/>
      <c r="AJ962" s="63"/>
      <c r="AK962" s="87">
        <f t="shared" si="103"/>
        <v>24720000</v>
      </c>
      <c r="AL962" s="86"/>
      <c r="AM962" s="86">
        <f t="shared" si="101"/>
        <v>0</v>
      </c>
      <c r="AN962" s="63" t="s">
        <v>1155</v>
      </c>
      <c r="AO962" s="86">
        <f t="shared" si="102"/>
        <v>24720000</v>
      </c>
      <c r="AP962" s="63"/>
      <c r="AQ962" s="81">
        <v>43368</v>
      </c>
      <c r="AR962" s="63" t="s">
        <v>2109</v>
      </c>
      <c r="AS962" s="81">
        <v>43369</v>
      </c>
      <c r="AT962" s="63" t="s">
        <v>1453</v>
      </c>
      <c r="AU962" s="220"/>
      <c r="AV962" s="220"/>
      <c r="AW962" s="220"/>
    </row>
    <row r="963" spans="1:49" s="221" customFormat="1" ht="327.75" x14ac:dyDescent="0.25">
      <c r="A963" s="63">
        <v>549</v>
      </c>
      <c r="B963" s="63" t="str">
        <f t="shared" si="99"/>
        <v>3075-549</v>
      </c>
      <c r="C963" s="76" t="s">
        <v>1141</v>
      </c>
      <c r="D963" s="76" t="s">
        <v>1142</v>
      </c>
      <c r="E963" s="76" t="s">
        <v>1143</v>
      </c>
      <c r="F963" s="76" t="s">
        <v>1158</v>
      </c>
      <c r="G963" s="77" t="s">
        <v>1159</v>
      </c>
      <c r="H963" s="78" t="s">
        <v>1160</v>
      </c>
      <c r="I963" s="76" t="s">
        <v>1147</v>
      </c>
      <c r="J963" s="76" t="s">
        <v>1148</v>
      </c>
      <c r="K963" s="76">
        <v>93151501</v>
      </c>
      <c r="L963" s="63" t="s">
        <v>1149</v>
      </c>
      <c r="M963" s="63" t="s">
        <v>58</v>
      </c>
      <c r="N963" s="63" t="s">
        <v>59</v>
      </c>
      <c r="O963" s="76" t="s">
        <v>1213</v>
      </c>
      <c r="P963" s="76" t="s">
        <v>2701</v>
      </c>
      <c r="Q963" s="79">
        <v>4120000</v>
      </c>
      <c r="R963" s="63">
        <v>1</v>
      </c>
      <c r="S963" s="80">
        <f t="shared" si="104"/>
        <v>24720000</v>
      </c>
      <c r="T963" s="63"/>
      <c r="U963" s="63" t="s">
        <v>1163</v>
      </c>
      <c r="V963" s="81" t="s">
        <v>875</v>
      </c>
      <c r="W963" s="82">
        <v>6</v>
      </c>
      <c r="X963" s="63" t="s">
        <v>2702</v>
      </c>
      <c r="Y963" s="81">
        <v>43369</v>
      </c>
      <c r="Z963" s="83">
        <v>24720000</v>
      </c>
      <c r="AA963" s="84" t="s">
        <v>2185</v>
      </c>
      <c r="AB963" s="85">
        <v>1205</v>
      </c>
      <c r="AC963" s="81">
        <v>43370</v>
      </c>
      <c r="AD963" s="86">
        <v>24720000</v>
      </c>
      <c r="AE963" s="87">
        <f t="shared" si="98"/>
        <v>0</v>
      </c>
      <c r="AF963" s="85"/>
      <c r="AG963" s="81"/>
      <c r="AH963" s="86"/>
      <c r="AI963" s="63"/>
      <c r="AJ963" s="63"/>
      <c r="AK963" s="87">
        <f t="shared" si="103"/>
        <v>24720000</v>
      </c>
      <c r="AL963" s="86"/>
      <c r="AM963" s="86">
        <f t="shared" si="101"/>
        <v>0</v>
      </c>
      <c r="AN963" s="63" t="s">
        <v>1155</v>
      </c>
      <c r="AO963" s="86">
        <f t="shared" si="102"/>
        <v>24720000</v>
      </c>
      <c r="AP963" s="63"/>
      <c r="AQ963" s="81">
        <v>43368</v>
      </c>
      <c r="AR963" s="63" t="s">
        <v>2109</v>
      </c>
      <c r="AS963" s="81">
        <v>43369</v>
      </c>
      <c r="AT963" s="63" t="s">
        <v>1453</v>
      </c>
      <c r="AU963" s="220"/>
      <c r="AV963" s="220"/>
      <c r="AW963" s="220"/>
    </row>
    <row r="964" spans="1:49" s="221" customFormat="1" ht="399" x14ac:dyDescent="0.25">
      <c r="A964" s="63">
        <v>550</v>
      </c>
      <c r="B964" s="63" t="str">
        <f t="shared" si="99"/>
        <v>3075-550</v>
      </c>
      <c r="C964" s="76" t="s">
        <v>1141</v>
      </c>
      <c r="D964" s="76" t="s">
        <v>1142</v>
      </c>
      <c r="E964" s="76" t="s">
        <v>1143</v>
      </c>
      <c r="F964" s="76" t="s">
        <v>1158</v>
      </c>
      <c r="G964" s="77" t="s">
        <v>1159</v>
      </c>
      <c r="H964" s="78" t="s">
        <v>1160</v>
      </c>
      <c r="I964" s="76" t="s">
        <v>1147</v>
      </c>
      <c r="J964" s="76" t="s">
        <v>1148</v>
      </c>
      <c r="K964" s="76">
        <v>80111600</v>
      </c>
      <c r="L964" s="63" t="s">
        <v>1149</v>
      </c>
      <c r="M964" s="63" t="s">
        <v>58</v>
      </c>
      <c r="N964" s="63" t="s">
        <v>59</v>
      </c>
      <c r="O964" s="76" t="s">
        <v>1213</v>
      </c>
      <c r="P964" s="76" t="s">
        <v>2695</v>
      </c>
      <c r="Q964" s="79">
        <v>4120000</v>
      </c>
      <c r="R964" s="63">
        <v>1</v>
      </c>
      <c r="S964" s="80">
        <f t="shared" si="104"/>
        <v>24720000</v>
      </c>
      <c r="T964" s="63"/>
      <c r="U964" s="63" t="s">
        <v>1163</v>
      </c>
      <c r="V964" s="81" t="s">
        <v>875</v>
      </c>
      <c r="W964" s="82">
        <v>6</v>
      </c>
      <c r="X964" s="90" t="s">
        <v>2703</v>
      </c>
      <c r="Y964" s="81">
        <v>43369</v>
      </c>
      <c r="Z964" s="83">
        <v>24720000</v>
      </c>
      <c r="AA964" s="84" t="s">
        <v>2185</v>
      </c>
      <c r="AB964" s="85">
        <v>1227</v>
      </c>
      <c r="AC964" s="81">
        <v>43370</v>
      </c>
      <c r="AD964" s="86">
        <v>24720000</v>
      </c>
      <c r="AE964" s="87">
        <f t="shared" si="98"/>
        <v>0</v>
      </c>
      <c r="AF964" s="85"/>
      <c r="AG964" s="81"/>
      <c r="AH964" s="86"/>
      <c r="AI964" s="63"/>
      <c r="AJ964" s="63"/>
      <c r="AK964" s="87">
        <f t="shared" si="103"/>
        <v>24720000</v>
      </c>
      <c r="AL964" s="86"/>
      <c r="AM964" s="86">
        <f t="shared" si="101"/>
        <v>0</v>
      </c>
      <c r="AN964" s="63" t="s">
        <v>1155</v>
      </c>
      <c r="AO964" s="86">
        <f t="shared" si="102"/>
        <v>24720000</v>
      </c>
      <c r="AP964" s="63"/>
      <c r="AQ964" s="81">
        <v>43368</v>
      </c>
      <c r="AR964" s="63" t="s">
        <v>2109</v>
      </c>
      <c r="AS964" s="81">
        <v>43369</v>
      </c>
      <c r="AT964" s="63" t="s">
        <v>1453</v>
      </c>
      <c r="AU964" s="220"/>
      <c r="AV964" s="220"/>
      <c r="AW964" s="220"/>
    </row>
    <row r="965" spans="1:49" s="221" customFormat="1" ht="409.5" x14ac:dyDescent="0.25">
      <c r="A965" s="63">
        <v>551</v>
      </c>
      <c r="B965" s="63" t="str">
        <f t="shared" si="99"/>
        <v>3075-551</v>
      </c>
      <c r="C965" s="76" t="s">
        <v>1141</v>
      </c>
      <c r="D965" s="76" t="s">
        <v>1142</v>
      </c>
      <c r="E965" s="76" t="s">
        <v>1143</v>
      </c>
      <c r="F965" s="76" t="s">
        <v>1158</v>
      </c>
      <c r="G965" s="77" t="s">
        <v>1159</v>
      </c>
      <c r="H965" s="78" t="s">
        <v>1160</v>
      </c>
      <c r="I965" s="76" t="s">
        <v>1147</v>
      </c>
      <c r="J965" s="76" t="s">
        <v>1148</v>
      </c>
      <c r="K965" s="76">
        <v>93141506</v>
      </c>
      <c r="L965" s="63" t="s">
        <v>1149</v>
      </c>
      <c r="M965" s="63" t="s">
        <v>58</v>
      </c>
      <c r="N965" s="63" t="s">
        <v>59</v>
      </c>
      <c r="O965" s="76" t="s">
        <v>1213</v>
      </c>
      <c r="P965" s="76" t="s">
        <v>2704</v>
      </c>
      <c r="Q965" s="79">
        <v>4120000</v>
      </c>
      <c r="R965" s="63">
        <v>1</v>
      </c>
      <c r="S965" s="80">
        <f t="shared" si="104"/>
        <v>24720000</v>
      </c>
      <c r="T965" s="63"/>
      <c r="U965" s="63" t="s">
        <v>1163</v>
      </c>
      <c r="V965" s="81" t="s">
        <v>875</v>
      </c>
      <c r="W965" s="82">
        <v>6</v>
      </c>
      <c r="X965" s="63" t="s">
        <v>2705</v>
      </c>
      <c r="Y965" s="81">
        <v>43369</v>
      </c>
      <c r="Z965" s="83">
        <v>24720000</v>
      </c>
      <c r="AA965" s="84" t="s">
        <v>2185</v>
      </c>
      <c r="AB965" s="85">
        <v>1216</v>
      </c>
      <c r="AC965" s="81">
        <v>43370</v>
      </c>
      <c r="AD965" s="86">
        <v>24720000</v>
      </c>
      <c r="AE965" s="87">
        <f t="shared" si="98"/>
        <v>0</v>
      </c>
      <c r="AF965" s="85"/>
      <c r="AG965" s="81"/>
      <c r="AH965" s="86"/>
      <c r="AI965" s="63"/>
      <c r="AJ965" s="63"/>
      <c r="AK965" s="87">
        <f t="shared" si="103"/>
        <v>24720000</v>
      </c>
      <c r="AL965" s="86"/>
      <c r="AM965" s="86">
        <f t="shared" si="101"/>
        <v>0</v>
      </c>
      <c r="AN965" s="63" t="s">
        <v>1155</v>
      </c>
      <c r="AO965" s="86">
        <f t="shared" si="102"/>
        <v>24720000</v>
      </c>
      <c r="AP965" s="63"/>
      <c r="AQ965" s="81">
        <v>43368</v>
      </c>
      <c r="AR965" s="63" t="s">
        <v>2109</v>
      </c>
      <c r="AS965" s="81">
        <v>43369</v>
      </c>
      <c r="AT965" s="63" t="s">
        <v>1453</v>
      </c>
      <c r="AU965" s="220"/>
      <c r="AV965" s="220"/>
      <c r="AW965" s="220"/>
    </row>
    <row r="966" spans="1:49" s="221" customFormat="1" ht="399" x14ac:dyDescent="0.25">
      <c r="A966" s="63">
        <v>552</v>
      </c>
      <c r="B966" s="63" t="str">
        <f t="shared" si="99"/>
        <v>3075-552</v>
      </c>
      <c r="C966" s="76" t="s">
        <v>1141</v>
      </c>
      <c r="D966" s="76" t="s">
        <v>1142</v>
      </c>
      <c r="E966" s="76" t="s">
        <v>1143</v>
      </c>
      <c r="F966" s="76" t="s">
        <v>1158</v>
      </c>
      <c r="G966" s="77" t="s">
        <v>1159</v>
      </c>
      <c r="H966" s="78" t="s">
        <v>1160</v>
      </c>
      <c r="I966" s="76" t="s">
        <v>1147</v>
      </c>
      <c r="J966" s="76" t="s">
        <v>1148</v>
      </c>
      <c r="K966" s="76">
        <v>80111600</v>
      </c>
      <c r="L966" s="63" t="s">
        <v>1149</v>
      </c>
      <c r="M966" s="63" t="s">
        <v>58</v>
      </c>
      <c r="N966" s="63" t="s">
        <v>59</v>
      </c>
      <c r="O966" s="76" t="s">
        <v>1213</v>
      </c>
      <c r="P966" s="76" t="s">
        <v>2695</v>
      </c>
      <c r="Q966" s="79">
        <v>4120000</v>
      </c>
      <c r="R966" s="63">
        <v>1</v>
      </c>
      <c r="S966" s="80">
        <f t="shared" si="104"/>
        <v>24720000</v>
      </c>
      <c r="T966" s="63"/>
      <c r="U966" s="63" t="s">
        <v>1163</v>
      </c>
      <c r="V966" s="81" t="s">
        <v>875</v>
      </c>
      <c r="W966" s="82">
        <v>6</v>
      </c>
      <c r="X966" s="63" t="s">
        <v>2706</v>
      </c>
      <c r="Y966" s="81">
        <v>43369</v>
      </c>
      <c r="Z966" s="83">
        <v>24720000</v>
      </c>
      <c r="AA966" s="84" t="s">
        <v>2185</v>
      </c>
      <c r="AB966" s="85">
        <v>1228</v>
      </c>
      <c r="AC966" s="81">
        <v>43370</v>
      </c>
      <c r="AD966" s="86">
        <v>24720000</v>
      </c>
      <c r="AE966" s="87">
        <f t="shared" si="98"/>
        <v>0</v>
      </c>
      <c r="AF966" s="85"/>
      <c r="AG966" s="81"/>
      <c r="AH966" s="86"/>
      <c r="AI966" s="63"/>
      <c r="AJ966" s="63"/>
      <c r="AK966" s="87">
        <f t="shared" si="103"/>
        <v>24720000</v>
      </c>
      <c r="AL966" s="86"/>
      <c r="AM966" s="86">
        <f t="shared" si="101"/>
        <v>0</v>
      </c>
      <c r="AN966" s="63" t="s">
        <v>1155</v>
      </c>
      <c r="AO966" s="86">
        <f t="shared" si="102"/>
        <v>24720000</v>
      </c>
      <c r="AP966" s="63"/>
      <c r="AQ966" s="81">
        <v>43368</v>
      </c>
      <c r="AR966" s="63" t="s">
        <v>2109</v>
      </c>
      <c r="AS966" s="81">
        <v>43369</v>
      </c>
      <c r="AT966" s="63" t="s">
        <v>1453</v>
      </c>
      <c r="AU966" s="220"/>
      <c r="AV966" s="220"/>
      <c r="AW966" s="220"/>
    </row>
    <row r="967" spans="1:49" s="221" customFormat="1" ht="409.5" x14ac:dyDescent="0.25">
      <c r="A967" s="63">
        <v>553</v>
      </c>
      <c r="B967" s="63" t="str">
        <f t="shared" si="99"/>
        <v>3075-553</v>
      </c>
      <c r="C967" s="76" t="s">
        <v>1141</v>
      </c>
      <c r="D967" s="76" t="s">
        <v>1142</v>
      </c>
      <c r="E967" s="76" t="s">
        <v>1143</v>
      </c>
      <c r="F967" s="76" t="s">
        <v>1158</v>
      </c>
      <c r="G967" s="77" t="s">
        <v>1159</v>
      </c>
      <c r="H967" s="78" t="s">
        <v>1160</v>
      </c>
      <c r="I967" s="76" t="s">
        <v>1147</v>
      </c>
      <c r="J967" s="76" t="s">
        <v>1148</v>
      </c>
      <c r="K967" s="76">
        <v>81101500</v>
      </c>
      <c r="L967" s="63" t="s">
        <v>1149</v>
      </c>
      <c r="M967" s="63" t="s">
        <v>58</v>
      </c>
      <c r="N967" s="63" t="s">
        <v>59</v>
      </c>
      <c r="O967" s="76" t="s">
        <v>1213</v>
      </c>
      <c r="P967" s="76" t="s">
        <v>2707</v>
      </c>
      <c r="Q967" s="79">
        <v>3399000</v>
      </c>
      <c r="R967" s="63">
        <v>1</v>
      </c>
      <c r="S967" s="80">
        <f t="shared" si="104"/>
        <v>20394000</v>
      </c>
      <c r="T967" s="63"/>
      <c r="U967" s="63" t="s">
        <v>1163</v>
      </c>
      <c r="V967" s="81" t="s">
        <v>875</v>
      </c>
      <c r="W967" s="82">
        <v>6</v>
      </c>
      <c r="X967" s="63" t="s">
        <v>2708</v>
      </c>
      <c r="Y967" s="81">
        <v>43369</v>
      </c>
      <c r="Z967" s="83">
        <v>20394000</v>
      </c>
      <c r="AA967" s="84" t="s">
        <v>2185</v>
      </c>
      <c r="AB967" s="85">
        <v>1215</v>
      </c>
      <c r="AC967" s="81">
        <v>43370</v>
      </c>
      <c r="AD967" s="86">
        <v>20394000</v>
      </c>
      <c r="AE967" s="87">
        <f t="shared" si="98"/>
        <v>0</v>
      </c>
      <c r="AF967" s="85"/>
      <c r="AG967" s="81"/>
      <c r="AH967" s="86"/>
      <c r="AI967" s="63"/>
      <c r="AJ967" s="63"/>
      <c r="AK967" s="87">
        <f t="shared" si="103"/>
        <v>20394000</v>
      </c>
      <c r="AL967" s="86"/>
      <c r="AM967" s="86">
        <f t="shared" si="101"/>
        <v>0</v>
      </c>
      <c r="AN967" s="63" t="s">
        <v>1155</v>
      </c>
      <c r="AO967" s="86">
        <f t="shared" si="102"/>
        <v>20394000</v>
      </c>
      <c r="AP967" s="63"/>
      <c r="AQ967" s="81">
        <v>43368</v>
      </c>
      <c r="AR967" s="63" t="s">
        <v>2109</v>
      </c>
      <c r="AS967" s="81">
        <v>43369</v>
      </c>
      <c r="AT967" s="63" t="s">
        <v>1453</v>
      </c>
      <c r="AU967" s="220"/>
      <c r="AV967" s="220"/>
      <c r="AW967" s="220"/>
    </row>
    <row r="968" spans="1:49" s="221" customFormat="1" ht="409.5" x14ac:dyDescent="0.25">
      <c r="A968" s="63">
        <v>554</v>
      </c>
      <c r="B968" s="63" t="str">
        <f t="shared" si="99"/>
        <v>3075-554</v>
      </c>
      <c r="C968" s="76" t="s">
        <v>1141</v>
      </c>
      <c r="D968" s="76" t="s">
        <v>1142</v>
      </c>
      <c r="E968" s="76" t="s">
        <v>1143</v>
      </c>
      <c r="F968" s="76" t="s">
        <v>1158</v>
      </c>
      <c r="G968" s="77" t="s">
        <v>1159</v>
      </c>
      <c r="H968" s="78" t="s">
        <v>1160</v>
      </c>
      <c r="I968" s="76" t="s">
        <v>1147</v>
      </c>
      <c r="J968" s="76" t="s">
        <v>1148</v>
      </c>
      <c r="K968" s="76">
        <v>93141506</v>
      </c>
      <c r="L968" s="63" t="s">
        <v>1149</v>
      </c>
      <c r="M968" s="63" t="s">
        <v>58</v>
      </c>
      <c r="N968" s="63" t="s">
        <v>59</v>
      </c>
      <c r="O968" s="76" t="s">
        <v>1213</v>
      </c>
      <c r="P968" s="76" t="s">
        <v>2709</v>
      </c>
      <c r="Q968" s="79">
        <v>4532000</v>
      </c>
      <c r="R968" s="63">
        <v>1</v>
      </c>
      <c r="S968" s="80">
        <f t="shared" si="104"/>
        <v>27192000</v>
      </c>
      <c r="T968" s="63"/>
      <c r="U968" s="63" t="s">
        <v>1163</v>
      </c>
      <c r="V968" s="81" t="s">
        <v>875</v>
      </c>
      <c r="W968" s="82">
        <v>6</v>
      </c>
      <c r="X968" s="90" t="s">
        <v>2710</v>
      </c>
      <c r="Y968" s="81">
        <v>43369</v>
      </c>
      <c r="Z968" s="83">
        <v>27192000</v>
      </c>
      <c r="AA968" s="84" t="s">
        <v>2185</v>
      </c>
      <c r="AB968" s="85">
        <v>1214</v>
      </c>
      <c r="AC968" s="81">
        <v>43370</v>
      </c>
      <c r="AD968" s="86">
        <v>27192000</v>
      </c>
      <c r="AE968" s="87">
        <f t="shared" ref="AE968:AE1031" si="105">S968-Z968</f>
        <v>0</v>
      </c>
      <c r="AF968" s="85"/>
      <c r="AG968" s="81"/>
      <c r="AH968" s="86"/>
      <c r="AI968" s="63"/>
      <c r="AJ968" s="63"/>
      <c r="AK968" s="87">
        <f t="shared" si="103"/>
        <v>27192000</v>
      </c>
      <c r="AL968" s="86"/>
      <c r="AM968" s="86">
        <f t="shared" si="101"/>
        <v>0</v>
      </c>
      <c r="AN968" s="63" t="s">
        <v>1155</v>
      </c>
      <c r="AO968" s="86">
        <f t="shared" si="102"/>
        <v>27192000</v>
      </c>
      <c r="AP968" s="63"/>
      <c r="AQ968" s="81">
        <v>43368</v>
      </c>
      <c r="AR968" s="63" t="s">
        <v>2109</v>
      </c>
      <c r="AS968" s="81">
        <v>43369</v>
      </c>
      <c r="AT968" s="63" t="s">
        <v>1453</v>
      </c>
      <c r="AU968" s="220"/>
      <c r="AV968" s="220"/>
      <c r="AW968" s="220"/>
    </row>
    <row r="969" spans="1:49" s="221" customFormat="1" ht="399" x14ac:dyDescent="0.25">
      <c r="A969" s="63">
        <v>555</v>
      </c>
      <c r="B969" s="63" t="str">
        <f t="shared" si="99"/>
        <v>3075-555</v>
      </c>
      <c r="C969" s="76" t="s">
        <v>1141</v>
      </c>
      <c r="D969" s="76" t="s">
        <v>1142</v>
      </c>
      <c r="E969" s="76" t="s">
        <v>1143</v>
      </c>
      <c r="F969" s="76" t="s">
        <v>1158</v>
      </c>
      <c r="G969" s="77" t="s">
        <v>1159</v>
      </c>
      <c r="H969" s="78" t="s">
        <v>1160</v>
      </c>
      <c r="I969" s="76" t="s">
        <v>1147</v>
      </c>
      <c r="J969" s="76" t="s">
        <v>1148</v>
      </c>
      <c r="K969" s="76">
        <v>80111600</v>
      </c>
      <c r="L969" s="63" t="s">
        <v>1149</v>
      </c>
      <c r="M969" s="63" t="s">
        <v>58</v>
      </c>
      <c r="N969" s="63" t="s">
        <v>59</v>
      </c>
      <c r="O969" s="76" t="s">
        <v>1213</v>
      </c>
      <c r="P969" s="76" t="s">
        <v>2711</v>
      </c>
      <c r="Q969" s="79">
        <v>3553500</v>
      </c>
      <c r="R969" s="63">
        <v>1</v>
      </c>
      <c r="S969" s="80">
        <f t="shared" si="104"/>
        <v>21321000</v>
      </c>
      <c r="T969" s="63"/>
      <c r="U969" s="63" t="s">
        <v>1163</v>
      </c>
      <c r="V969" s="81" t="s">
        <v>875</v>
      </c>
      <c r="W969" s="82">
        <v>6</v>
      </c>
      <c r="X969" s="63" t="s">
        <v>2712</v>
      </c>
      <c r="Y969" s="81">
        <v>43369</v>
      </c>
      <c r="Z969" s="83">
        <v>21321000</v>
      </c>
      <c r="AA969" s="84" t="s">
        <v>2185</v>
      </c>
      <c r="AB969" s="85">
        <v>1213</v>
      </c>
      <c r="AC969" s="81">
        <v>43370</v>
      </c>
      <c r="AD969" s="86">
        <v>21321000</v>
      </c>
      <c r="AE969" s="87">
        <f t="shared" si="105"/>
        <v>0</v>
      </c>
      <c r="AF969" s="85"/>
      <c r="AG969" s="81"/>
      <c r="AH969" s="86"/>
      <c r="AI969" s="63"/>
      <c r="AJ969" s="63"/>
      <c r="AK969" s="87">
        <f t="shared" si="103"/>
        <v>21321000</v>
      </c>
      <c r="AL969" s="86"/>
      <c r="AM969" s="86">
        <f t="shared" si="101"/>
        <v>0</v>
      </c>
      <c r="AN969" s="63" t="s">
        <v>1155</v>
      </c>
      <c r="AO969" s="86">
        <f t="shared" si="102"/>
        <v>21321000</v>
      </c>
      <c r="AP969" s="63"/>
      <c r="AQ969" s="81">
        <v>43368</v>
      </c>
      <c r="AR969" s="63" t="s">
        <v>2109</v>
      </c>
      <c r="AS969" s="81">
        <v>43369</v>
      </c>
      <c r="AT969" s="63" t="s">
        <v>1453</v>
      </c>
      <c r="AU969" s="220"/>
      <c r="AV969" s="220"/>
      <c r="AW969" s="220"/>
    </row>
    <row r="970" spans="1:49" s="221" customFormat="1" ht="409.5" x14ac:dyDescent="0.25">
      <c r="A970" s="63">
        <v>556</v>
      </c>
      <c r="B970" s="63" t="str">
        <f t="shared" si="99"/>
        <v>3075-556</v>
      </c>
      <c r="C970" s="76" t="s">
        <v>1141</v>
      </c>
      <c r="D970" s="76" t="s">
        <v>1142</v>
      </c>
      <c r="E970" s="76" t="s">
        <v>1143</v>
      </c>
      <c r="F970" s="76" t="s">
        <v>1158</v>
      </c>
      <c r="G970" s="77" t="s">
        <v>1159</v>
      </c>
      <c r="H970" s="78" t="s">
        <v>1160</v>
      </c>
      <c r="I970" s="76" t="s">
        <v>1147</v>
      </c>
      <c r="J970" s="76" t="s">
        <v>1148</v>
      </c>
      <c r="K970" s="76">
        <v>81101500</v>
      </c>
      <c r="L970" s="63" t="s">
        <v>1149</v>
      </c>
      <c r="M970" s="63" t="s">
        <v>58</v>
      </c>
      <c r="N970" s="63" t="s">
        <v>59</v>
      </c>
      <c r="O970" s="76" t="s">
        <v>1213</v>
      </c>
      <c r="P970" s="76" t="s">
        <v>2707</v>
      </c>
      <c r="Q970" s="79">
        <v>3399000</v>
      </c>
      <c r="R970" s="63">
        <v>1</v>
      </c>
      <c r="S970" s="80">
        <f t="shared" si="104"/>
        <v>20394000</v>
      </c>
      <c r="T970" s="63"/>
      <c r="U970" s="63" t="s">
        <v>1163</v>
      </c>
      <c r="V970" s="81" t="s">
        <v>875</v>
      </c>
      <c r="W970" s="82">
        <v>6</v>
      </c>
      <c r="X970" s="63" t="s">
        <v>2713</v>
      </c>
      <c r="Y970" s="81">
        <v>43369</v>
      </c>
      <c r="Z970" s="83">
        <v>20394000</v>
      </c>
      <c r="AA970" s="84" t="s">
        <v>2185</v>
      </c>
      <c r="AB970" s="85">
        <v>1212</v>
      </c>
      <c r="AC970" s="81">
        <v>43370</v>
      </c>
      <c r="AD970" s="86">
        <v>20394000</v>
      </c>
      <c r="AE970" s="87">
        <f t="shared" si="105"/>
        <v>0</v>
      </c>
      <c r="AF970" s="85"/>
      <c r="AG970" s="81"/>
      <c r="AH970" s="86"/>
      <c r="AI970" s="63"/>
      <c r="AJ970" s="63"/>
      <c r="AK970" s="87">
        <f t="shared" si="103"/>
        <v>20394000</v>
      </c>
      <c r="AL970" s="86"/>
      <c r="AM970" s="86">
        <f t="shared" si="101"/>
        <v>0</v>
      </c>
      <c r="AN970" s="63" t="s">
        <v>1155</v>
      </c>
      <c r="AO970" s="86">
        <f t="shared" si="102"/>
        <v>20394000</v>
      </c>
      <c r="AP970" s="63"/>
      <c r="AQ970" s="81">
        <v>43368</v>
      </c>
      <c r="AR970" s="63" t="s">
        <v>2109</v>
      </c>
      <c r="AS970" s="81">
        <v>43369</v>
      </c>
      <c r="AT970" s="63" t="s">
        <v>1453</v>
      </c>
      <c r="AU970" s="220"/>
      <c r="AV970" s="220"/>
      <c r="AW970" s="220"/>
    </row>
    <row r="971" spans="1:49" s="221" customFormat="1" ht="409.5" x14ac:dyDescent="0.25">
      <c r="A971" s="63">
        <v>557</v>
      </c>
      <c r="B971" s="63" t="str">
        <f t="shared" si="99"/>
        <v>3075-557</v>
      </c>
      <c r="C971" s="76" t="s">
        <v>1141</v>
      </c>
      <c r="D971" s="76" t="s">
        <v>1142</v>
      </c>
      <c r="E971" s="76" t="s">
        <v>1143</v>
      </c>
      <c r="F971" s="76" t="s">
        <v>1158</v>
      </c>
      <c r="G971" s="77" t="s">
        <v>1159</v>
      </c>
      <c r="H971" s="78" t="s">
        <v>1160</v>
      </c>
      <c r="I971" s="76" t="s">
        <v>1147</v>
      </c>
      <c r="J971" s="76" t="s">
        <v>1148</v>
      </c>
      <c r="K971" s="76">
        <v>81101500</v>
      </c>
      <c r="L971" s="63" t="s">
        <v>1149</v>
      </c>
      <c r="M971" s="63" t="s">
        <v>58</v>
      </c>
      <c r="N971" s="63" t="s">
        <v>59</v>
      </c>
      <c r="O971" s="76" t="s">
        <v>1213</v>
      </c>
      <c r="P971" s="76" t="s">
        <v>2707</v>
      </c>
      <c r="Q971" s="79">
        <v>4120000</v>
      </c>
      <c r="R971" s="63">
        <v>1</v>
      </c>
      <c r="S971" s="80">
        <f t="shared" si="104"/>
        <v>24720000</v>
      </c>
      <c r="T971" s="63"/>
      <c r="U971" s="63" t="s">
        <v>1163</v>
      </c>
      <c r="V971" s="81" t="s">
        <v>875</v>
      </c>
      <c r="W971" s="82">
        <v>6</v>
      </c>
      <c r="X971" s="63" t="s">
        <v>2714</v>
      </c>
      <c r="Y971" s="81">
        <v>43369</v>
      </c>
      <c r="Z971" s="83">
        <v>24720000</v>
      </c>
      <c r="AA971" s="84" t="s">
        <v>2185</v>
      </c>
      <c r="AB971" s="85">
        <v>1211</v>
      </c>
      <c r="AC971" s="81">
        <v>43370</v>
      </c>
      <c r="AD971" s="86">
        <v>24720000</v>
      </c>
      <c r="AE971" s="87">
        <f t="shared" si="105"/>
        <v>0</v>
      </c>
      <c r="AF971" s="85"/>
      <c r="AG971" s="81"/>
      <c r="AH971" s="86"/>
      <c r="AI971" s="63"/>
      <c r="AJ971" s="63"/>
      <c r="AK971" s="87">
        <f t="shared" si="103"/>
        <v>24720000</v>
      </c>
      <c r="AL971" s="86"/>
      <c r="AM971" s="86">
        <f t="shared" si="101"/>
        <v>0</v>
      </c>
      <c r="AN971" s="63" t="s">
        <v>1155</v>
      </c>
      <c r="AO971" s="86">
        <f t="shared" si="102"/>
        <v>24720000</v>
      </c>
      <c r="AP971" s="63"/>
      <c r="AQ971" s="81">
        <v>43368</v>
      </c>
      <c r="AR971" s="63" t="s">
        <v>2109</v>
      </c>
      <c r="AS971" s="81">
        <v>43369</v>
      </c>
      <c r="AT971" s="63" t="s">
        <v>1453</v>
      </c>
      <c r="AU971" s="220"/>
      <c r="AV971" s="220"/>
      <c r="AW971" s="220"/>
    </row>
    <row r="972" spans="1:49" s="221" customFormat="1" ht="399" x14ac:dyDescent="0.25">
      <c r="A972" s="63">
        <v>558</v>
      </c>
      <c r="B972" s="63" t="str">
        <f t="shared" si="99"/>
        <v>3075-558</v>
      </c>
      <c r="C972" s="76" t="s">
        <v>1141</v>
      </c>
      <c r="D972" s="76" t="s">
        <v>1142</v>
      </c>
      <c r="E972" s="76" t="s">
        <v>1143</v>
      </c>
      <c r="F972" s="76" t="s">
        <v>1158</v>
      </c>
      <c r="G972" s="77" t="s">
        <v>1159</v>
      </c>
      <c r="H972" s="78" t="s">
        <v>1160</v>
      </c>
      <c r="I972" s="76" t="s">
        <v>1147</v>
      </c>
      <c r="J972" s="76" t="s">
        <v>1148</v>
      </c>
      <c r="K972" s="76">
        <v>80111600</v>
      </c>
      <c r="L972" s="63" t="s">
        <v>1149</v>
      </c>
      <c r="M972" s="63" t="s">
        <v>58</v>
      </c>
      <c r="N972" s="63" t="s">
        <v>59</v>
      </c>
      <c r="O972" s="76" t="s">
        <v>1213</v>
      </c>
      <c r="P972" s="76" t="s">
        <v>2711</v>
      </c>
      <c r="Q972" s="79">
        <v>4120000</v>
      </c>
      <c r="R972" s="63">
        <v>1</v>
      </c>
      <c r="S972" s="80">
        <f t="shared" si="104"/>
        <v>24720000</v>
      </c>
      <c r="T972" s="63"/>
      <c r="U972" s="63" t="s">
        <v>1163</v>
      </c>
      <c r="V972" s="81" t="s">
        <v>875</v>
      </c>
      <c r="W972" s="82">
        <v>6</v>
      </c>
      <c r="X972" s="90" t="s">
        <v>2715</v>
      </c>
      <c r="Y972" s="81">
        <v>43369</v>
      </c>
      <c r="Z972" s="83">
        <v>24720000</v>
      </c>
      <c r="AA972" s="84" t="s">
        <v>2185</v>
      </c>
      <c r="AB972" s="85">
        <v>1210</v>
      </c>
      <c r="AC972" s="81">
        <v>43370</v>
      </c>
      <c r="AD972" s="86">
        <v>24720000</v>
      </c>
      <c r="AE972" s="87">
        <f t="shared" si="105"/>
        <v>0</v>
      </c>
      <c r="AF972" s="85"/>
      <c r="AG972" s="81"/>
      <c r="AH972" s="86"/>
      <c r="AI972" s="63"/>
      <c r="AJ972" s="63"/>
      <c r="AK972" s="87">
        <f t="shared" si="103"/>
        <v>24720000</v>
      </c>
      <c r="AL972" s="86"/>
      <c r="AM972" s="86">
        <f t="shared" si="101"/>
        <v>0</v>
      </c>
      <c r="AN972" s="63" t="s">
        <v>1155</v>
      </c>
      <c r="AO972" s="86">
        <f t="shared" si="102"/>
        <v>24720000</v>
      </c>
      <c r="AP972" s="63"/>
      <c r="AQ972" s="81">
        <v>43368</v>
      </c>
      <c r="AR972" s="63" t="s">
        <v>2109</v>
      </c>
      <c r="AS972" s="81">
        <v>43369</v>
      </c>
      <c r="AT972" s="63" t="s">
        <v>1453</v>
      </c>
      <c r="AU972" s="220"/>
      <c r="AV972" s="220"/>
      <c r="AW972" s="220"/>
    </row>
    <row r="973" spans="1:49" s="221" customFormat="1" ht="399" x14ac:dyDescent="0.25">
      <c r="A973" s="63">
        <v>559</v>
      </c>
      <c r="B973" s="63" t="str">
        <f t="shared" si="99"/>
        <v>3075-559</v>
      </c>
      <c r="C973" s="76" t="s">
        <v>1141</v>
      </c>
      <c r="D973" s="76" t="s">
        <v>1142</v>
      </c>
      <c r="E973" s="76" t="s">
        <v>1143</v>
      </c>
      <c r="F973" s="76" t="s">
        <v>1158</v>
      </c>
      <c r="G973" s="77" t="s">
        <v>1159</v>
      </c>
      <c r="H973" s="78" t="s">
        <v>1160</v>
      </c>
      <c r="I973" s="76" t="s">
        <v>1147</v>
      </c>
      <c r="J973" s="76" t="s">
        <v>1148</v>
      </c>
      <c r="K973" s="76">
        <v>80111600</v>
      </c>
      <c r="L973" s="63" t="s">
        <v>1149</v>
      </c>
      <c r="M973" s="63" t="s">
        <v>58</v>
      </c>
      <c r="N973" s="63" t="s">
        <v>59</v>
      </c>
      <c r="O973" s="76" t="s">
        <v>1213</v>
      </c>
      <c r="P973" s="76" t="s">
        <v>2711</v>
      </c>
      <c r="Q973" s="79">
        <v>4120000</v>
      </c>
      <c r="R973" s="63">
        <v>1</v>
      </c>
      <c r="S973" s="80">
        <f t="shared" si="104"/>
        <v>24720000</v>
      </c>
      <c r="T973" s="63"/>
      <c r="U973" s="63" t="s">
        <v>1163</v>
      </c>
      <c r="V973" s="81" t="s">
        <v>875</v>
      </c>
      <c r="W973" s="82">
        <v>6</v>
      </c>
      <c r="X973" s="63" t="s">
        <v>2716</v>
      </c>
      <c r="Y973" s="81">
        <v>43369</v>
      </c>
      <c r="Z973" s="80">
        <v>24720000</v>
      </c>
      <c r="AA973" s="84" t="s">
        <v>2185</v>
      </c>
      <c r="AB973" s="85">
        <v>1230</v>
      </c>
      <c r="AC973" s="81">
        <v>43370</v>
      </c>
      <c r="AD973" s="86">
        <v>24720000</v>
      </c>
      <c r="AE973" s="87">
        <f t="shared" si="105"/>
        <v>0</v>
      </c>
      <c r="AF973" s="85"/>
      <c r="AG973" s="81"/>
      <c r="AH973" s="86"/>
      <c r="AI973" s="63"/>
      <c r="AJ973" s="63"/>
      <c r="AK973" s="87">
        <f t="shared" si="103"/>
        <v>24720000</v>
      </c>
      <c r="AL973" s="86"/>
      <c r="AM973" s="86">
        <f t="shared" si="101"/>
        <v>0</v>
      </c>
      <c r="AN973" s="63" t="s">
        <v>1155</v>
      </c>
      <c r="AO973" s="86">
        <f t="shared" si="102"/>
        <v>24720000</v>
      </c>
      <c r="AP973" s="63"/>
      <c r="AQ973" s="81">
        <v>43368</v>
      </c>
      <c r="AR973" s="63" t="s">
        <v>2109</v>
      </c>
      <c r="AS973" s="81">
        <v>43369</v>
      </c>
      <c r="AT973" s="63" t="s">
        <v>1453</v>
      </c>
      <c r="AU973" s="220"/>
      <c r="AV973" s="220"/>
      <c r="AW973" s="220"/>
    </row>
    <row r="974" spans="1:49" s="221" customFormat="1" ht="409.5" x14ac:dyDescent="0.25">
      <c r="A974" s="63">
        <v>560</v>
      </c>
      <c r="B974" s="63" t="str">
        <f t="shared" si="99"/>
        <v>3075-560</v>
      </c>
      <c r="C974" s="76" t="s">
        <v>1141</v>
      </c>
      <c r="D974" s="76" t="s">
        <v>1142</v>
      </c>
      <c r="E974" s="76" t="s">
        <v>1143</v>
      </c>
      <c r="F974" s="76" t="s">
        <v>1158</v>
      </c>
      <c r="G974" s="77" t="s">
        <v>1159</v>
      </c>
      <c r="H974" s="78" t="s">
        <v>1160</v>
      </c>
      <c r="I974" s="76" t="s">
        <v>1147</v>
      </c>
      <c r="J974" s="76" t="s">
        <v>1148</v>
      </c>
      <c r="K974" s="76">
        <v>80111600</v>
      </c>
      <c r="L974" s="63" t="s">
        <v>1149</v>
      </c>
      <c r="M974" s="63" t="s">
        <v>58</v>
      </c>
      <c r="N974" s="63" t="s">
        <v>59</v>
      </c>
      <c r="O974" s="76" t="s">
        <v>1213</v>
      </c>
      <c r="P974" s="76" t="s">
        <v>2717</v>
      </c>
      <c r="Q974" s="79">
        <v>1545000</v>
      </c>
      <c r="R974" s="63">
        <v>1</v>
      </c>
      <c r="S974" s="80">
        <f t="shared" si="104"/>
        <v>9270000</v>
      </c>
      <c r="T974" s="63"/>
      <c r="U974" s="63" t="s">
        <v>1163</v>
      </c>
      <c r="V974" s="81" t="s">
        <v>875</v>
      </c>
      <c r="W974" s="82">
        <v>6</v>
      </c>
      <c r="X974" s="63" t="s">
        <v>2718</v>
      </c>
      <c r="Y974" s="81">
        <v>43369</v>
      </c>
      <c r="Z974" s="80">
        <v>9270000</v>
      </c>
      <c r="AA974" s="84" t="s">
        <v>2185</v>
      </c>
      <c r="AB974" s="85">
        <v>1208</v>
      </c>
      <c r="AC974" s="81">
        <v>43370</v>
      </c>
      <c r="AD974" s="86">
        <v>9270000</v>
      </c>
      <c r="AE974" s="87">
        <f t="shared" si="105"/>
        <v>0</v>
      </c>
      <c r="AF974" s="85"/>
      <c r="AG974" s="81"/>
      <c r="AH974" s="86"/>
      <c r="AI974" s="63"/>
      <c r="AJ974" s="63"/>
      <c r="AK974" s="87">
        <f t="shared" si="103"/>
        <v>9270000</v>
      </c>
      <c r="AL974" s="86"/>
      <c r="AM974" s="86">
        <f t="shared" si="101"/>
        <v>0</v>
      </c>
      <c r="AN974" s="63" t="s">
        <v>1155</v>
      </c>
      <c r="AO974" s="86">
        <f t="shared" si="102"/>
        <v>9270000</v>
      </c>
      <c r="AP974" s="63"/>
      <c r="AQ974" s="81">
        <v>43368</v>
      </c>
      <c r="AR974" s="63" t="s">
        <v>2109</v>
      </c>
      <c r="AS974" s="81">
        <v>43369</v>
      </c>
      <c r="AT974" s="63" t="s">
        <v>1453</v>
      </c>
      <c r="AU974" s="220"/>
      <c r="AV974" s="220"/>
      <c r="AW974" s="220"/>
    </row>
    <row r="975" spans="1:49" s="221" customFormat="1" ht="199.5" x14ac:dyDescent="0.25">
      <c r="A975" s="63">
        <v>561</v>
      </c>
      <c r="B975" s="63" t="str">
        <f t="shared" si="99"/>
        <v>3075-561</v>
      </c>
      <c r="C975" s="76" t="s">
        <v>1141</v>
      </c>
      <c r="D975" s="76" t="s">
        <v>1142</v>
      </c>
      <c r="E975" s="76" t="s">
        <v>1174</v>
      </c>
      <c r="F975" s="76" t="s">
        <v>1175</v>
      </c>
      <c r="G975" s="77" t="s">
        <v>1176</v>
      </c>
      <c r="H975" s="78" t="s">
        <v>1177</v>
      </c>
      <c r="I975" s="76" t="s">
        <v>1147</v>
      </c>
      <c r="J975" s="76" t="s">
        <v>1178</v>
      </c>
      <c r="K975" s="76" t="s">
        <v>439</v>
      </c>
      <c r="L975" s="63" t="s">
        <v>1149</v>
      </c>
      <c r="M975" s="63" t="s">
        <v>58</v>
      </c>
      <c r="N975" s="63" t="s">
        <v>59</v>
      </c>
      <c r="O975" s="76" t="s">
        <v>1169</v>
      </c>
      <c r="P975" s="76" t="s">
        <v>2719</v>
      </c>
      <c r="Q975" s="79">
        <v>39062100</v>
      </c>
      <c r="R975" s="63">
        <v>1</v>
      </c>
      <c r="S975" s="80">
        <v>39062100</v>
      </c>
      <c r="T975" s="63"/>
      <c r="U975" s="63" t="s">
        <v>1171</v>
      </c>
      <c r="V975" s="81" t="s">
        <v>875</v>
      </c>
      <c r="W975" s="82" t="s">
        <v>439</v>
      </c>
      <c r="X975" s="90" t="s">
        <v>2720</v>
      </c>
      <c r="Y975" s="81">
        <v>43369</v>
      </c>
      <c r="Z975" s="80">
        <v>39062100</v>
      </c>
      <c r="AA975" s="84" t="s">
        <v>2649</v>
      </c>
      <c r="AB975" s="85">
        <v>1236</v>
      </c>
      <c r="AC975" s="81">
        <v>43371</v>
      </c>
      <c r="AD975" s="86">
        <v>39062100</v>
      </c>
      <c r="AE975" s="87">
        <f t="shared" si="105"/>
        <v>0</v>
      </c>
      <c r="AF975" s="85"/>
      <c r="AG975" s="81"/>
      <c r="AH975" s="86"/>
      <c r="AI975" s="63"/>
      <c r="AJ975" s="63"/>
      <c r="AK975" s="87">
        <f t="shared" si="103"/>
        <v>39062100</v>
      </c>
      <c r="AL975" s="86"/>
      <c r="AM975" s="86">
        <f t="shared" si="101"/>
        <v>0</v>
      </c>
      <c r="AN975" s="63" t="s">
        <v>1155</v>
      </c>
      <c r="AO975" s="86">
        <f t="shared" si="102"/>
        <v>39062100</v>
      </c>
      <c r="AP975" s="63"/>
      <c r="AQ975" s="81">
        <v>43369</v>
      </c>
      <c r="AR975" s="63" t="s">
        <v>2109</v>
      </c>
      <c r="AS975" s="81">
        <v>43369</v>
      </c>
      <c r="AT975" s="76" t="s">
        <v>2719</v>
      </c>
      <c r="AU975" s="220"/>
      <c r="AV975" s="220"/>
      <c r="AW975" s="220"/>
    </row>
    <row r="976" spans="1:49" s="221" customFormat="1" ht="409.5" x14ac:dyDescent="0.25">
      <c r="A976" s="63">
        <v>562</v>
      </c>
      <c r="B976" s="63" t="str">
        <f t="shared" si="99"/>
        <v>3075-562</v>
      </c>
      <c r="C976" s="76" t="s">
        <v>1141</v>
      </c>
      <c r="D976" s="76" t="s">
        <v>1142</v>
      </c>
      <c r="E976" s="76" t="s">
        <v>1143</v>
      </c>
      <c r="F976" s="76" t="s">
        <v>1158</v>
      </c>
      <c r="G976" s="77" t="s">
        <v>1159</v>
      </c>
      <c r="H976" s="78" t="s">
        <v>1160</v>
      </c>
      <c r="I976" s="76" t="s">
        <v>1147</v>
      </c>
      <c r="J976" s="76" t="s">
        <v>1148</v>
      </c>
      <c r="K976" s="76">
        <v>80111600</v>
      </c>
      <c r="L976" s="63" t="s">
        <v>1149</v>
      </c>
      <c r="M976" s="63" t="s">
        <v>58</v>
      </c>
      <c r="N976" s="63" t="s">
        <v>59</v>
      </c>
      <c r="O976" s="76" t="s">
        <v>1169</v>
      </c>
      <c r="P976" s="76" t="s">
        <v>2721</v>
      </c>
      <c r="Q976" s="79">
        <v>2472000</v>
      </c>
      <c r="R976" s="63">
        <v>1</v>
      </c>
      <c r="S976" s="80">
        <f t="shared" ref="S976:S986" si="106">Q976*R976*W976</f>
        <v>14832000</v>
      </c>
      <c r="T976" s="63"/>
      <c r="U976" s="63" t="s">
        <v>1163</v>
      </c>
      <c r="V976" s="81" t="s">
        <v>875</v>
      </c>
      <c r="W976" s="82">
        <v>6</v>
      </c>
      <c r="X976" s="63" t="s">
        <v>2722</v>
      </c>
      <c r="Y976" s="81">
        <v>43370</v>
      </c>
      <c r="Z976" s="83">
        <v>14832000</v>
      </c>
      <c r="AA976" s="84" t="s">
        <v>2185</v>
      </c>
      <c r="AB976" s="85">
        <v>1202</v>
      </c>
      <c r="AC976" s="81">
        <v>43370</v>
      </c>
      <c r="AD976" s="86">
        <v>14832000</v>
      </c>
      <c r="AE976" s="87">
        <f t="shared" si="105"/>
        <v>0</v>
      </c>
      <c r="AF976" s="85"/>
      <c r="AG976" s="81"/>
      <c r="AH976" s="86"/>
      <c r="AI976" s="63"/>
      <c r="AJ976" s="63"/>
      <c r="AK976" s="87">
        <f t="shared" si="103"/>
        <v>14832000</v>
      </c>
      <c r="AL976" s="86"/>
      <c r="AM976" s="86">
        <f t="shared" si="101"/>
        <v>0</v>
      </c>
      <c r="AN976" s="63" t="s">
        <v>1155</v>
      </c>
      <c r="AO976" s="86">
        <f t="shared" si="102"/>
        <v>14832000</v>
      </c>
      <c r="AP976" s="63"/>
      <c r="AQ976" s="81">
        <v>43370</v>
      </c>
      <c r="AR976" s="63" t="s">
        <v>2109</v>
      </c>
      <c r="AS976" s="81">
        <v>43370</v>
      </c>
      <c r="AT976" s="63" t="s">
        <v>1453</v>
      </c>
      <c r="AU976" s="220"/>
      <c r="AV976" s="220"/>
      <c r="AW976" s="220"/>
    </row>
    <row r="977" spans="1:49" s="221" customFormat="1" ht="409.5" x14ac:dyDescent="0.25">
      <c r="A977" s="63">
        <v>563</v>
      </c>
      <c r="B977" s="63" t="str">
        <f t="shared" si="99"/>
        <v>3075-563</v>
      </c>
      <c r="C977" s="76" t="s">
        <v>1141</v>
      </c>
      <c r="D977" s="76" t="s">
        <v>1142</v>
      </c>
      <c r="E977" s="76" t="s">
        <v>1143</v>
      </c>
      <c r="F977" s="76" t="s">
        <v>1158</v>
      </c>
      <c r="G977" s="77" t="s">
        <v>1159</v>
      </c>
      <c r="H977" s="78" t="s">
        <v>1160</v>
      </c>
      <c r="I977" s="76" t="s">
        <v>1147</v>
      </c>
      <c r="J977" s="76" t="s">
        <v>1148</v>
      </c>
      <c r="K977" s="76">
        <v>93141506</v>
      </c>
      <c r="L977" s="63" t="s">
        <v>1149</v>
      </c>
      <c r="M977" s="63" t="s">
        <v>58</v>
      </c>
      <c r="N977" s="63" t="s">
        <v>59</v>
      </c>
      <c r="O977" s="76" t="s">
        <v>1169</v>
      </c>
      <c r="P977" s="76" t="s">
        <v>2723</v>
      </c>
      <c r="Q977" s="79">
        <v>3553500</v>
      </c>
      <c r="R977" s="63">
        <v>1</v>
      </c>
      <c r="S977" s="80">
        <f t="shared" si="106"/>
        <v>21321000</v>
      </c>
      <c r="T977" s="63"/>
      <c r="U977" s="63" t="s">
        <v>1163</v>
      </c>
      <c r="V977" s="81" t="s">
        <v>875</v>
      </c>
      <c r="W977" s="82">
        <v>6</v>
      </c>
      <c r="X977" s="63" t="s">
        <v>2724</v>
      </c>
      <c r="Y977" s="81">
        <v>43370</v>
      </c>
      <c r="Z977" s="83">
        <v>21321000</v>
      </c>
      <c r="AA977" s="84" t="s">
        <v>2185</v>
      </c>
      <c r="AB977" s="85">
        <v>1207</v>
      </c>
      <c r="AC977" s="81">
        <v>43370</v>
      </c>
      <c r="AD977" s="86">
        <v>21321000</v>
      </c>
      <c r="AE977" s="87">
        <f t="shared" si="105"/>
        <v>0</v>
      </c>
      <c r="AF977" s="85"/>
      <c r="AG977" s="81"/>
      <c r="AH977" s="86"/>
      <c r="AI977" s="63"/>
      <c r="AJ977" s="63"/>
      <c r="AK977" s="87">
        <f t="shared" si="103"/>
        <v>21321000</v>
      </c>
      <c r="AL977" s="86"/>
      <c r="AM977" s="86">
        <f t="shared" si="101"/>
        <v>0</v>
      </c>
      <c r="AN977" s="63" t="s">
        <v>1155</v>
      </c>
      <c r="AO977" s="86">
        <f t="shared" si="102"/>
        <v>21321000</v>
      </c>
      <c r="AP977" s="63"/>
      <c r="AQ977" s="81">
        <v>43370</v>
      </c>
      <c r="AR977" s="63" t="s">
        <v>2109</v>
      </c>
      <c r="AS977" s="81">
        <v>43370</v>
      </c>
      <c r="AT977" s="63" t="s">
        <v>1453</v>
      </c>
      <c r="AU977" s="220"/>
      <c r="AV977" s="220"/>
      <c r="AW977" s="220"/>
    </row>
    <row r="978" spans="1:49" s="221" customFormat="1" ht="409.5" x14ac:dyDescent="0.25">
      <c r="A978" s="63">
        <v>564</v>
      </c>
      <c r="B978" s="63" t="str">
        <f t="shared" si="99"/>
        <v>3075-564</v>
      </c>
      <c r="C978" s="76" t="s">
        <v>1141</v>
      </c>
      <c r="D978" s="76" t="s">
        <v>1142</v>
      </c>
      <c r="E978" s="76" t="s">
        <v>1143</v>
      </c>
      <c r="F978" s="76" t="s">
        <v>1158</v>
      </c>
      <c r="G978" s="77" t="s">
        <v>1159</v>
      </c>
      <c r="H978" s="78" t="s">
        <v>1160</v>
      </c>
      <c r="I978" s="76" t="s">
        <v>1147</v>
      </c>
      <c r="J978" s="76" t="s">
        <v>1148</v>
      </c>
      <c r="K978" s="76">
        <v>81101500</v>
      </c>
      <c r="L978" s="63" t="s">
        <v>1149</v>
      </c>
      <c r="M978" s="63" t="s">
        <v>58</v>
      </c>
      <c r="N978" s="63" t="s">
        <v>59</v>
      </c>
      <c r="O978" s="76" t="s">
        <v>1169</v>
      </c>
      <c r="P978" s="76" t="s">
        <v>2707</v>
      </c>
      <c r="Q978" s="79">
        <v>3399000</v>
      </c>
      <c r="R978" s="63">
        <v>1</v>
      </c>
      <c r="S978" s="80">
        <f t="shared" si="106"/>
        <v>20394000</v>
      </c>
      <c r="T978" s="63"/>
      <c r="U978" s="63" t="s">
        <v>1163</v>
      </c>
      <c r="V978" s="81" t="s">
        <v>875</v>
      </c>
      <c r="W978" s="82">
        <v>6</v>
      </c>
      <c r="X978" s="90" t="s">
        <v>2725</v>
      </c>
      <c r="Y978" s="81">
        <v>43370</v>
      </c>
      <c r="Z978" s="83">
        <v>20394000</v>
      </c>
      <c r="AA978" s="84" t="s">
        <v>2185</v>
      </c>
      <c r="AB978" s="85">
        <v>1220</v>
      </c>
      <c r="AC978" s="81">
        <v>43370</v>
      </c>
      <c r="AD978" s="86">
        <v>20394000</v>
      </c>
      <c r="AE978" s="87">
        <f t="shared" si="105"/>
        <v>0</v>
      </c>
      <c r="AF978" s="85"/>
      <c r="AG978" s="81"/>
      <c r="AH978" s="86"/>
      <c r="AI978" s="63"/>
      <c r="AJ978" s="63"/>
      <c r="AK978" s="87">
        <f t="shared" si="103"/>
        <v>20394000</v>
      </c>
      <c r="AL978" s="86"/>
      <c r="AM978" s="86">
        <f t="shared" si="101"/>
        <v>0</v>
      </c>
      <c r="AN978" s="63" t="s">
        <v>1155</v>
      </c>
      <c r="AO978" s="86">
        <f t="shared" si="102"/>
        <v>20394000</v>
      </c>
      <c r="AP978" s="63"/>
      <c r="AQ978" s="81">
        <v>43370</v>
      </c>
      <c r="AR978" s="63" t="s">
        <v>2109</v>
      </c>
      <c r="AS978" s="81">
        <v>43370</v>
      </c>
      <c r="AT978" s="63" t="s">
        <v>1453</v>
      </c>
      <c r="AU978" s="220"/>
      <c r="AV978" s="220"/>
      <c r="AW978" s="220"/>
    </row>
    <row r="979" spans="1:49" s="221" customFormat="1" ht="409.5" x14ac:dyDescent="0.25">
      <c r="A979" s="63">
        <v>565</v>
      </c>
      <c r="B979" s="63" t="str">
        <f t="shared" si="99"/>
        <v>3075-565</v>
      </c>
      <c r="C979" s="76" t="s">
        <v>1141</v>
      </c>
      <c r="D979" s="76" t="s">
        <v>1142</v>
      </c>
      <c r="E979" s="76" t="s">
        <v>1143</v>
      </c>
      <c r="F979" s="76" t="s">
        <v>1158</v>
      </c>
      <c r="G979" s="77" t="s">
        <v>1159</v>
      </c>
      <c r="H979" s="78" t="s">
        <v>1160</v>
      </c>
      <c r="I979" s="76" t="s">
        <v>1147</v>
      </c>
      <c r="J979" s="76" t="s">
        <v>1148</v>
      </c>
      <c r="K979" s="76">
        <v>80111600</v>
      </c>
      <c r="L979" s="63" t="s">
        <v>1149</v>
      </c>
      <c r="M979" s="63" t="s">
        <v>58</v>
      </c>
      <c r="N979" s="63" t="s">
        <v>59</v>
      </c>
      <c r="O979" s="76" t="s">
        <v>1169</v>
      </c>
      <c r="P979" s="76" t="s">
        <v>2726</v>
      </c>
      <c r="Q979" s="79">
        <v>4532000</v>
      </c>
      <c r="R979" s="63">
        <v>1</v>
      </c>
      <c r="S979" s="80">
        <f t="shared" si="106"/>
        <v>27192000</v>
      </c>
      <c r="T979" s="63"/>
      <c r="U979" s="63" t="s">
        <v>1163</v>
      </c>
      <c r="V979" s="81" t="s">
        <v>875</v>
      </c>
      <c r="W979" s="82">
        <v>6</v>
      </c>
      <c r="X979" s="63" t="s">
        <v>2727</v>
      </c>
      <c r="Y979" s="81">
        <v>43370</v>
      </c>
      <c r="Z979" s="83">
        <v>27192000</v>
      </c>
      <c r="AA979" s="84" t="s">
        <v>2185</v>
      </c>
      <c r="AB979" s="85">
        <v>1201</v>
      </c>
      <c r="AC979" s="81">
        <v>43370</v>
      </c>
      <c r="AD979" s="86">
        <v>27192000</v>
      </c>
      <c r="AE979" s="87">
        <f t="shared" si="105"/>
        <v>0</v>
      </c>
      <c r="AF979" s="85"/>
      <c r="AG979" s="81"/>
      <c r="AH979" s="86"/>
      <c r="AI979" s="63"/>
      <c r="AJ979" s="63"/>
      <c r="AK979" s="87">
        <f t="shared" si="103"/>
        <v>27192000</v>
      </c>
      <c r="AL979" s="86"/>
      <c r="AM979" s="86">
        <f t="shared" si="101"/>
        <v>0</v>
      </c>
      <c r="AN979" s="63" t="s">
        <v>1155</v>
      </c>
      <c r="AO979" s="86">
        <f t="shared" si="102"/>
        <v>27192000</v>
      </c>
      <c r="AP979" s="63"/>
      <c r="AQ979" s="81">
        <v>43370</v>
      </c>
      <c r="AR979" s="63" t="s">
        <v>2109</v>
      </c>
      <c r="AS979" s="81">
        <v>43370</v>
      </c>
      <c r="AT979" s="63" t="s">
        <v>1453</v>
      </c>
      <c r="AU979" s="220"/>
      <c r="AV979" s="220"/>
      <c r="AW979" s="220"/>
    </row>
    <row r="980" spans="1:49" s="221" customFormat="1" ht="409.5" x14ac:dyDescent="0.25">
      <c r="A980" s="63">
        <v>566</v>
      </c>
      <c r="B980" s="63" t="str">
        <f t="shared" si="99"/>
        <v>3075-566</v>
      </c>
      <c r="C980" s="76" t="s">
        <v>1141</v>
      </c>
      <c r="D980" s="76" t="s">
        <v>1142</v>
      </c>
      <c r="E980" s="76" t="s">
        <v>1143</v>
      </c>
      <c r="F980" s="76" t="s">
        <v>1158</v>
      </c>
      <c r="G980" s="77" t="s">
        <v>1159</v>
      </c>
      <c r="H980" s="78" t="s">
        <v>1160</v>
      </c>
      <c r="I980" s="76" t="s">
        <v>1147</v>
      </c>
      <c r="J980" s="76" t="s">
        <v>1148</v>
      </c>
      <c r="K980" s="76">
        <v>93141506</v>
      </c>
      <c r="L980" s="63" t="s">
        <v>1149</v>
      </c>
      <c r="M980" s="63" t="s">
        <v>58</v>
      </c>
      <c r="N980" s="63" t="s">
        <v>59</v>
      </c>
      <c r="O980" s="76" t="s">
        <v>1169</v>
      </c>
      <c r="P980" s="76" t="s">
        <v>2728</v>
      </c>
      <c r="Q980" s="79">
        <v>4532000</v>
      </c>
      <c r="R980" s="63">
        <v>1</v>
      </c>
      <c r="S980" s="80">
        <f t="shared" si="106"/>
        <v>27192000</v>
      </c>
      <c r="T980" s="63"/>
      <c r="U980" s="63" t="s">
        <v>1163</v>
      </c>
      <c r="V980" s="81" t="s">
        <v>875</v>
      </c>
      <c r="W980" s="82">
        <v>6</v>
      </c>
      <c r="X980" s="63" t="s">
        <v>2729</v>
      </c>
      <c r="Y980" s="81">
        <v>43370</v>
      </c>
      <c r="Z980" s="83">
        <v>27192000</v>
      </c>
      <c r="AA980" s="84" t="s">
        <v>2185</v>
      </c>
      <c r="AB980" s="85">
        <v>1206</v>
      </c>
      <c r="AC980" s="81">
        <v>43370</v>
      </c>
      <c r="AD980" s="86">
        <v>27192000</v>
      </c>
      <c r="AE980" s="87">
        <f t="shared" si="105"/>
        <v>0</v>
      </c>
      <c r="AF980" s="85"/>
      <c r="AG980" s="81"/>
      <c r="AH980" s="86"/>
      <c r="AI980" s="63"/>
      <c r="AJ980" s="63"/>
      <c r="AK980" s="87">
        <f t="shared" si="103"/>
        <v>27192000</v>
      </c>
      <c r="AL980" s="86"/>
      <c r="AM980" s="86">
        <f t="shared" si="101"/>
        <v>0</v>
      </c>
      <c r="AN980" s="63" t="s">
        <v>1155</v>
      </c>
      <c r="AO980" s="86">
        <f t="shared" si="102"/>
        <v>27192000</v>
      </c>
      <c r="AP980" s="63"/>
      <c r="AQ980" s="81">
        <v>43370</v>
      </c>
      <c r="AR980" s="63" t="s">
        <v>2109</v>
      </c>
      <c r="AS980" s="81">
        <v>43370</v>
      </c>
      <c r="AT980" s="63" t="s">
        <v>1453</v>
      </c>
      <c r="AU980" s="220"/>
      <c r="AV980" s="220"/>
      <c r="AW980" s="220"/>
    </row>
    <row r="981" spans="1:49" s="221" customFormat="1" ht="409.5" x14ac:dyDescent="0.25">
      <c r="A981" s="63">
        <v>567</v>
      </c>
      <c r="B981" s="63" t="str">
        <f t="shared" si="99"/>
        <v>3075-567</v>
      </c>
      <c r="C981" s="76" t="s">
        <v>1141</v>
      </c>
      <c r="D981" s="76" t="s">
        <v>1142</v>
      </c>
      <c r="E981" s="76" t="s">
        <v>1143</v>
      </c>
      <c r="F981" s="76" t="s">
        <v>1158</v>
      </c>
      <c r="G981" s="77" t="s">
        <v>1159</v>
      </c>
      <c r="H981" s="78" t="s">
        <v>1160</v>
      </c>
      <c r="I981" s="76" t="s">
        <v>1147</v>
      </c>
      <c r="J981" s="76" t="s">
        <v>1148</v>
      </c>
      <c r="K981" s="76">
        <v>81101500</v>
      </c>
      <c r="L981" s="63" t="s">
        <v>1149</v>
      </c>
      <c r="M981" s="63" t="s">
        <v>58</v>
      </c>
      <c r="N981" s="63" t="s">
        <v>59</v>
      </c>
      <c r="O981" s="76" t="s">
        <v>1169</v>
      </c>
      <c r="P981" s="76" t="s">
        <v>2707</v>
      </c>
      <c r="Q981" s="79">
        <v>4120000</v>
      </c>
      <c r="R981" s="63">
        <v>1</v>
      </c>
      <c r="S981" s="80">
        <f t="shared" si="106"/>
        <v>24720000</v>
      </c>
      <c r="T981" s="63"/>
      <c r="U981" s="63" t="s">
        <v>1163</v>
      </c>
      <c r="V981" s="81" t="s">
        <v>875</v>
      </c>
      <c r="W981" s="82">
        <v>6</v>
      </c>
      <c r="X981" s="90" t="s">
        <v>2730</v>
      </c>
      <c r="Y981" s="81">
        <v>43370</v>
      </c>
      <c r="Z981" s="83">
        <v>24720000</v>
      </c>
      <c r="AA981" s="84" t="s">
        <v>2185</v>
      </c>
      <c r="AB981" s="85">
        <v>1219</v>
      </c>
      <c r="AC981" s="81">
        <v>43370</v>
      </c>
      <c r="AD981" s="86">
        <v>24720000</v>
      </c>
      <c r="AE981" s="87">
        <f t="shared" si="105"/>
        <v>0</v>
      </c>
      <c r="AF981" s="85"/>
      <c r="AG981" s="81"/>
      <c r="AH981" s="86"/>
      <c r="AI981" s="63"/>
      <c r="AJ981" s="63"/>
      <c r="AK981" s="87">
        <f t="shared" si="103"/>
        <v>24720000</v>
      </c>
      <c r="AL981" s="86"/>
      <c r="AM981" s="86">
        <f t="shared" si="101"/>
        <v>0</v>
      </c>
      <c r="AN981" s="63" t="s">
        <v>1155</v>
      </c>
      <c r="AO981" s="86">
        <f t="shared" si="102"/>
        <v>24720000</v>
      </c>
      <c r="AP981" s="63"/>
      <c r="AQ981" s="81">
        <v>43370</v>
      </c>
      <c r="AR981" s="63" t="s">
        <v>2109</v>
      </c>
      <c r="AS981" s="81">
        <v>43370</v>
      </c>
      <c r="AT981" s="63" t="s">
        <v>1453</v>
      </c>
      <c r="AU981" s="220"/>
      <c r="AV981" s="220"/>
      <c r="AW981" s="220"/>
    </row>
    <row r="982" spans="1:49" s="221" customFormat="1" ht="356.25" x14ac:dyDescent="0.25">
      <c r="A982" s="63">
        <v>568</v>
      </c>
      <c r="B982" s="63" t="str">
        <f t="shared" si="99"/>
        <v>3075-568</v>
      </c>
      <c r="C982" s="76" t="s">
        <v>1141</v>
      </c>
      <c r="D982" s="76" t="s">
        <v>1142</v>
      </c>
      <c r="E982" s="76" t="s">
        <v>1143</v>
      </c>
      <c r="F982" s="76" t="s">
        <v>1158</v>
      </c>
      <c r="G982" s="77" t="s">
        <v>1159</v>
      </c>
      <c r="H982" s="78" t="s">
        <v>1160</v>
      </c>
      <c r="I982" s="76" t="s">
        <v>1147</v>
      </c>
      <c r="J982" s="76" t="s">
        <v>1148</v>
      </c>
      <c r="K982" s="76">
        <v>93141506</v>
      </c>
      <c r="L982" s="63" t="s">
        <v>1149</v>
      </c>
      <c r="M982" s="63" t="s">
        <v>58</v>
      </c>
      <c r="N982" s="63" t="s">
        <v>59</v>
      </c>
      <c r="O982" s="76" t="s">
        <v>1169</v>
      </c>
      <c r="P982" s="76" t="s">
        <v>2731</v>
      </c>
      <c r="Q982" s="79">
        <v>5036700</v>
      </c>
      <c r="R982" s="63">
        <v>1</v>
      </c>
      <c r="S982" s="80">
        <f t="shared" si="106"/>
        <v>30220200</v>
      </c>
      <c r="T982" s="63"/>
      <c r="U982" s="63" t="s">
        <v>1163</v>
      </c>
      <c r="V982" s="81" t="s">
        <v>875</v>
      </c>
      <c r="W982" s="82">
        <v>6</v>
      </c>
      <c r="X982" s="63" t="s">
        <v>2732</v>
      </c>
      <c r="Y982" s="81">
        <v>43370</v>
      </c>
      <c r="Z982" s="83">
        <v>30220200</v>
      </c>
      <c r="AA982" s="84" t="s">
        <v>2185</v>
      </c>
      <c r="AB982" s="85">
        <v>1203</v>
      </c>
      <c r="AC982" s="81">
        <v>43370</v>
      </c>
      <c r="AD982" s="86">
        <v>30220200</v>
      </c>
      <c r="AE982" s="87">
        <f t="shared" si="105"/>
        <v>0</v>
      </c>
      <c r="AF982" s="85"/>
      <c r="AG982" s="81"/>
      <c r="AH982" s="86"/>
      <c r="AI982" s="63"/>
      <c r="AJ982" s="63"/>
      <c r="AK982" s="87">
        <f t="shared" si="103"/>
        <v>30220200</v>
      </c>
      <c r="AL982" s="86"/>
      <c r="AM982" s="86">
        <f t="shared" si="101"/>
        <v>0</v>
      </c>
      <c r="AN982" s="63" t="s">
        <v>1155</v>
      </c>
      <c r="AO982" s="86">
        <f t="shared" si="102"/>
        <v>30220200</v>
      </c>
      <c r="AP982" s="63"/>
      <c r="AQ982" s="81">
        <v>43370</v>
      </c>
      <c r="AR982" s="63" t="s">
        <v>2109</v>
      </c>
      <c r="AS982" s="81">
        <v>43370</v>
      </c>
      <c r="AT982" s="63" t="s">
        <v>1453</v>
      </c>
      <c r="AU982" s="220"/>
      <c r="AV982" s="220"/>
      <c r="AW982" s="220"/>
    </row>
    <row r="983" spans="1:49" s="221" customFormat="1" ht="409.5" x14ac:dyDescent="0.25">
      <c r="A983" s="63">
        <v>569</v>
      </c>
      <c r="B983" s="63" t="str">
        <f t="shared" si="99"/>
        <v>3075-569</v>
      </c>
      <c r="C983" s="76" t="s">
        <v>1141</v>
      </c>
      <c r="D983" s="76" t="s">
        <v>1142</v>
      </c>
      <c r="E983" s="76" t="s">
        <v>1143</v>
      </c>
      <c r="F983" s="76" t="s">
        <v>1158</v>
      </c>
      <c r="G983" s="77" t="s">
        <v>1159</v>
      </c>
      <c r="H983" s="78" t="s">
        <v>1160</v>
      </c>
      <c r="I983" s="76" t="s">
        <v>1147</v>
      </c>
      <c r="J983" s="76" t="s">
        <v>1148</v>
      </c>
      <c r="K983" s="76">
        <v>81101500</v>
      </c>
      <c r="L983" s="63" t="s">
        <v>1149</v>
      </c>
      <c r="M983" s="63" t="s">
        <v>58</v>
      </c>
      <c r="N983" s="63" t="s">
        <v>59</v>
      </c>
      <c r="O983" s="76" t="s">
        <v>1169</v>
      </c>
      <c r="P983" s="76" t="s">
        <v>2733</v>
      </c>
      <c r="Q983" s="79">
        <v>4532000</v>
      </c>
      <c r="R983" s="63">
        <v>1</v>
      </c>
      <c r="S983" s="80">
        <f t="shared" si="106"/>
        <v>27192000</v>
      </c>
      <c r="T983" s="63"/>
      <c r="U983" s="63" t="s">
        <v>1163</v>
      </c>
      <c r="V983" s="81" t="s">
        <v>875</v>
      </c>
      <c r="W983" s="82">
        <v>6</v>
      </c>
      <c r="X983" s="63" t="s">
        <v>2734</v>
      </c>
      <c r="Y983" s="81">
        <v>43370</v>
      </c>
      <c r="Z983" s="83">
        <v>27192000</v>
      </c>
      <c r="AA983" s="84" t="s">
        <v>2185</v>
      </c>
      <c r="AB983" s="85">
        <v>1209</v>
      </c>
      <c r="AC983" s="81">
        <v>43370</v>
      </c>
      <c r="AD983" s="86">
        <v>27192000</v>
      </c>
      <c r="AE983" s="87">
        <f t="shared" si="105"/>
        <v>0</v>
      </c>
      <c r="AF983" s="85"/>
      <c r="AG983" s="81"/>
      <c r="AH983" s="86"/>
      <c r="AI983" s="63"/>
      <c r="AJ983" s="63"/>
      <c r="AK983" s="87">
        <f t="shared" si="103"/>
        <v>27192000</v>
      </c>
      <c r="AL983" s="86"/>
      <c r="AM983" s="86">
        <f t="shared" si="101"/>
        <v>0</v>
      </c>
      <c r="AN983" s="63" t="s">
        <v>1155</v>
      </c>
      <c r="AO983" s="86">
        <f t="shared" si="102"/>
        <v>27192000</v>
      </c>
      <c r="AP983" s="63"/>
      <c r="AQ983" s="81">
        <v>43370</v>
      </c>
      <c r="AR983" s="63" t="s">
        <v>2109</v>
      </c>
      <c r="AS983" s="81">
        <v>43370</v>
      </c>
      <c r="AT983" s="63" t="s">
        <v>1453</v>
      </c>
      <c r="AU983" s="220"/>
      <c r="AV983" s="220"/>
      <c r="AW983" s="220"/>
    </row>
    <row r="984" spans="1:49" s="221" customFormat="1" ht="409.5" x14ac:dyDescent="0.25">
      <c r="A984" s="63">
        <v>570</v>
      </c>
      <c r="B984" s="63" t="str">
        <f t="shared" si="99"/>
        <v>3075-570</v>
      </c>
      <c r="C984" s="76" t="s">
        <v>1141</v>
      </c>
      <c r="D984" s="76" t="s">
        <v>1142</v>
      </c>
      <c r="E984" s="76" t="s">
        <v>1143</v>
      </c>
      <c r="F984" s="76" t="s">
        <v>1158</v>
      </c>
      <c r="G984" s="77" t="s">
        <v>1159</v>
      </c>
      <c r="H984" s="78" t="s">
        <v>1160</v>
      </c>
      <c r="I984" s="76" t="s">
        <v>1147</v>
      </c>
      <c r="J984" s="76" t="s">
        <v>1148</v>
      </c>
      <c r="K984" s="76">
        <v>93141506</v>
      </c>
      <c r="L984" s="63" t="s">
        <v>1149</v>
      </c>
      <c r="M984" s="63" t="s">
        <v>58</v>
      </c>
      <c r="N984" s="63" t="s">
        <v>59</v>
      </c>
      <c r="O984" s="76" t="s">
        <v>1169</v>
      </c>
      <c r="P984" s="76" t="s">
        <v>2723</v>
      </c>
      <c r="Q984" s="79">
        <v>3399000</v>
      </c>
      <c r="R984" s="63">
        <v>1</v>
      </c>
      <c r="S984" s="80">
        <f t="shared" si="106"/>
        <v>20394000</v>
      </c>
      <c r="T984" s="63"/>
      <c r="U984" s="63" t="s">
        <v>1163</v>
      </c>
      <c r="V984" s="81" t="s">
        <v>875</v>
      </c>
      <c r="W984" s="82">
        <v>6</v>
      </c>
      <c r="X984" s="90" t="s">
        <v>2735</v>
      </c>
      <c r="Y984" s="81">
        <v>43370</v>
      </c>
      <c r="Z984" s="83">
        <v>20394000</v>
      </c>
      <c r="AA984" s="84" t="s">
        <v>2185</v>
      </c>
      <c r="AB984" s="85">
        <v>1231</v>
      </c>
      <c r="AC984" s="81">
        <v>43370</v>
      </c>
      <c r="AD984" s="86">
        <v>20394000</v>
      </c>
      <c r="AE984" s="87">
        <f t="shared" si="105"/>
        <v>0</v>
      </c>
      <c r="AF984" s="85"/>
      <c r="AG984" s="81"/>
      <c r="AH984" s="86"/>
      <c r="AI984" s="63"/>
      <c r="AJ984" s="63"/>
      <c r="AK984" s="87">
        <f t="shared" si="103"/>
        <v>20394000</v>
      </c>
      <c r="AL984" s="86"/>
      <c r="AM984" s="86">
        <f t="shared" si="101"/>
        <v>0</v>
      </c>
      <c r="AN984" s="63" t="s">
        <v>1155</v>
      </c>
      <c r="AO984" s="86">
        <f t="shared" si="102"/>
        <v>20394000</v>
      </c>
      <c r="AP984" s="63"/>
      <c r="AQ984" s="81">
        <v>43370</v>
      </c>
      <c r="AR984" s="63" t="s">
        <v>2109</v>
      </c>
      <c r="AS984" s="81">
        <v>43370</v>
      </c>
      <c r="AT984" s="63" t="s">
        <v>1453</v>
      </c>
      <c r="AU984" s="220"/>
      <c r="AV984" s="220"/>
      <c r="AW984" s="220"/>
    </row>
    <row r="985" spans="1:49" s="221" customFormat="1" ht="409.5" x14ac:dyDescent="0.25">
      <c r="A985" s="63">
        <v>571</v>
      </c>
      <c r="B985" s="63" t="str">
        <f t="shared" si="99"/>
        <v>3075-571</v>
      </c>
      <c r="C985" s="76" t="s">
        <v>1141</v>
      </c>
      <c r="D985" s="76" t="s">
        <v>1142</v>
      </c>
      <c r="E985" s="76" t="s">
        <v>1143</v>
      </c>
      <c r="F985" s="76" t="s">
        <v>1158</v>
      </c>
      <c r="G985" s="77" t="s">
        <v>1159</v>
      </c>
      <c r="H985" s="78" t="s">
        <v>1160</v>
      </c>
      <c r="I985" s="76" t="s">
        <v>1147</v>
      </c>
      <c r="J985" s="76" t="s">
        <v>1148</v>
      </c>
      <c r="K985" s="76">
        <v>93141506</v>
      </c>
      <c r="L985" s="63" t="s">
        <v>1149</v>
      </c>
      <c r="M985" s="63" t="s">
        <v>58</v>
      </c>
      <c r="N985" s="63" t="s">
        <v>59</v>
      </c>
      <c r="O985" s="76" t="s">
        <v>1169</v>
      </c>
      <c r="P985" s="76" t="s">
        <v>2736</v>
      </c>
      <c r="Q985" s="79">
        <v>3399000</v>
      </c>
      <c r="R985" s="63">
        <v>1</v>
      </c>
      <c r="S985" s="80">
        <f t="shared" si="106"/>
        <v>20394000</v>
      </c>
      <c r="T985" s="63"/>
      <c r="U985" s="63" t="s">
        <v>1163</v>
      </c>
      <c r="V985" s="81" t="s">
        <v>875</v>
      </c>
      <c r="W985" s="82">
        <v>6</v>
      </c>
      <c r="X985" s="63" t="s">
        <v>2737</v>
      </c>
      <c r="Y985" s="81">
        <v>43370</v>
      </c>
      <c r="Z985" s="83">
        <v>20394000</v>
      </c>
      <c r="AA985" s="84" t="s">
        <v>2185</v>
      </c>
      <c r="AB985" s="85">
        <v>1218</v>
      </c>
      <c r="AC985" s="81">
        <v>43370</v>
      </c>
      <c r="AD985" s="86">
        <v>20394000</v>
      </c>
      <c r="AE985" s="87">
        <f t="shared" si="105"/>
        <v>0</v>
      </c>
      <c r="AF985" s="85"/>
      <c r="AG985" s="81"/>
      <c r="AH985" s="86"/>
      <c r="AI985" s="63"/>
      <c r="AJ985" s="63"/>
      <c r="AK985" s="87">
        <f t="shared" si="103"/>
        <v>20394000</v>
      </c>
      <c r="AL985" s="86"/>
      <c r="AM985" s="86">
        <f t="shared" si="101"/>
        <v>0</v>
      </c>
      <c r="AN985" s="63" t="s">
        <v>1155</v>
      </c>
      <c r="AO985" s="86">
        <f t="shared" si="102"/>
        <v>20394000</v>
      </c>
      <c r="AP985" s="63"/>
      <c r="AQ985" s="81">
        <v>43370</v>
      </c>
      <c r="AR985" s="63" t="s">
        <v>2109</v>
      </c>
      <c r="AS985" s="81">
        <v>43370</v>
      </c>
      <c r="AT985" s="63" t="s">
        <v>1453</v>
      </c>
      <c r="AU985" s="220"/>
      <c r="AV985" s="220"/>
      <c r="AW985" s="220"/>
    </row>
    <row r="986" spans="1:49" s="221" customFormat="1" ht="409.5" x14ac:dyDescent="0.25">
      <c r="A986" s="63">
        <v>572</v>
      </c>
      <c r="B986" s="63" t="str">
        <f t="shared" si="99"/>
        <v>3075-572</v>
      </c>
      <c r="C986" s="76" t="s">
        <v>1141</v>
      </c>
      <c r="D986" s="76" t="s">
        <v>1142</v>
      </c>
      <c r="E986" s="76" t="s">
        <v>1143</v>
      </c>
      <c r="F986" s="76" t="s">
        <v>1158</v>
      </c>
      <c r="G986" s="77" t="s">
        <v>1159</v>
      </c>
      <c r="H986" s="78" t="s">
        <v>1160</v>
      </c>
      <c r="I986" s="76" t="s">
        <v>1147</v>
      </c>
      <c r="J986" s="76" t="s">
        <v>1148</v>
      </c>
      <c r="K986" s="76">
        <v>80111600</v>
      </c>
      <c r="L986" s="63" t="s">
        <v>1149</v>
      </c>
      <c r="M986" s="63" t="s">
        <v>58</v>
      </c>
      <c r="N986" s="63" t="s">
        <v>59</v>
      </c>
      <c r="O986" s="76" t="s">
        <v>1169</v>
      </c>
      <c r="P986" s="76" t="s">
        <v>2697</v>
      </c>
      <c r="Q986" s="79">
        <v>1545000</v>
      </c>
      <c r="R986" s="63">
        <v>1</v>
      </c>
      <c r="S986" s="80">
        <f t="shared" si="106"/>
        <v>9270000</v>
      </c>
      <c r="T986" s="63"/>
      <c r="U986" s="63" t="s">
        <v>1163</v>
      </c>
      <c r="V986" s="81" t="s">
        <v>875</v>
      </c>
      <c r="W986" s="82">
        <v>6</v>
      </c>
      <c r="X986" s="63" t="s">
        <v>2738</v>
      </c>
      <c r="Y986" s="81">
        <v>43370</v>
      </c>
      <c r="Z986" s="83">
        <v>9270000</v>
      </c>
      <c r="AA986" s="84" t="s">
        <v>2739</v>
      </c>
      <c r="AB986" s="85">
        <v>1221</v>
      </c>
      <c r="AC986" s="81">
        <v>43370</v>
      </c>
      <c r="AD986" s="86">
        <v>9270000</v>
      </c>
      <c r="AE986" s="87">
        <f t="shared" si="105"/>
        <v>0</v>
      </c>
      <c r="AF986" s="85"/>
      <c r="AG986" s="81"/>
      <c r="AH986" s="86"/>
      <c r="AI986" s="63"/>
      <c r="AJ986" s="63"/>
      <c r="AK986" s="87">
        <f t="shared" si="103"/>
        <v>9270000</v>
      </c>
      <c r="AL986" s="86"/>
      <c r="AM986" s="86">
        <f t="shared" si="101"/>
        <v>0</v>
      </c>
      <c r="AN986" s="63" t="s">
        <v>1155</v>
      </c>
      <c r="AO986" s="86">
        <f t="shared" si="102"/>
        <v>9270000</v>
      </c>
      <c r="AP986" s="63"/>
      <c r="AQ986" s="81">
        <v>43370</v>
      </c>
      <c r="AR986" s="63" t="s">
        <v>2109</v>
      </c>
      <c r="AS986" s="81">
        <v>43370</v>
      </c>
      <c r="AT986" s="63" t="s">
        <v>1453</v>
      </c>
      <c r="AU986" s="220"/>
      <c r="AV986" s="220"/>
      <c r="AW986" s="220"/>
    </row>
    <row r="987" spans="1:49" s="221" customFormat="1" ht="409.5" x14ac:dyDescent="0.25">
      <c r="A987" s="63">
        <v>573</v>
      </c>
      <c r="B987" s="63" t="str">
        <f t="shared" si="99"/>
        <v>3075-573</v>
      </c>
      <c r="C987" s="76" t="s">
        <v>1141</v>
      </c>
      <c r="D987" s="76" t="s">
        <v>1142</v>
      </c>
      <c r="E987" s="76" t="s">
        <v>1143</v>
      </c>
      <c r="F987" s="76" t="s">
        <v>1158</v>
      </c>
      <c r="G987" s="88" t="s">
        <v>1159</v>
      </c>
      <c r="H987" s="78" t="s">
        <v>1160</v>
      </c>
      <c r="I987" s="76" t="s">
        <v>1147</v>
      </c>
      <c r="J987" s="76" t="s">
        <v>1148</v>
      </c>
      <c r="K987" s="76">
        <v>81101500</v>
      </c>
      <c r="L987" s="63" t="s">
        <v>1149</v>
      </c>
      <c r="M987" s="63" t="s">
        <v>58</v>
      </c>
      <c r="N987" s="63" t="s">
        <v>59</v>
      </c>
      <c r="O987" s="63" t="s">
        <v>1161</v>
      </c>
      <c r="P987" s="76" t="s">
        <v>2740</v>
      </c>
      <c r="Q987" s="79">
        <v>4532000</v>
      </c>
      <c r="R987" s="63">
        <v>1</v>
      </c>
      <c r="S987" s="80">
        <f>Q987*R987*W987</f>
        <v>27192000</v>
      </c>
      <c r="T987" s="63"/>
      <c r="U987" s="63" t="s">
        <v>1163</v>
      </c>
      <c r="V987" s="81" t="s">
        <v>875</v>
      </c>
      <c r="W987" s="82">
        <v>6</v>
      </c>
      <c r="X987" s="63" t="s">
        <v>2741</v>
      </c>
      <c r="Y987" s="89">
        <v>43370</v>
      </c>
      <c r="Z987" s="83">
        <v>27192000</v>
      </c>
      <c r="AA987" s="84" t="s">
        <v>2742</v>
      </c>
      <c r="AB987" s="85"/>
      <c r="AC987" s="81"/>
      <c r="AD987" s="86"/>
      <c r="AE987" s="87">
        <f t="shared" si="105"/>
        <v>0</v>
      </c>
      <c r="AF987" s="85"/>
      <c r="AG987" s="81"/>
      <c r="AH987" s="86"/>
      <c r="AI987" s="63"/>
      <c r="AJ987" s="63"/>
      <c r="AK987" s="87">
        <f t="shared" si="103"/>
        <v>0</v>
      </c>
      <c r="AL987" s="86">
        <v>0</v>
      </c>
      <c r="AM987" s="86">
        <f t="shared" si="101"/>
        <v>0</v>
      </c>
      <c r="AN987" s="63" t="s">
        <v>1155</v>
      </c>
      <c r="AO987" s="86">
        <f t="shared" si="102"/>
        <v>27192000</v>
      </c>
      <c r="AP987" s="63"/>
      <c r="AQ987" s="81">
        <v>43370</v>
      </c>
      <c r="AR987" s="63" t="s">
        <v>2109</v>
      </c>
      <c r="AS987" s="81">
        <v>43370</v>
      </c>
      <c r="AT987" s="63" t="s">
        <v>1453</v>
      </c>
      <c r="AU987" s="220"/>
      <c r="AV987" s="220"/>
      <c r="AW987" s="220"/>
    </row>
    <row r="988" spans="1:49" s="221" customFormat="1" ht="409.5" x14ac:dyDescent="0.25">
      <c r="A988" s="63">
        <v>574</v>
      </c>
      <c r="B988" s="63" t="str">
        <f t="shared" si="99"/>
        <v>3075-574</v>
      </c>
      <c r="C988" s="76" t="s">
        <v>1141</v>
      </c>
      <c r="D988" s="76" t="s">
        <v>1142</v>
      </c>
      <c r="E988" s="76" t="s">
        <v>1143</v>
      </c>
      <c r="F988" s="76" t="s">
        <v>1158</v>
      </c>
      <c r="G988" s="88" t="s">
        <v>1159</v>
      </c>
      <c r="H988" s="78" t="s">
        <v>1160</v>
      </c>
      <c r="I988" s="76" t="s">
        <v>1147</v>
      </c>
      <c r="J988" s="76" t="s">
        <v>1148</v>
      </c>
      <c r="K988" s="76">
        <v>81101500</v>
      </c>
      <c r="L988" s="63" t="s">
        <v>1149</v>
      </c>
      <c r="M988" s="63" t="s">
        <v>58</v>
      </c>
      <c r="N988" s="63" t="s">
        <v>59</v>
      </c>
      <c r="O988" s="63" t="s">
        <v>1161</v>
      </c>
      <c r="P988" s="76" t="s">
        <v>2740</v>
      </c>
      <c r="Q988" s="79">
        <v>4532000</v>
      </c>
      <c r="R988" s="63">
        <v>1</v>
      </c>
      <c r="S988" s="80">
        <f t="shared" ref="S988:S990" si="107">Q988*R988*W988</f>
        <v>27192000</v>
      </c>
      <c r="T988" s="63"/>
      <c r="U988" s="63" t="s">
        <v>1163</v>
      </c>
      <c r="V988" s="81" t="s">
        <v>875</v>
      </c>
      <c r="W988" s="82">
        <v>6</v>
      </c>
      <c r="X988" s="63" t="s">
        <v>2743</v>
      </c>
      <c r="Y988" s="89">
        <v>43370</v>
      </c>
      <c r="Z988" s="83">
        <v>27192000</v>
      </c>
      <c r="AA988" s="84" t="s">
        <v>2742</v>
      </c>
      <c r="AB988" s="85"/>
      <c r="AC988" s="81"/>
      <c r="AD988" s="86"/>
      <c r="AE988" s="87">
        <f t="shared" si="105"/>
        <v>0</v>
      </c>
      <c r="AF988" s="85"/>
      <c r="AG988" s="81"/>
      <c r="AH988" s="86"/>
      <c r="AI988" s="63"/>
      <c r="AJ988" s="63"/>
      <c r="AK988" s="87">
        <f t="shared" si="103"/>
        <v>0</v>
      </c>
      <c r="AL988" s="86">
        <v>0</v>
      </c>
      <c r="AM988" s="86">
        <f t="shared" si="101"/>
        <v>0</v>
      </c>
      <c r="AN988" s="63" t="s">
        <v>1155</v>
      </c>
      <c r="AO988" s="86">
        <f t="shared" si="102"/>
        <v>27192000</v>
      </c>
      <c r="AP988" s="63"/>
      <c r="AQ988" s="81">
        <v>43370</v>
      </c>
      <c r="AR988" s="63" t="s">
        <v>2109</v>
      </c>
      <c r="AS988" s="81">
        <v>43370</v>
      </c>
      <c r="AT988" s="63" t="s">
        <v>1453</v>
      </c>
      <c r="AU988" s="220"/>
      <c r="AV988" s="220"/>
      <c r="AW988" s="220"/>
    </row>
    <row r="989" spans="1:49" s="221" customFormat="1" ht="327.75" x14ac:dyDescent="0.25">
      <c r="A989" s="63">
        <v>575</v>
      </c>
      <c r="B989" s="63" t="str">
        <f t="shared" si="99"/>
        <v>3075-575</v>
      </c>
      <c r="C989" s="76" t="s">
        <v>1141</v>
      </c>
      <c r="D989" s="76" t="s">
        <v>1142</v>
      </c>
      <c r="E989" s="76" t="s">
        <v>1143</v>
      </c>
      <c r="F989" s="76" t="s">
        <v>1158</v>
      </c>
      <c r="G989" s="88" t="s">
        <v>1159</v>
      </c>
      <c r="H989" s="78" t="s">
        <v>1160</v>
      </c>
      <c r="I989" s="76" t="s">
        <v>1147</v>
      </c>
      <c r="J989" s="76" t="s">
        <v>1148</v>
      </c>
      <c r="K989" s="76">
        <v>84111500</v>
      </c>
      <c r="L989" s="63" t="s">
        <v>1149</v>
      </c>
      <c r="M989" s="63" t="s">
        <v>58</v>
      </c>
      <c r="N989" s="63" t="s">
        <v>59</v>
      </c>
      <c r="O989" s="63" t="s">
        <v>1161</v>
      </c>
      <c r="P989" s="76" t="s">
        <v>1505</v>
      </c>
      <c r="Q989" s="79">
        <v>4120000</v>
      </c>
      <c r="R989" s="63">
        <v>1</v>
      </c>
      <c r="S989" s="80">
        <f t="shared" si="107"/>
        <v>24720000</v>
      </c>
      <c r="T989" s="63"/>
      <c r="U989" s="63" t="s">
        <v>1163</v>
      </c>
      <c r="V989" s="81" t="s">
        <v>875</v>
      </c>
      <c r="W989" s="82">
        <v>6</v>
      </c>
      <c r="X989" s="63" t="s">
        <v>2744</v>
      </c>
      <c r="Y989" s="89">
        <v>43370</v>
      </c>
      <c r="Z989" s="83">
        <v>24720000</v>
      </c>
      <c r="AA989" s="84" t="s">
        <v>2742</v>
      </c>
      <c r="AB989" s="85"/>
      <c r="AC989" s="81"/>
      <c r="AD989" s="86"/>
      <c r="AE989" s="87">
        <f t="shared" si="105"/>
        <v>0</v>
      </c>
      <c r="AF989" s="85"/>
      <c r="AG989" s="81"/>
      <c r="AH989" s="86"/>
      <c r="AI989" s="63"/>
      <c r="AJ989" s="63"/>
      <c r="AK989" s="87">
        <f t="shared" si="103"/>
        <v>0</v>
      </c>
      <c r="AL989" s="86">
        <v>0</v>
      </c>
      <c r="AM989" s="86">
        <f t="shared" si="101"/>
        <v>0</v>
      </c>
      <c r="AN989" s="63" t="s">
        <v>1155</v>
      </c>
      <c r="AO989" s="86">
        <f t="shared" si="102"/>
        <v>24720000</v>
      </c>
      <c r="AP989" s="63"/>
      <c r="AQ989" s="81">
        <v>43370</v>
      </c>
      <c r="AR989" s="63" t="s">
        <v>2109</v>
      </c>
      <c r="AS989" s="81">
        <v>43370</v>
      </c>
      <c r="AT989" s="63" t="s">
        <v>1453</v>
      </c>
      <c r="AU989" s="220"/>
      <c r="AV989" s="220"/>
      <c r="AW989" s="220"/>
    </row>
    <row r="990" spans="1:49" s="221" customFormat="1" ht="409.5" x14ac:dyDescent="0.25">
      <c r="A990" s="63">
        <v>576</v>
      </c>
      <c r="B990" s="63" t="str">
        <f t="shared" si="99"/>
        <v>3075-576</v>
      </c>
      <c r="C990" s="76" t="s">
        <v>1141</v>
      </c>
      <c r="D990" s="76" t="s">
        <v>1142</v>
      </c>
      <c r="E990" s="76" t="s">
        <v>1143</v>
      </c>
      <c r="F990" s="76" t="s">
        <v>1158</v>
      </c>
      <c r="G990" s="88" t="s">
        <v>1159</v>
      </c>
      <c r="H990" s="78" t="s">
        <v>1160</v>
      </c>
      <c r="I990" s="76" t="s">
        <v>1147</v>
      </c>
      <c r="J990" s="76" t="s">
        <v>1148</v>
      </c>
      <c r="K990" s="76">
        <v>81101500</v>
      </c>
      <c r="L990" s="63" t="s">
        <v>1149</v>
      </c>
      <c r="M990" s="63" t="s">
        <v>58</v>
      </c>
      <c r="N990" s="63" t="s">
        <v>59</v>
      </c>
      <c r="O990" s="63" t="s">
        <v>1161</v>
      </c>
      <c r="P990" s="76" t="s">
        <v>2733</v>
      </c>
      <c r="Q990" s="79">
        <v>4532000</v>
      </c>
      <c r="R990" s="63">
        <v>1</v>
      </c>
      <c r="S990" s="80">
        <f t="shared" si="107"/>
        <v>27192000</v>
      </c>
      <c r="T990" s="63"/>
      <c r="U990" s="63" t="s">
        <v>1163</v>
      </c>
      <c r="V990" s="81" t="s">
        <v>875</v>
      </c>
      <c r="W990" s="82">
        <v>6</v>
      </c>
      <c r="X990" s="63" t="s">
        <v>2745</v>
      </c>
      <c r="Y990" s="89">
        <v>43370</v>
      </c>
      <c r="Z990" s="83">
        <v>27192000</v>
      </c>
      <c r="AA990" s="84" t="s">
        <v>2742</v>
      </c>
      <c r="AB990" s="85"/>
      <c r="AC990" s="81"/>
      <c r="AD990" s="86"/>
      <c r="AE990" s="87">
        <f t="shared" si="105"/>
        <v>0</v>
      </c>
      <c r="AF990" s="85"/>
      <c r="AG990" s="81"/>
      <c r="AH990" s="86"/>
      <c r="AI990" s="63"/>
      <c r="AJ990" s="63"/>
      <c r="AK990" s="87">
        <f t="shared" si="103"/>
        <v>0</v>
      </c>
      <c r="AL990" s="86">
        <v>0</v>
      </c>
      <c r="AM990" s="86">
        <f t="shared" si="101"/>
        <v>0</v>
      </c>
      <c r="AN990" s="63" t="s">
        <v>1155</v>
      </c>
      <c r="AO990" s="86">
        <f t="shared" si="102"/>
        <v>27192000</v>
      </c>
      <c r="AP990" s="63"/>
      <c r="AQ990" s="81">
        <v>43370</v>
      </c>
      <c r="AR990" s="63" t="s">
        <v>2109</v>
      </c>
      <c r="AS990" s="81">
        <v>43370</v>
      </c>
      <c r="AT990" s="63" t="s">
        <v>1453</v>
      </c>
      <c r="AU990" s="220"/>
      <c r="AV990" s="220"/>
      <c r="AW990" s="220"/>
    </row>
    <row r="991" spans="1:49" s="221" customFormat="1" ht="213.75" x14ac:dyDescent="0.25">
      <c r="A991" s="63">
        <v>577</v>
      </c>
      <c r="B991" s="63" t="str">
        <f t="shared" ref="B991:B1047" si="108">CONCATENATE("3075","-",A991)</f>
        <v>3075-577</v>
      </c>
      <c r="C991" s="76" t="s">
        <v>1141</v>
      </c>
      <c r="D991" s="76" t="s">
        <v>1142</v>
      </c>
      <c r="E991" s="76" t="s">
        <v>1174</v>
      </c>
      <c r="F991" s="76" t="s">
        <v>1175</v>
      </c>
      <c r="G991" s="77" t="s">
        <v>1176</v>
      </c>
      <c r="H991" s="78" t="s">
        <v>1177</v>
      </c>
      <c r="I991" s="76" t="s">
        <v>1147</v>
      </c>
      <c r="J991" s="76" t="s">
        <v>1178</v>
      </c>
      <c r="K991" s="76" t="s">
        <v>439</v>
      </c>
      <c r="L991" s="63" t="s">
        <v>1149</v>
      </c>
      <c r="M991" s="63" t="s">
        <v>58</v>
      </c>
      <c r="N991" s="63" t="s">
        <v>59</v>
      </c>
      <c r="O991" s="76" t="s">
        <v>1169</v>
      </c>
      <c r="P991" s="76" t="s">
        <v>2746</v>
      </c>
      <c r="Q991" s="79">
        <v>39062100</v>
      </c>
      <c r="R991" s="63">
        <v>1</v>
      </c>
      <c r="S991" s="80">
        <f>Q991*R991</f>
        <v>39062100</v>
      </c>
      <c r="T991" s="63"/>
      <c r="U991" s="63" t="s">
        <v>1171</v>
      </c>
      <c r="V991" s="81" t="s">
        <v>875</v>
      </c>
      <c r="W991" s="82" t="s">
        <v>439</v>
      </c>
      <c r="X991" s="63" t="s">
        <v>2747</v>
      </c>
      <c r="Y991" s="89">
        <v>43370</v>
      </c>
      <c r="Z991" s="83">
        <v>39062100</v>
      </c>
      <c r="AA991" s="84" t="s">
        <v>2649</v>
      </c>
      <c r="AB991" s="85">
        <v>1237</v>
      </c>
      <c r="AC991" s="81">
        <v>43371</v>
      </c>
      <c r="AD991" s="86">
        <v>39062100</v>
      </c>
      <c r="AE991" s="87">
        <f t="shared" si="105"/>
        <v>0</v>
      </c>
      <c r="AF991" s="85"/>
      <c r="AG991" s="81"/>
      <c r="AH991" s="86"/>
      <c r="AI991" s="63"/>
      <c r="AJ991" s="63"/>
      <c r="AK991" s="87">
        <f t="shared" si="103"/>
        <v>39062100</v>
      </c>
      <c r="AL991" s="86"/>
      <c r="AM991" s="86">
        <f t="shared" ref="AM991:AM1047" si="109">AH991-AL991</f>
        <v>0</v>
      </c>
      <c r="AN991" s="63" t="s">
        <v>1155</v>
      </c>
      <c r="AO991" s="86">
        <f t="shared" ref="AO991:AO1047" si="110">S991-AH991</f>
        <v>39062100</v>
      </c>
      <c r="AP991" s="63"/>
      <c r="AQ991" s="81">
        <v>43370</v>
      </c>
      <c r="AR991" s="63" t="s">
        <v>2109</v>
      </c>
      <c r="AS991" s="81">
        <v>43370</v>
      </c>
      <c r="AT991" s="63" t="s">
        <v>2746</v>
      </c>
      <c r="AU991" s="220"/>
      <c r="AV991" s="220"/>
      <c r="AW991" s="220"/>
    </row>
    <row r="992" spans="1:49" s="221" customFormat="1" ht="409.5" x14ac:dyDescent="0.25">
      <c r="A992" s="63">
        <v>578</v>
      </c>
      <c r="B992" s="63" t="str">
        <f t="shared" si="108"/>
        <v>3075-578</v>
      </c>
      <c r="C992" s="76" t="s">
        <v>1141</v>
      </c>
      <c r="D992" s="76" t="s">
        <v>1142</v>
      </c>
      <c r="E992" s="76" t="s">
        <v>1143</v>
      </c>
      <c r="F992" s="76" t="s">
        <v>1158</v>
      </c>
      <c r="G992" s="88" t="s">
        <v>1159</v>
      </c>
      <c r="H992" s="78" t="s">
        <v>1160</v>
      </c>
      <c r="I992" s="76" t="s">
        <v>1147</v>
      </c>
      <c r="J992" s="76" t="s">
        <v>1148</v>
      </c>
      <c r="K992" s="76">
        <v>80111600</v>
      </c>
      <c r="L992" s="63" t="s">
        <v>1149</v>
      </c>
      <c r="M992" s="63" t="s">
        <v>58</v>
      </c>
      <c r="N992" s="63" t="s">
        <v>59</v>
      </c>
      <c r="O992" s="63" t="s">
        <v>1161</v>
      </c>
      <c r="P992" s="76" t="s">
        <v>2748</v>
      </c>
      <c r="Q992" s="79">
        <v>1545000</v>
      </c>
      <c r="R992" s="63">
        <v>1</v>
      </c>
      <c r="S992" s="80">
        <f>Q992*R992*W992</f>
        <v>9270000</v>
      </c>
      <c r="T992" s="63"/>
      <c r="U992" s="63" t="s">
        <v>1163</v>
      </c>
      <c r="V992" s="81" t="s">
        <v>1164</v>
      </c>
      <c r="W992" s="82">
        <v>6</v>
      </c>
      <c r="X992" s="63" t="s">
        <v>2749</v>
      </c>
      <c r="Y992" s="89">
        <v>43374</v>
      </c>
      <c r="Z992" s="83">
        <v>9270000</v>
      </c>
      <c r="AA992" s="84" t="s">
        <v>2742</v>
      </c>
      <c r="AB992" s="85"/>
      <c r="AC992" s="81"/>
      <c r="AD992" s="86"/>
      <c r="AE992" s="87">
        <f t="shared" si="105"/>
        <v>0</v>
      </c>
      <c r="AF992" s="85"/>
      <c r="AG992" s="81"/>
      <c r="AH992" s="86"/>
      <c r="AI992" s="63"/>
      <c r="AJ992" s="63"/>
      <c r="AK992" s="87">
        <f t="shared" si="103"/>
        <v>0</v>
      </c>
      <c r="AL992" s="86">
        <v>0</v>
      </c>
      <c r="AM992" s="86">
        <f t="shared" si="109"/>
        <v>0</v>
      </c>
      <c r="AN992" s="63" t="s">
        <v>1155</v>
      </c>
      <c r="AO992" s="86">
        <f t="shared" si="110"/>
        <v>9270000</v>
      </c>
      <c r="AP992" s="63"/>
      <c r="AQ992" s="81">
        <v>43371</v>
      </c>
      <c r="AR992" s="63" t="s">
        <v>2109</v>
      </c>
      <c r="AS992" s="81">
        <v>43374</v>
      </c>
      <c r="AT992" s="63" t="s">
        <v>1453</v>
      </c>
      <c r="AU992" s="220"/>
      <c r="AV992" s="220"/>
      <c r="AW992" s="220"/>
    </row>
    <row r="993" spans="1:49" s="221" customFormat="1" ht="409.5" x14ac:dyDescent="0.25">
      <c r="A993" s="63">
        <v>579</v>
      </c>
      <c r="B993" s="63" t="str">
        <f t="shared" si="108"/>
        <v>3075-579</v>
      </c>
      <c r="C993" s="76" t="s">
        <v>1141</v>
      </c>
      <c r="D993" s="76" t="s">
        <v>1142</v>
      </c>
      <c r="E993" s="76" t="s">
        <v>1143</v>
      </c>
      <c r="F993" s="76" t="s">
        <v>1158</v>
      </c>
      <c r="G993" s="88" t="s">
        <v>1159</v>
      </c>
      <c r="H993" s="78" t="s">
        <v>1160</v>
      </c>
      <c r="I993" s="76" t="s">
        <v>1147</v>
      </c>
      <c r="J993" s="76" t="s">
        <v>1148</v>
      </c>
      <c r="K993" s="76">
        <v>80111600</v>
      </c>
      <c r="L993" s="63" t="s">
        <v>1149</v>
      </c>
      <c r="M993" s="63" t="s">
        <v>58</v>
      </c>
      <c r="N993" s="63" t="s">
        <v>59</v>
      </c>
      <c r="O993" s="63" t="s">
        <v>1161</v>
      </c>
      <c r="P993" s="76" t="s">
        <v>2750</v>
      </c>
      <c r="Q993" s="79">
        <v>3326900</v>
      </c>
      <c r="R993" s="63">
        <v>1</v>
      </c>
      <c r="S993" s="80">
        <f t="shared" ref="S993:S1019" si="111">Q993*R993*W993</f>
        <v>19961400</v>
      </c>
      <c r="T993" s="63"/>
      <c r="U993" s="63" t="s">
        <v>1163</v>
      </c>
      <c r="V993" s="81" t="s">
        <v>1164</v>
      </c>
      <c r="W993" s="82">
        <v>6</v>
      </c>
      <c r="X993" s="63" t="s">
        <v>2751</v>
      </c>
      <c r="Y993" s="89">
        <v>43374</v>
      </c>
      <c r="Z993" s="83">
        <v>19961400</v>
      </c>
      <c r="AA993" s="84" t="s">
        <v>2742</v>
      </c>
      <c r="AB993" s="85"/>
      <c r="AC993" s="81"/>
      <c r="AD993" s="86"/>
      <c r="AE993" s="87">
        <f t="shared" si="105"/>
        <v>0</v>
      </c>
      <c r="AF993" s="85"/>
      <c r="AG993" s="81"/>
      <c r="AH993" s="86"/>
      <c r="AI993" s="63"/>
      <c r="AJ993" s="63"/>
      <c r="AK993" s="87">
        <f t="shared" si="103"/>
        <v>0</v>
      </c>
      <c r="AL993" s="86">
        <v>0</v>
      </c>
      <c r="AM993" s="86">
        <f t="shared" si="109"/>
        <v>0</v>
      </c>
      <c r="AN993" s="63" t="s">
        <v>1155</v>
      </c>
      <c r="AO993" s="86">
        <f t="shared" si="110"/>
        <v>19961400</v>
      </c>
      <c r="AP993" s="63"/>
      <c r="AQ993" s="81">
        <v>43371</v>
      </c>
      <c r="AR993" s="63" t="s">
        <v>2109</v>
      </c>
      <c r="AS993" s="81">
        <v>43374</v>
      </c>
      <c r="AT993" s="63" t="s">
        <v>1453</v>
      </c>
      <c r="AU993" s="220"/>
      <c r="AV993" s="220"/>
      <c r="AW993" s="220"/>
    </row>
    <row r="994" spans="1:49" s="221" customFormat="1" ht="384.75" x14ac:dyDescent="0.25">
      <c r="A994" s="63">
        <v>580</v>
      </c>
      <c r="B994" s="63" t="str">
        <f t="shared" si="108"/>
        <v>3075-580</v>
      </c>
      <c r="C994" s="76" t="s">
        <v>1141</v>
      </c>
      <c r="D994" s="76" t="s">
        <v>1142</v>
      </c>
      <c r="E994" s="76" t="s">
        <v>1143</v>
      </c>
      <c r="F994" s="76" t="s">
        <v>1158</v>
      </c>
      <c r="G994" s="88" t="s">
        <v>1159</v>
      </c>
      <c r="H994" s="78" t="s">
        <v>1160</v>
      </c>
      <c r="I994" s="76" t="s">
        <v>1147</v>
      </c>
      <c r="J994" s="76" t="s">
        <v>1148</v>
      </c>
      <c r="K994" s="76">
        <v>80111600</v>
      </c>
      <c r="L994" s="63" t="s">
        <v>1149</v>
      </c>
      <c r="M994" s="63" t="s">
        <v>58</v>
      </c>
      <c r="N994" s="63" t="s">
        <v>59</v>
      </c>
      <c r="O994" s="63" t="s">
        <v>1161</v>
      </c>
      <c r="P994" s="76" t="s">
        <v>2752</v>
      </c>
      <c r="Q994" s="79">
        <v>2472000</v>
      </c>
      <c r="R994" s="63">
        <v>1</v>
      </c>
      <c r="S994" s="80">
        <f t="shared" si="111"/>
        <v>14832000</v>
      </c>
      <c r="T994" s="63"/>
      <c r="U994" s="63" t="s">
        <v>1163</v>
      </c>
      <c r="V994" s="81" t="s">
        <v>1164</v>
      </c>
      <c r="W994" s="82">
        <v>6</v>
      </c>
      <c r="X994" s="63" t="s">
        <v>2753</v>
      </c>
      <c r="Y994" s="89">
        <v>43374</v>
      </c>
      <c r="Z994" s="83">
        <v>14832000</v>
      </c>
      <c r="AA994" s="84" t="s">
        <v>2742</v>
      </c>
      <c r="AB994" s="85"/>
      <c r="AC994" s="81"/>
      <c r="AD994" s="86"/>
      <c r="AE994" s="87">
        <f t="shared" si="105"/>
        <v>0</v>
      </c>
      <c r="AF994" s="85"/>
      <c r="AG994" s="81"/>
      <c r="AH994" s="86"/>
      <c r="AI994" s="63"/>
      <c r="AJ994" s="63"/>
      <c r="AK994" s="87">
        <f t="shared" si="103"/>
        <v>0</v>
      </c>
      <c r="AL994" s="86">
        <v>0</v>
      </c>
      <c r="AM994" s="86">
        <f t="shared" si="109"/>
        <v>0</v>
      </c>
      <c r="AN994" s="63" t="s">
        <v>1155</v>
      </c>
      <c r="AO994" s="86">
        <f t="shared" si="110"/>
        <v>14832000</v>
      </c>
      <c r="AP994" s="63"/>
      <c r="AQ994" s="81">
        <v>43371</v>
      </c>
      <c r="AR994" s="63" t="s">
        <v>2109</v>
      </c>
      <c r="AS994" s="81">
        <v>43374</v>
      </c>
      <c r="AT994" s="63" t="s">
        <v>1453</v>
      </c>
      <c r="AU994" s="220"/>
      <c r="AV994" s="220"/>
      <c r="AW994" s="220"/>
    </row>
    <row r="995" spans="1:49" s="221" customFormat="1" ht="409.5" x14ac:dyDescent="0.25">
      <c r="A995" s="63">
        <v>581</v>
      </c>
      <c r="B995" s="63" t="str">
        <f t="shared" si="108"/>
        <v>3075-581</v>
      </c>
      <c r="C995" s="76" t="s">
        <v>1141</v>
      </c>
      <c r="D995" s="76" t="s">
        <v>1142</v>
      </c>
      <c r="E995" s="76" t="s">
        <v>1143</v>
      </c>
      <c r="F995" s="76" t="s">
        <v>1158</v>
      </c>
      <c r="G995" s="88" t="s">
        <v>1159</v>
      </c>
      <c r="H995" s="78" t="s">
        <v>1160</v>
      </c>
      <c r="I995" s="76" t="s">
        <v>1147</v>
      </c>
      <c r="J995" s="76" t="s">
        <v>1148</v>
      </c>
      <c r="K995" s="76">
        <v>93141506</v>
      </c>
      <c r="L995" s="63" t="s">
        <v>1149</v>
      </c>
      <c r="M995" s="63" t="s">
        <v>58</v>
      </c>
      <c r="N995" s="63" t="s">
        <v>59</v>
      </c>
      <c r="O995" s="63" t="s">
        <v>1161</v>
      </c>
      <c r="P995" s="76" t="s">
        <v>2723</v>
      </c>
      <c r="Q995" s="79">
        <v>4120000</v>
      </c>
      <c r="R995" s="63">
        <v>1</v>
      </c>
      <c r="S995" s="80">
        <f t="shared" si="111"/>
        <v>24720000</v>
      </c>
      <c r="T995" s="63"/>
      <c r="U995" s="63" t="s">
        <v>1163</v>
      </c>
      <c r="V995" s="81" t="s">
        <v>1164</v>
      </c>
      <c r="W995" s="82">
        <v>6</v>
      </c>
      <c r="X995" s="63" t="s">
        <v>2754</v>
      </c>
      <c r="Y995" s="89">
        <v>43374</v>
      </c>
      <c r="Z995" s="83">
        <v>24720000</v>
      </c>
      <c r="AA995" s="84" t="s">
        <v>2742</v>
      </c>
      <c r="AB995" s="85"/>
      <c r="AC995" s="81"/>
      <c r="AD995" s="86"/>
      <c r="AE995" s="87">
        <f t="shared" si="105"/>
        <v>0</v>
      </c>
      <c r="AF995" s="85"/>
      <c r="AG995" s="81"/>
      <c r="AH995" s="86"/>
      <c r="AI995" s="63"/>
      <c r="AJ995" s="63"/>
      <c r="AK995" s="87">
        <f t="shared" si="103"/>
        <v>0</v>
      </c>
      <c r="AL995" s="86">
        <v>0</v>
      </c>
      <c r="AM995" s="86">
        <f t="shared" si="109"/>
        <v>0</v>
      </c>
      <c r="AN995" s="63" t="s">
        <v>1155</v>
      </c>
      <c r="AO995" s="86">
        <f t="shared" si="110"/>
        <v>24720000</v>
      </c>
      <c r="AP995" s="63"/>
      <c r="AQ995" s="81">
        <v>43371</v>
      </c>
      <c r="AR995" s="63" t="s">
        <v>2109</v>
      </c>
      <c r="AS995" s="81">
        <v>43374</v>
      </c>
      <c r="AT995" s="63" t="s">
        <v>1453</v>
      </c>
      <c r="AU995" s="220"/>
      <c r="AV995" s="220"/>
      <c r="AW995" s="220"/>
    </row>
    <row r="996" spans="1:49" s="221" customFormat="1" ht="409.5" x14ac:dyDescent="0.25">
      <c r="A996" s="63">
        <v>582</v>
      </c>
      <c r="B996" s="63" t="str">
        <f t="shared" si="108"/>
        <v>3075-582</v>
      </c>
      <c r="C996" s="76" t="s">
        <v>1141</v>
      </c>
      <c r="D996" s="76" t="s">
        <v>1142</v>
      </c>
      <c r="E996" s="76" t="s">
        <v>1143</v>
      </c>
      <c r="F996" s="76" t="s">
        <v>1158</v>
      </c>
      <c r="G996" s="88" t="s">
        <v>1159</v>
      </c>
      <c r="H996" s="78" t="s">
        <v>1160</v>
      </c>
      <c r="I996" s="76" t="s">
        <v>1147</v>
      </c>
      <c r="J996" s="76" t="s">
        <v>1148</v>
      </c>
      <c r="K996" s="76">
        <v>80111600</v>
      </c>
      <c r="L996" s="63" t="s">
        <v>1149</v>
      </c>
      <c r="M996" s="63" t="s">
        <v>58</v>
      </c>
      <c r="N996" s="63" t="s">
        <v>59</v>
      </c>
      <c r="O996" s="63" t="s">
        <v>1161</v>
      </c>
      <c r="P996" s="76" t="s">
        <v>2755</v>
      </c>
      <c r="Q996" s="79">
        <v>3326900</v>
      </c>
      <c r="R996" s="63">
        <v>1</v>
      </c>
      <c r="S996" s="80">
        <f t="shared" si="111"/>
        <v>19961400</v>
      </c>
      <c r="T996" s="63"/>
      <c r="U996" s="63" t="s">
        <v>1163</v>
      </c>
      <c r="V996" s="81" t="s">
        <v>1164</v>
      </c>
      <c r="W996" s="82">
        <v>6</v>
      </c>
      <c r="X996" s="63" t="s">
        <v>2756</v>
      </c>
      <c r="Y996" s="89">
        <v>43375</v>
      </c>
      <c r="Z996" s="83">
        <v>19961400</v>
      </c>
      <c r="AA996" s="84" t="s">
        <v>2742</v>
      </c>
      <c r="AB996" s="85"/>
      <c r="AC996" s="81"/>
      <c r="AD996" s="86"/>
      <c r="AE996" s="87">
        <f t="shared" si="105"/>
        <v>0</v>
      </c>
      <c r="AF996" s="85"/>
      <c r="AG996" s="81"/>
      <c r="AH996" s="86"/>
      <c r="AI996" s="63"/>
      <c r="AJ996" s="63"/>
      <c r="AK996" s="87">
        <f t="shared" si="103"/>
        <v>0</v>
      </c>
      <c r="AL996" s="86">
        <v>0</v>
      </c>
      <c r="AM996" s="86">
        <f t="shared" si="109"/>
        <v>0</v>
      </c>
      <c r="AN996" s="63" t="s">
        <v>1155</v>
      </c>
      <c r="AO996" s="86">
        <f t="shared" si="110"/>
        <v>19961400</v>
      </c>
      <c r="AP996" s="63"/>
      <c r="AQ996" s="81">
        <v>43375</v>
      </c>
      <c r="AR996" s="63" t="s">
        <v>2109</v>
      </c>
      <c r="AS996" s="81">
        <v>43375</v>
      </c>
      <c r="AT996" s="63" t="s">
        <v>1453</v>
      </c>
      <c r="AU996" s="220"/>
      <c r="AV996" s="220"/>
      <c r="AW996" s="220"/>
    </row>
    <row r="997" spans="1:49" s="221" customFormat="1" ht="384.75" x14ac:dyDescent="0.25">
      <c r="A997" s="63">
        <v>583</v>
      </c>
      <c r="B997" s="63" t="str">
        <f t="shared" si="108"/>
        <v>3075-583</v>
      </c>
      <c r="C997" s="76" t="s">
        <v>1141</v>
      </c>
      <c r="D997" s="76" t="s">
        <v>1142</v>
      </c>
      <c r="E997" s="76" t="s">
        <v>1143</v>
      </c>
      <c r="F997" s="76" t="s">
        <v>1158</v>
      </c>
      <c r="G997" s="88" t="s">
        <v>1159</v>
      </c>
      <c r="H997" s="78" t="s">
        <v>1160</v>
      </c>
      <c r="I997" s="76" t="s">
        <v>1147</v>
      </c>
      <c r="J997" s="76" t="s">
        <v>1148</v>
      </c>
      <c r="K997" s="76">
        <v>80111600</v>
      </c>
      <c r="L997" s="63" t="s">
        <v>1149</v>
      </c>
      <c r="M997" s="63" t="s">
        <v>58</v>
      </c>
      <c r="N997" s="63" t="s">
        <v>59</v>
      </c>
      <c r="O997" s="63" t="s">
        <v>1161</v>
      </c>
      <c r="P997" s="76" t="s">
        <v>2757</v>
      </c>
      <c r="Q997" s="79">
        <v>3326900</v>
      </c>
      <c r="R997" s="63">
        <v>1</v>
      </c>
      <c r="S997" s="80">
        <f t="shared" si="111"/>
        <v>19961400</v>
      </c>
      <c r="T997" s="63"/>
      <c r="U997" s="63" t="s">
        <v>1163</v>
      </c>
      <c r="V997" s="81" t="s">
        <v>1164</v>
      </c>
      <c r="W997" s="82">
        <v>6</v>
      </c>
      <c r="X997" s="63" t="s">
        <v>2758</v>
      </c>
      <c r="Y997" s="89">
        <v>43375</v>
      </c>
      <c r="Z997" s="83">
        <v>19961400</v>
      </c>
      <c r="AA997" s="84" t="s">
        <v>2742</v>
      </c>
      <c r="AB997" s="85"/>
      <c r="AC997" s="81"/>
      <c r="AD997" s="86"/>
      <c r="AE997" s="87">
        <f t="shared" si="105"/>
        <v>0</v>
      </c>
      <c r="AF997" s="85"/>
      <c r="AG997" s="81"/>
      <c r="AH997" s="86"/>
      <c r="AI997" s="63"/>
      <c r="AJ997" s="63"/>
      <c r="AK997" s="87">
        <f t="shared" si="103"/>
        <v>0</v>
      </c>
      <c r="AL997" s="86">
        <v>0</v>
      </c>
      <c r="AM997" s="86">
        <f t="shared" si="109"/>
        <v>0</v>
      </c>
      <c r="AN997" s="63" t="s">
        <v>1155</v>
      </c>
      <c r="AO997" s="86">
        <f t="shared" si="110"/>
        <v>19961400</v>
      </c>
      <c r="AP997" s="63"/>
      <c r="AQ997" s="81">
        <v>43375</v>
      </c>
      <c r="AR997" s="63" t="s">
        <v>2109</v>
      </c>
      <c r="AS997" s="81">
        <v>43375</v>
      </c>
      <c r="AT997" s="63" t="s">
        <v>1453</v>
      </c>
      <c r="AU997" s="220"/>
      <c r="AV997" s="220"/>
      <c r="AW997" s="220"/>
    </row>
    <row r="998" spans="1:49" s="221" customFormat="1" ht="409.5" x14ac:dyDescent="0.25">
      <c r="A998" s="63">
        <v>584</v>
      </c>
      <c r="B998" s="63" t="str">
        <f t="shared" si="108"/>
        <v>3075-584</v>
      </c>
      <c r="C998" s="76" t="s">
        <v>1141</v>
      </c>
      <c r="D998" s="76" t="s">
        <v>1142</v>
      </c>
      <c r="E998" s="76" t="s">
        <v>1143</v>
      </c>
      <c r="F998" s="76" t="s">
        <v>1158</v>
      </c>
      <c r="G998" s="88" t="s">
        <v>1159</v>
      </c>
      <c r="H998" s="78" t="s">
        <v>1160</v>
      </c>
      <c r="I998" s="76" t="s">
        <v>1147</v>
      </c>
      <c r="J998" s="76" t="s">
        <v>1148</v>
      </c>
      <c r="K998" s="76">
        <v>93141506</v>
      </c>
      <c r="L998" s="63" t="s">
        <v>1149</v>
      </c>
      <c r="M998" s="63" t="s">
        <v>58</v>
      </c>
      <c r="N998" s="63" t="s">
        <v>59</v>
      </c>
      <c r="O998" s="63" t="s">
        <v>1161</v>
      </c>
      <c r="P998" s="76" t="s">
        <v>2723</v>
      </c>
      <c r="Q998" s="79">
        <v>3399000</v>
      </c>
      <c r="R998" s="63">
        <v>1</v>
      </c>
      <c r="S998" s="80">
        <f t="shared" si="111"/>
        <v>20394000</v>
      </c>
      <c r="T998" s="63"/>
      <c r="U998" s="63" t="s">
        <v>1163</v>
      </c>
      <c r="V998" s="81" t="s">
        <v>1164</v>
      </c>
      <c r="W998" s="82">
        <v>6</v>
      </c>
      <c r="X998" s="63" t="s">
        <v>2759</v>
      </c>
      <c r="Y998" s="89">
        <v>43375</v>
      </c>
      <c r="Z998" s="83">
        <v>20394000</v>
      </c>
      <c r="AA998" s="84" t="s">
        <v>2742</v>
      </c>
      <c r="AB998" s="85"/>
      <c r="AC998" s="81"/>
      <c r="AD998" s="86"/>
      <c r="AE998" s="87">
        <f t="shared" si="105"/>
        <v>0</v>
      </c>
      <c r="AF998" s="85"/>
      <c r="AG998" s="81"/>
      <c r="AH998" s="86"/>
      <c r="AI998" s="63"/>
      <c r="AJ998" s="63"/>
      <c r="AK998" s="87">
        <f t="shared" si="103"/>
        <v>0</v>
      </c>
      <c r="AL998" s="86">
        <v>0</v>
      </c>
      <c r="AM998" s="86">
        <f t="shared" si="109"/>
        <v>0</v>
      </c>
      <c r="AN998" s="63" t="s">
        <v>1155</v>
      </c>
      <c r="AO998" s="86">
        <f t="shared" si="110"/>
        <v>20394000</v>
      </c>
      <c r="AP998" s="63"/>
      <c r="AQ998" s="81">
        <v>43375</v>
      </c>
      <c r="AR998" s="63" t="s">
        <v>2109</v>
      </c>
      <c r="AS998" s="81">
        <v>43375</v>
      </c>
      <c r="AT998" s="63" t="s">
        <v>1453</v>
      </c>
      <c r="AU998" s="220"/>
      <c r="AV998" s="220"/>
      <c r="AW998" s="220"/>
    </row>
    <row r="999" spans="1:49" s="221" customFormat="1" ht="384.75" x14ac:dyDescent="0.25">
      <c r="A999" s="63">
        <v>585</v>
      </c>
      <c r="B999" s="63" t="str">
        <f t="shared" si="108"/>
        <v>3075-585</v>
      </c>
      <c r="C999" s="76" t="s">
        <v>1141</v>
      </c>
      <c r="D999" s="76" t="s">
        <v>1142</v>
      </c>
      <c r="E999" s="76" t="s">
        <v>1143</v>
      </c>
      <c r="F999" s="76" t="s">
        <v>1158</v>
      </c>
      <c r="G999" s="88" t="s">
        <v>1159</v>
      </c>
      <c r="H999" s="78" t="s">
        <v>1160</v>
      </c>
      <c r="I999" s="76" t="s">
        <v>1147</v>
      </c>
      <c r="J999" s="76" t="s">
        <v>1148</v>
      </c>
      <c r="K999" s="76">
        <v>80111600</v>
      </c>
      <c r="L999" s="63" t="s">
        <v>1149</v>
      </c>
      <c r="M999" s="63" t="s">
        <v>58</v>
      </c>
      <c r="N999" s="63" t="s">
        <v>59</v>
      </c>
      <c r="O999" s="63" t="s">
        <v>1161</v>
      </c>
      <c r="P999" s="76" t="s">
        <v>2760</v>
      </c>
      <c r="Q999" s="79">
        <v>3326900</v>
      </c>
      <c r="R999" s="63">
        <v>1</v>
      </c>
      <c r="S999" s="80">
        <f t="shared" si="111"/>
        <v>19961400</v>
      </c>
      <c r="T999" s="63"/>
      <c r="U999" s="63" t="s">
        <v>1163</v>
      </c>
      <c r="V999" s="81" t="s">
        <v>1164</v>
      </c>
      <c r="W999" s="82">
        <v>6</v>
      </c>
      <c r="X999" s="63" t="s">
        <v>2761</v>
      </c>
      <c r="Y999" s="89">
        <v>43375</v>
      </c>
      <c r="Z999" s="83">
        <v>19961400</v>
      </c>
      <c r="AA999" s="84" t="s">
        <v>2742</v>
      </c>
      <c r="AB999" s="85"/>
      <c r="AC999" s="81"/>
      <c r="AD999" s="86"/>
      <c r="AE999" s="87">
        <f t="shared" si="105"/>
        <v>0</v>
      </c>
      <c r="AF999" s="85"/>
      <c r="AG999" s="81"/>
      <c r="AH999" s="86"/>
      <c r="AI999" s="63"/>
      <c r="AJ999" s="63"/>
      <c r="AK999" s="87">
        <f t="shared" si="103"/>
        <v>0</v>
      </c>
      <c r="AL999" s="86">
        <v>0</v>
      </c>
      <c r="AM999" s="86">
        <f t="shared" si="109"/>
        <v>0</v>
      </c>
      <c r="AN999" s="63" t="s">
        <v>1155</v>
      </c>
      <c r="AO999" s="86">
        <f t="shared" si="110"/>
        <v>19961400</v>
      </c>
      <c r="AP999" s="63"/>
      <c r="AQ999" s="81">
        <v>43375</v>
      </c>
      <c r="AR999" s="63" t="s">
        <v>2109</v>
      </c>
      <c r="AS999" s="81">
        <v>43375</v>
      </c>
      <c r="AT999" s="63" t="s">
        <v>1453</v>
      </c>
      <c r="AU999" s="220"/>
      <c r="AV999" s="220"/>
      <c r="AW999" s="220"/>
    </row>
    <row r="1000" spans="1:49" s="221" customFormat="1" ht="370.5" x14ac:dyDescent="0.25">
      <c r="A1000" s="63">
        <v>586</v>
      </c>
      <c r="B1000" s="63" t="str">
        <f t="shared" si="108"/>
        <v>3075-586</v>
      </c>
      <c r="C1000" s="76" t="s">
        <v>1141</v>
      </c>
      <c r="D1000" s="76" t="s">
        <v>1142</v>
      </c>
      <c r="E1000" s="76" t="s">
        <v>1143</v>
      </c>
      <c r="F1000" s="76" t="s">
        <v>1158</v>
      </c>
      <c r="G1000" s="88" t="s">
        <v>1159</v>
      </c>
      <c r="H1000" s="78" t="s">
        <v>1160</v>
      </c>
      <c r="I1000" s="76" t="s">
        <v>1147</v>
      </c>
      <c r="J1000" s="76" t="s">
        <v>1148</v>
      </c>
      <c r="K1000" s="76">
        <v>80111600</v>
      </c>
      <c r="L1000" s="63" t="s">
        <v>1149</v>
      </c>
      <c r="M1000" s="63" t="s">
        <v>58</v>
      </c>
      <c r="N1000" s="63" t="s">
        <v>59</v>
      </c>
      <c r="O1000" s="63" t="s">
        <v>1161</v>
      </c>
      <c r="P1000" s="76" t="s">
        <v>2762</v>
      </c>
      <c r="Q1000" s="79">
        <v>4120000</v>
      </c>
      <c r="R1000" s="63">
        <v>1</v>
      </c>
      <c r="S1000" s="80">
        <f t="shared" si="111"/>
        <v>24720000</v>
      </c>
      <c r="T1000" s="63"/>
      <c r="U1000" s="63" t="s">
        <v>1163</v>
      </c>
      <c r="V1000" s="81" t="s">
        <v>1164</v>
      </c>
      <c r="W1000" s="82">
        <v>6</v>
      </c>
      <c r="X1000" s="63" t="s">
        <v>2763</v>
      </c>
      <c r="Y1000" s="89">
        <v>43375</v>
      </c>
      <c r="Z1000" s="83">
        <v>24720000</v>
      </c>
      <c r="AA1000" s="84" t="s">
        <v>2742</v>
      </c>
      <c r="AB1000" s="85"/>
      <c r="AC1000" s="81"/>
      <c r="AD1000" s="86"/>
      <c r="AE1000" s="87">
        <f t="shared" si="105"/>
        <v>0</v>
      </c>
      <c r="AF1000" s="85"/>
      <c r="AG1000" s="81"/>
      <c r="AH1000" s="86"/>
      <c r="AI1000" s="63"/>
      <c r="AJ1000" s="63"/>
      <c r="AK1000" s="87">
        <f t="shared" si="103"/>
        <v>0</v>
      </c>
      <c r="AL1000" s="86">
        <v>0</v>
      </c>
      <c r="AM1000" s="86">
        <f t="shared" si="109"/>
        <v>0</v>
      </c>
      <c r="AN1000" s="63" t="s">
        <v>1155</v>
      </c>
      <c r="AO1000" s="86">
        <f t="shared" si="110"/>
        <v>24720000</v>
      </c>
      <c r="AP1000" s="63"/>
      <c r="AQ1000" s="81">
        <v>43375</v>
      </c>
      <c r="AR1000" s="63" t="s">
        <v>2109</v>
      </c>
      <c r="AS1000" s="81">
        <v>43375</v>
      </c>
      <c r="AT1000" s="63" t="s">
        <v>1453</v>
      </c>
      <c r="AU1000" s="220"/>
      <c r="AV1000" s="220"/>
      <c r="AW1000" s="220"/>
    </row>
    <row r="1001" spans="1:49" s="221" customFormat="1" ht="370.5" x14ac:dyDescent="0.25">
      <c r="A1001" s="63">
        <v>587</v>
      </c>
      <c r="B1001" s="63" t="str">
        <f t="shared" si="108"/>
        <v>3075-587</v>
      </c>
      <c r="C1001" s="76" t="s">
        <v>1141</v>
      </c>
      <c r="D1001" s="76" t="s">
        <v>1142</v>
      </c>
      <c r="E1001" s="76" t="s">
        <v>1143</v>
      </c>
      <c r="F1001" s="76" t="s">
        <v>1158</v>
      </c>
      <c r="G1001" s="88" t="s">
        <v>1159</v>
      </c>
      <c r="H1001" s="78" t="s">
        <v>1160</v>
      </c>
      <c r="I1001" s="76" t="s">
        <v>1147</v>
      </c>
      <c r="J1001" s="76" t="s">
        <v>1148</v>
      </c>
      <c r="K1001" s="76">
        <v>80111600</v>
      </c>
      <c r="L1001" s="63" t="s">
        <v>1149</v>
      </c>
      <c r="M1001" s="63" t="s">
        <v>58</v>
      </c>
      <c r="N1001" s="63" t="s">
        <v>59</v>
      </c>
      <c r="O1001" s="63" t="s">
        <v>1161</v>
      </c>
      <c r="P1001" s="76" t="s">
        <v>2762</v>
      </c>
      <c r="Q1001" s="79">
        <v>4120000</v>
      </c>
      <c r="R1001" s="63">
        <v>1</v>
      </c>
      <c r="S1001" s="80">
        <f t="shared" si="111"/>
        <v>24720000</v>
      </c>
      <c r="T1001" s="63"/>
      <c r="U1001" s="63" t="s">
        <v>1163</v>
      </c>
      <c r="V1001" s="81" t="s">
        <v>1164</v>
      </c>
      <c r="W1001" s="82">
        <v>6</v>
      </c>
      <c r="X1001" s="63" t="s">
        <v>2764</v>
      </c>
      <c r="Y1001" s="89">
        <v>43375</v>
      </c>
      <c r="Z1001" s="83">
        <v>24720000</v>
      </c>
      <c r="AA1001" s="84" t="s">
        <v>2742</v>
      </c>
      <c r="AB1001" s="85"/>
      <c r="AC1001" s="81"/>
      <c r="AD1001" s="86"/>
      <c r="AE1001" s="87">
        <f t="shared" si="105"/>
        <v>0</v>
      </c>
      <c r="AF1001" s="85"/>
      <c r="AG1001" s="81"/>
      <c r="AH1001" s="86"/>
      <c r="AI1001" s="63"/>
      <c r="AJ1001" s="63"/>
      <c r="AK1001" s="87">
        <f t="shared" si="103"/>
        <v>0</v>
      </c>
      <c r="AL1001" s="86">
        <v>0</v>
      </c>
      <c r="AM1001" s="86">
        <f t="shared" si="109"/>
        <v>0</v>
      </c>
      <c r="AN1001" s="63" t="s">
        <v>1155</v>
      </c>
      <c r="AO1001" s="86">
        <f t="shared" si="110"/>
        <v>24720000</v>
      </c>
      <c r="AP1001" s="63"/>
      <c r="AQ1001" s="81">
        <v>43375</v>
      </c>
      <c r="AR1001" s="63" t="s">
        <v>2109</v>
      </c>
      <c r="AS1001" s="81">
        <v>43375</v>
      </c>
      <c r="AT1001" s="63" t="s">
        <v>1453</v>
      </c>
      <c r="AU1001" s="220"/>
      <c r="AV1001" s="220"/>
      <c r="AW1001" s="220"/>
    </row>
    <row r="1002" spans="1:49" s="221" customFormat="1" ht="409.5" x14ac:dyDescent="0.25">
      <c r="A1002" s="63">
        <v>588</v>
      </c>
      <c r="B1002" s="63" t="str">
        <f t="shared" si="108"/>
        <v>3075-588</v>
      </c>
      <c r="C1002" s="76" t="s">
        <v>1141</v>
      </c>
      <c r="D1002" s="76" t="s">
        <v>1142</v>
      </c>
      <c r="E1002" s="76" t="s">
        <v>1143</v>
      </c>
      <c r="F1002" s="76" t="s">
        <v>1158</v>
      </c>
      <c r="G1002" s="88" t="s">
        <v>1159</v>
      </c>
      <c r="H1002" s="78" t="s">
        <v>1160</v>
      </c>
      <c r="I1002" s="76" t="s">
        <v>1147</v>
      </c>
      <c r="J1002" s="76" t="s">
        <v>1148</v>
      </c>
      <c r="K1002" s="76">
        <v>80111600</v>
      </c>
      <c r="L1002" s="63" t="s">
        <v>1149</v>
      </c>
      <c r="M1002" s="63" t="s">
        <v>58</v>
      </c>
      <c r="N1002" s="63" t="s">
        <v>59</v>
      </c>
      <c r="O1002" s="63" t="s">
        <v>1161</v>
      </c>
      <c r="P1002" s="76" t="s">
        <v>2755</v>
      </c>
      <c r="Q1002" s="79">
        <v>3326900</v>
      </c>
      <c r="R1002" s="63">
        <v>1</v>
      </c>
      <c r="S1002" s="80">
        <f t="shared" si="111"/>
        <v>19961400</v>
      </c>
      <c r="T1002" s="63"/>
      <c r="U1002" s="63" t="s">
        <v>1163</v>
      </c>
      <c r="V1002" s="81" t="s">
        <v>1164</v>
      </c>
      <c r="W1002" s="82">
        <v>6</v>
      </c>
      <c r="X1002" s="63" t="s">
        <v>2765</v>
      </c>
      <c r="Y1002" s="89">
        <v>43376</v>
      </c>
      <c r="Z1002" s="83">
        <v>19961400</v>
      </c>
      <c r="AA1002" s="84" t="s">
        <v>2742</v>
      </c>
      <c r="AB1002" s="85"/>
      <c r="AC1002" s="81"/>
      <c r="AD1002" s="86"/>
      <c r="AE1002" s="87">
        <f t="shared" si="105"/>
        <v>0</v>
      </c>
      <c r="AF1002" s="85"/>
      <c r="AG1002" s="81"/>
      <c r="AH1002" s="86"/>
      <c r="AI1002" s="63"/>
      <c r="AJ1002" s="63"/>
      <c r="AK1002" s="87">
        <f t="shared" si="103"/>
        <v>0</v>
      </c>
      <c r="AL1002" s="86">
        <v>0</v>
      </c>
      <c r="AM1002" s="86">
        <f t="shared" si="109"/>
        <v>0</v>
      </c>
      <c r="AN1002" s="63" t="s">
        <v>1155</v>
      </c>
      <c r="AO1002" s="86">
        <f t="shared" si="110"/>
        <v>19961400</v>
      </c>
      <c r="AP1002" s="63"/>
      <c r="AQ1002" s="81">
        <v>43375</v>
      </c>
      <c r="AR1002" s="63" t="s">
        <v>2109</v>
      </c>
      <c r="AS1002" s="81">
        <v>43376</v>
      </c>
      <c r="AT1002" s="63" t="s">
        <v>1453</v>
      </c>
      <c r="AU1002" s="220"/>
      <c r="AV1002" s="220"/>
      <c r="AW1002" s="220"/>
    </row>
    <row r="1003" spans="1:49" s="221" customFormat="1" ht="409.5" x14ac:dyDescent="0.25">
      <c r="A1003" s="63">
        <v>589</v>
      </c>
      <c r="B1003" s="63" t="str">
        <f t="shared" si="108"/>
        <v>3075-589</v>
      </c>
      <c r="C1003" s="76" t="s">
        <v>1141</v>
      </c>
      <c r="D1003" s="76" t="s">
        <v>1142</v>
      </c>
      <c r="E1003" s="76" t="s">
        <v>1143</v>
      </c>
      <c r="F1003" s="76" t="s">
        <v>1158</v>
      </c>
      <c r="G1003" s="88" t="s">
        <v>1159</v>
      </c>
      <c r="H1003" s="78" t="s">
        <v>1160</v>
      </c>
      <c r="I1003" s="76" t="s">
        <v>1147</v>
      </c>
      <c r="J1003" s="76" t="s">
        <v>1148</v>
      </c>
      <c r="K1003" s="76">
        <v>93141506</v>
      </c>
      <c r="L1003" s="63" t="s">
        <v>1149</v>
      </c>
      <c r="M1003" s="63" t="s">
        <v>58</v>
      </c>
      <c r="N1003" s="63" t="s">
        <v>59</v>
      </c>
      <c r="O1003" s="63" t="s">
        <v>1161</v>
      </c>
      <c r="P1003" s="76" t="s">
        <v>2723</v>
      </c>
      <c r="Q1003" s="79">
        <v>3553500</v>
      </c>
      <c r="R1003" s="63">
        <v>1</v>
      </c>
      <c r="S1003" s="80">
        <f t="shared" si="111"/>
        <v>21321000</v>
      </c>
      <c r="T1003" s="63"/>
      <c r="U1003" s="63" t="s">
        <v>1163</v>
      </c>
      <c r="V1003" s="81" t="s">
        <v>1164</v>
      </c>
      <c r="W1003" s="82">
        <v>6</v>
      </c>
      <c r="X1003" s="63" t="s">
        <v>2766</v>
      </c>
      <c r="Y1003" s="89">
        <v>43376</v>
      </c>
      <c r="Z1003" s="83">
        <v>21321000</v>
      </c>
      <c r="AA1003" s="84" t="s">
        <v>2742</v>
      </c>
      <c r="AB1003" s="85"/>
      <c r="AC1003" s="81"/>
      <c r="AD1003" s="86"/>
      <c r="AE1003" s="87">
        <f t="shared" si="105"/>
        <v>0</v>
      </c>
      <c r="AF1003" s="85"/>
      <c r="AG1003" s="81"/>
      <c r="AH1003" s="86"/>
      <c r="AI1003" s="63"/>
      <c r="AJ1003" s="63"/>
      <c r="AK1003" s="87">
        <f t="shared" si="103"/>
        <v>0</v>
      </c>
      <c r="AL1003" s="86">
        <v>0</v>
      </c>
      <c r="AM1003" s="86">
        <f t="shared" si="109"/>
        <v>0</v>
      </c>
      <c r="AN1003" s="63" t="s">
        <v>1155</v>
      </c>
      <c r="AO1003" s="86">
        <f t="shared" si="110"/>
        <v>21321000</v>
      </c>
      <c r="AP1003" s="63"/>
      <c r="AQ1003" s="81">
        <v>43375</v>
      </c>
      <c r="AR1003" s="63" t="s">
        <v>2109</v>
      </c>
      <c r="AS1003" s="81">
        <v>43376</v>
      </c>
      <c r="AT1003" s="63" t="s">
        <v>1453</v>
      </c>
      <c r="AU1003" s="220"/>
      <c r="AV1003" s="220"/>
      <c r="AW1003" s="220"/>
    </row>
    <row r="1004" spans="1:49" s="221" customFormat="1" ht="370.5" x14ac:dyDescent="0.25">
      <c r="A1004" s="63">
        <v>590</v>
      </c>
      <c r="B1004" s="63" t="str">
        <f t="shared" si="108"/>
        <v>3075-590</v>
      </c>
      <c r="C1004" s="76" t="s">
        <v>1141</v>
      </c>
      <c r="D1004" s="76" t="s">
        <v>1142</v>
      </c>
      <c r="E1004" s="76" t="s">
        <v>1143</v>
      </c>
      <c r="F1004" s="76" t="s">
        <v>1158</v>
      </c>
      <c r="G1004" s="88" t="s">
        <v>1159</v>
      </c>
      <c r="H1004" s="78" t="s">
        <v>1160</v>
      </c>
      <c r="I1004" s="76" t="s">
        <v>1147</v>
      </c>
      <c r="J1004" s="76" t="s">
        <v>1148</v>
      </c>
      <c r="K1004" s="76">
        <v>80111600</v>
      </c>
      <c r="L1004" s="63" t="s">
        <v>1149</v>
      </c>
      <c r="M1004" s="63" t="s">
        <v>58</v>
      </c>
      <c r="N1004" s="63" t="s">
        <v>59</v>
      </c>
      <c r="O1004" s="63" t="s">
        <v>1161</v>
      </c>
      <c r="P1004" s="76" t="s">
        <v>2762</v>
      </c>
      <c r="Q1004" s="79">
        <v>4120000</v>
      </c>
      <c r="R1004" s="63">
        <v>1</v>
      </c>
      <c r="S1004" s="80">
        <f t="shared" si="111"/>
        <v>24720000</v>
      </c>
      <c r="T1004" s="63"/>
      <c r="U1004" s="63" t="s">
        <v>1163</v>
      </c>
      <c r="V1004" s="81" t="s">
        <v>1164</v>
      </c>
      <c r="W1004" s="82">
        <v>6</v>
      </c>
      <c r="X1004" s="63" t="s">
        <v>2767</v>
      </c>
      <c r="Y1004" s="89">
        <v>43376</v>
      </c>
      <c r="Z1004" s="83">
        <v>24720000</v>
      </c>
      <c r="AA1004" s="84" t="s">
        <v>2742</v>
      </c>
      <c r="AB1004" s="85"/>
      <c r="AC1004" s="81"/>
      <c r="AD1004" s="86"/>
      <c r="AE1004" s="87">
        <f t="shared" si="105"/>
        <v>0</v>
      </c>
      <c r="AF1004" s="85"/>
      <c r="AG1004" s="81"/>
      <c r="AH1004" s="86"/>
      <c r="AI1004" s="63"/>
      <c r="AJ1004" s="63"/>
      <c r="AK1004" s="87">
        <f t="shared" si="103"/>
        <v>0</v>
      </c>
      <c r="AL1004" s="86">
        <v>0</v>
      </c>
      <c r="AM1004" s="86">
        <f t="shared" si="109"/>
        <v>0</v>
      </c>
      <c r="AN1004" s="63" t="s">
        <v>1155</v>
      </c>
      <c r="AO1004" s="86">
        <f t="shared" si="110"/>
        <v>24720000</v>
      </c>
      <c r="AP1004" s="63"/>
      <c r="AQ1004" s="81">
        <v>43375</v>
      </c>
      <c r="AR1004" s="63" t="s">
        <v>2109</v>
      </c>
      <c r="AS1004" s="81">
        <v>43376</v>
      </c>
      <c r="AT1004" s="63" t="s">
        <v>1453</v>
      </c>
      <c r="AU1004" s="220"/>
      <c r="AV1004" s="220"/>
      <c r="AW1004" s="220"/>
    </row>
    <row r="1005" spans="1:49" s="221" customFormat="1" ht="409.5" x14ac:dyDescent="0.25">
      <c r="A1005" s="63">
        <v>591</v>
      </c>
      <c r="B1005" s="63" t="str">
        <f t="shared" si="108"/>
        <v>3075-591</v>
      </c>
      <c r="C1005" s="76" t="s">
        <v>1141</v>
      </c>
      <c r="D1005" s="76" t="s">
        <v>1142</v>
      </c>
      <c r="E1005" s="76" t="s">
        <v>1143</v>
      </c>
      <c r="F1005" s="76" t="s">
        <v>1158</v>
      </c>
      <c r="G1005" s="88" t="s">
        <v>1159</v>
      </c>
      <c r="H1005" s="78" t="s">
        <v>1160</v>
      </c>
      <c r="I1005" s="76" t="s">
        <v>1147</v>
      </c>
      <c r="J1005" s="76" t="s">
        <v>1148</v>
      </c>
      <c r="K1005" s="76">
        <v>93141506</v>
      </c>
      <c r="L1005" s="63" t="s">
        <v>1149</v>
      </c>
      <c r="M1005" s="63" t="s">
        <v>58</v>
      </c>
      <c r="N1005" s="63" t="s">
        <v>59</v>
      </c>
      <c r="O1005" s="63" t="s">
        <v>1161</v>
      </c>
      <c r="P1005" s="76" t="s">
        <v>2723</v>
      </c>
      <c r="Q1005" s="79">
        <v>3553500</v>
      </c>
      <c r="R1005" s="63">
        <v>1</v>
      </c>
      <c r="S1005" s="80">
        <f t="shared" si="111"/>
        <v>21321000</v>
      </c>
      <c r="T1005" s="63"/>
      <c r="U1005" s="63" t="s">
        <v>1163</v>
      </c>
      <c r="V1005" s="81" t="s">
        <v>1164</v>
      </c>
      <c r="W1005" s="82">
        <v>6</v>
      </c>
      <c r="X1005" s="63" t="s">
        <v>2768</v>
      </c>
      <c r="Y1005" s="89">
        <v>43376</v>
      </c>
      <c r="Z1005" s="83">
        <v>21321000</v>
      </c>
      <c r="AA1005" s="84" t="s">
        <v>2742</v>
      </c>
      <c r="AB1005" s="85"/>
      <c r="AC1005" s="81"/>
      <c r="AD1005" s="86"/>
      <c r="AE1005" s="87">
        <f t="shared" si="105"/>
        <v>0</v>
      </c>
      <c r="AF1005" s="85"/>
      <c r="AG1005" s="81"/>
      <c r="AH1005" s="86"/>
      <c r="AI1005" s="63"/>
      <c r="AJ1005" s="63"/>
      <c r="AK1005" s="87">
        <f t="shared" si="103"/>
        <v>0</v>
      </c>
      <c r="AL1005" s="86">
        <v>0</v>
      </c>
      <c r="AM1005" s="86">
        <f t="shared" si="109"/>
        <v>0</v>
      </c>
      <c r="AN1005" s="63" t="s">
        <v>1155</v>
      </c>
      <c r="AO1005" s="86">
        <f t="shared" si="110"/>
        <v>21321000</v>
      </c>
      <c r="AP1005" s="63"/>
      <c r="AQ1005" s="81">
        <v>43375</v>
      </c>
      <c r="AR1005" s="63" t="s">
        <v>2109</v>
      </c>
      <c r="AS1005" s="81">
        <v>43376</v>
      </c>
      <c r="AT1005" s="63" t="s">
        <v>1453</v>
      </c>
      <c r="AU1005" s="220"/>
      <c r="AV1005" s="220"/>
      <c r="AW1005" s="220"/>
    </row>
    <row r="1006" spans="1:49" s="221" customFormat="1" ht="409.5" x14ac:dyDescent="0.25">
      <c r="A1006" s="63">
        <v>592</v>
      </c>
      <c r="B1006" s="63" t="str">
        <f>CONCATENATE("3075","-",A1006)</f>
        <v>3075-592</v>
      </c>
      <c r="C1006" s="76" t="s">
        <v>1141</v>
      </c>
      <c r="D1006" s="76" t="s">
        <v>1142</v>
      </c>
      <c r="E1006" s="76" t="s">
        <v>1143</v>
      </c>
      <c r="F1006" s="76" t="s">
        <v>1158</v>
      </c>
      <c r="G1006" s="88" t="s">
        <v>1159</v>
      </c>
      <c r="H1006" s="78" t="s">
        <v>1160</v>
      </c>
      <c r="I1006" s="76" t="s">
        <v>1147</v>
      </c>
      <c r="J1006" s="76" t="s">
        <v>1148</v>
      </c>
      <c r="K1006" s="76">
        <v>81101500</v>
      </c>
      <c r="L1006" s="63" t="s">
        <v>1149</v>
      </c>
      <c r="M1006" s="63" t="s">
        <v>58</v>
      </c>
      <c r="N1006" s="63" t="s">
        <v>59</v>
      </c>
      <c r="O1006" s="63" t="s">
        <v>1161</v>
      </c>
      <c r="P1006" s="76" t="s">
        <v>2769</v>
      </c>
      <c r="Q1006" s="79">
        <v>3553500</v>
      </c>
      <c r="R1006" s="63">
        <v>1</v>
      </c>
      <c r="S1006" s="80">
        <f>Q1006*R1006*W1006</f>
        <v>21321000</v>
      </c>
      <c r="T1006" s="63"/>
      <c r="U1006" s="63" t="s">
        <v>1163</v>
      </c>
      <c r="V1006" s="81" t="s">
        <v>1164</v>
      </c>
      <c r="W1006" s="82">
        <v>6</v>
      </c>
      <c r="X1006" s="63" t="s">
        <v>2770</v>
      </c>
      <c r="Y1006" s="89">
        <v>43376</v>
      </c>
      <c r="Z1006" s="83">
        <v>21321000</v>
      </c>
      <c r="AA1006" s="84" t="s">
        <v>2742</v>
      </c>
      <c r="AB1006" s="85"/>
      <c r="AC1006" s="81"/>
      <c r="AD1006" s="86"/>
      <c r="AE1006" s="87">
        <f>S1006-Z1006</f>
        <v>0</v>
      </c>
      <c r="AF1006" s="85"/>
      <c r="AG1006" s="81"/>
      <c r="AH1006" s="86"/>
      <c r="AI1006" s="63"/>
      <c r="AJ1006" s="63"/>
      <c r="AK1006" s="87">
        <f>AD1006-AH1006</f>
        <v>0</v>
      </c>
      <c r="AL1006" s="86">
        <v>0</v>
      </c>
      <c r="AM1006" s="86">
        <f t="shared" si="109"/>
        <v>0</v>
      </c>
      <c r="AN1006" s="63" t="s">
        <v>1155</v>
      </c>
      <c r="AO1006" s="86">
        <f>S1006-AH1006</f>
        <v>21321000</v>
      </c>
      <c r="AP1006" s="63"/>
      <c r="AQ1006" s="81">
        <v>43375</v>
      </c>
      <c r="AR1006" s="63" t="s">
        <v>2109</v>
      </c>
      <c r="AS1006" s="81">
        <v>43376</v>
      </c>
      <c r="AT1006" s="63" t="s">
        <v>1453</v>
      </c>
      <c r="AU1006" s="220"/>
      <c r="AV1006" s="220"/>
      <c r="AW1006" s="220"/>
    </row>
    <row r="1007" spans="1:49" s="221" customFormat="1" ht="409.5" x14ac:dyDescent="0.25">
      <c r="A1007" s="63">
        <v>593</v>
      </c>
      <c r="B1007" s="63" t="str">
        <f t="shared" si="108"/>
        <v>3075-593</v>
      </c>
      <c r="C1007" s="76" t="s">
        <v>1141</v>
      </c>
      <c r="D1007" s="76" t="s">
        <v>1142</v>
      </c>
      <c r="E1007" s="76" t="s">
        <v>1143</v>
      </c>
      <c r="F1007" s="76" t="s">
        <v>1158</v>
      </c>
      <c r="G1007" s="88" t="s">
        <v>1159</v>
      </c>
      <c r="H1007" s="78" t="s">
        <v>1160</v>
      </c>
      <c r="I1007" s="76" t="s">
        <v>1147</v>
      </c>
      <c r="J1007" s="76" t="s">
        <v>1148</v>
      </c>
      <c r="K1007" s="76">
        <v>81101500</v>
      </c>
      <c r="L1007" s="63" t="s">
        <v>1149</v>
      </c>
      <c r="M1007" s="63" t="s">
        <v>58</v>
      </c>
      <c r="N1007" s="63" t="s">
        <v>59</v>
      </c>
      <c r="O1007" s="63" t="s">
        <v>1161</v>
      </c>
      <c r="P1007" s="76" t="s">
        <v>2771</v>
      </c>
      <c r="Q1007" s="79">
        <v>5036700</v>
      </c>
      <c r="R1007" s="63">
        <v>1</v>
      </c>
      <c r="S1007" s="80">
        <f t="shared" si="111"/>
        <v>30220200</v>
      </c>
      <c r="T1007" s="63"/>
      <c r="U1007" s="63" t="s">
        <v>1163</v>
      </c>
      <c r="V1007" s="81" t="s">
        <v>1164</v>
      </c>
      <c r="W1007" s="82">
        <v>6</v>
      </c>
      <c r="X1007" s="63" t="s">
        <v>2772</v>
      </c>
      <c r="Y1007" s="89">
        <v>43376</v>
      </c>
      <c r="Z1007" s="83">
        <v>30220200</v>
      </c>
      <c r="AA1007" s="84" t="s">
        <v>2742</v>
      </c>
      <c r="AB1007" s="85"/>
      <c r="AC1007" s="81"/>
      <c r="AD1007" s="86"/>
      <c r="AE1007" s="87">
        <f t="shared" si="105"/>
        <v>0</v>
      </c>
      <c r="AF1007" s="85"/>
      <c r="AG1007" s="81"/>
      <c r="AH1007" s="86"/>
      <c r="AI1007" s="63"/>
      <c r="AJ1007" s="63"/>
      <c r="AK1007" s="87">
        <f t="shared" si="103"/>
        <v>0</v>
      </c>
      <c r="AL1007" s="86">
        <v>0</v>
      </c>
      <c r="AM1007" s="86">
        <f t="shared" si="109"/>
        <v>0</v>
      </c>
      <c r="AN1007" s="63" t="s">
        <v>1155</v>
      </c>
      <c r="AO1007" s="86">
        <f t="shared" si="110"/>
        <v>30220200</v>
      </c>
      <c r="AP1007" s="63"/>
      <c r="AQ1007" s="81">
        <v>43375</v>
      </c>
      <c r="AR1007" s="63" t="s">
        <v>2109</v>
      </c>
      <c r="AS1007" s="81">
        <v>43376</v>
      </c>
      <c r="AT1007" s="63" t="s">
        <v>1453</v>
      </c>
      <c r="AU1007" s="220"/>
      <c r="AV1007" s="220"/>
      <c r="AW1007" s="220"/>
    </row>
    <row r="1008" spans="1:49" s="221" customFormat="1" ht="409.5" x14ac:dyDescent="0.25">
      <c r="A1008" s="63">
        <v>594</v>
      </c>
      <c r="B1008" s="63" t="str">
        <f t="shared" si="108"/>
        <v>3075-594</v>
      </c>
      <c r="C1008" s="76" t="s">
        <v>1141</v>
      </c>
      <c r="D1008" s="76" t="s">
        <v>1142</v>
      </c>
      <c r="E1008" s="76" t="s">
        <v>1143</v>
      </c>
      <c r="F1008" s="76" t="s">
        <v>1158</v>
      </c>
      <c r="G1008" s="88" t="s">
        <v>1159</v>
      </c>
      <c r="H1008" s="78" t="s">
        <v>1160</v>
      </c>
      <c r="I1008" s="76" t="s">
        <v>1147</v>
      </c>
      <c r="J1008" s="76" t="s">
        <v>1148</v>
      </c>
      <c r="K1008" s="76">
        <v>81101500</v>
      </c>
      <c r="L1008" s="63" t="s">
        <v>1149</v>
      </c>
      <c r="M1008" s="63" t="s">
        <v>58</v>
      </c>
      <c r="N1008" s="63" t="s">
        <v>59</v>
      </c>
      <c r="O1008" s="63" t="s">
        <v>1161</v>
      </c>
      <c r="P1008" s="76" t="s">
        <v>2773</v>
      </c>
      <c r="Q1008" s="79">
        <v>4120000</v>
      </c>
      <c r="R1008" s="63">
        <v>1</v>
      </c>
      <c r="S1008" s="80">
        <f t="shared" si="111"/>
        <v>24720000</v>
      </c>
      <c r="T1008" s="63"/>
      <c r="U1008" s="63" t="s">
        <v>1163</v>
      </c>
      <c r="V1008" s="81" t="s">
        <v>1164</v>
      </c>
      <c r="W1008" s="82">
        <v>6</v>
      </c>
      <c r="X1008" s="63" t="s">
        <v>2774</v>
      </c>
      <c r="Y1008" s="89">
        <v>43376</v>
      </c>
      <c r="Z1008" s="83">
        <v>24720000</v>
      </c>
      <c r="AA1008" s="84" t="s">
        <v>2742</v>
      </c>
      <c r="AB1008" s="85"/>
      <c r="AC1008" s="81"/>
      <c r="AD1008" s="86"/>
      <c r="AE1008" s="87">
        <f t="shared" si="105"/>
        <v>0</v>
      </c>
      <c r="AF1008" s="85"/>
      <c r="AG1008" s="81"/>
      <c r="AH1008" s="86"/>
      <c r="AI1008" s="63"/>
      <c r="AJ1008" s="63"/>
      <c r="AK1008" s="87">
        <f t="shared" si="103"/>
        <v>0</v>
      </c>
      <c r="AL1008" s="86">
        <v>0</v>
      </c>
      <c r="AM1008" s="86">
        <f t="shared" si="109"/>
        <v>0</v>
      </c>
      <c r="AN1008" s="63" t="s">
        <v>1155</v>
      </c>
      <c r="AO1008" s="86">
        <f t="shared" si="110"/>
        <v>24720000</v>
      </c>
      <c r="AP1008" s="63"/>
      <c r="AQ1008" s="81">
        <v>43375</v>
      </c>
      <c r="AR1008" s="63" t="s">
        <v>2109</v>
      </c>
      <c r="AS1008" s="81">
        <v>43376</v>
      </c>
      <c r="AT1008" s="63" t="s">
        <v>1453</v>
      </c>
      <c r="AU1008" s="220"/>
      <c r="AV1008" s="220"/>
      <c r="AW1008" s="220"/>
    </row>
    <row r="1009" spans="1:49" s="221" customFormat="1" ht="409.5" x14ac:dyDescent="0.25">
      <c r="A1009" s="63">
        <v>595</v>
      </c>
      <c r="B1009" s="63" t="str">
        <f t="shared" si="108"/>
        <v>3075-595</v>
      </c>
      <c r="C1009" s="76" t="s">
        <v>1141</v>
      </c>
      <c r="D1009" s="76" t="s">
        <v>1142</v>
      </c>
      <c r="E1009" s="76" t="s">
        <v>1143</v>
      </c>
      <c r="F1009" s="76" t="s">
        <v>1158</v>
      </c>
      <c r="G1009" s="88" t="s">
        <v>1159</v>
      </c>
      <c r="H1009" s="78" t="s">
        <v>1160</v>
      </c>
      <c r="I1009" s="76" t="s">
        <v>1147</v>
      </c>
      <c r="J1009" s="76" t="s">
        <v>1148</v>
      </c>
      <c r="K1009" s="76">
        <v>81101500</v>
      </c>
      <c r="L1009" s="63" t="s">
        <v>1149</v>
      </c>
      <c r="M1009" s="63" t="s">
        <v>58</v>
      </c>
      <c r="N1009" s="63" t="s">
        <v>59</v>
      </c>
      <c r="O1009" s="63" t="s">
        <v>1161</v>
      </c>
      <c r="P1009" s="76" t="s">
        <v>2773</v>
      </c>
      <c r="Q1009" s="79">
        <v>4120000</v>
      </c>
      <c r="R1009" s="63">
        <v>1</v>
      </c>
      <c r="S1009" s="80">
        <f t="shared" si="111"/>
        <v>24720000</v>
      </c>
      <c r="T1009" s="63"/>
      <c r="U1009" s="63" t="s">
        <v>1163</v>
      </c>
      <c r="V1009" s="81" t="s">
        <v>1164</v>
      </c>
      <c r="W1009" s="82">
        <v>6</v>
      </c>
      <c r="X1009" s="63" t="s">
        <v>2775</v>
      </c>
      <c r="Y1009" s="89">
        <v>43376</v>
      </c>
      <c r="Z1009" s="83">
        <v>24720000</v>
      </c>
      <c r="AA1009" s="84" t="s">
        <v>2742</v>
      </c>
      <c r="AB1009" s="85"/>
      <c r="AC1009" s="81"/>
      <c r="AD1009" s="86"/>
      <c r="AE1009" s="87">
        <f t="shared" si="105"/>
        <v>0</v>
      </c>
      <c r="AF1009" s="85"/>
      <c r="AG1009" s="81"/>
      <c r="AH1009" s="86"/>
      <c r="AI1009" s="63"/>
      <c r="AJ1009" s="63"/>
      <c r="AK1009" s="87">
        <f t="shared" si="103"/>
        <v>0</v>
      </c>
      <c r="AL1009" s="86">
        <v>0</v>
      </c>
      <c r="AM1009" s="86">
        <f t="shared" si="109"/>
        <v>0</v>
      </c>
      <c r="AN1009" s="63" t="s">
        <v>1155</v>
      </c>
      <c r="AO1009" s="86">
        <f t="shared" si="110"/>
        <v>24720000</v>
      </c>
      <c r="AP1009" s="63"/>
      <c r="AQ1009" s="81">
        <v>43375</v>
      </c>
      <c r="AR1009" s="63" t="s">
        <v>2109</v>
      </c>
      <c r="AS1009" s="81">
        <v>43376</v>
      </c>
      <c r="AT1009" s="63" t="s">
        <v>1453</v>
      </c>
      <c r="AU1009" s="220"/>
      <c r="AV1009" s="220"/>
      <c r="AW1009" s="220"/>
    </row>
    <row r="1010" spans="1:49" s="221" customFormat="1" ht="399" x14ac:dyDescent="0.25">
      <c r="A1010" s="63">
        <v>596</v>
      </c>
      <c r="B1010" s="63" t="str">
        <f t="shared" si="108"/>
        <v>3075-596</v>
      </c>
      <c r="C1010" s="76" t="s">
        <v>1141</v>
      </c>
      <c r="D1010" s="76" t="s">
        <v>1142</v>
      </c>
      <c r="E1010" s="76" t="s">
        <v>1143</v>
      </c>
      <c r="F1010" s="76" t="s">
        <v>1158</v>
      </c>
      <c r="G1010" s="88" t="s">
        <v>1159</v>
      </c>
      <c r="H1010" s="78" t="s">
        <v>1160</v>
      </c>
      <c r="I1010" s="76" t="s">
        <v>1147</v>
      </c>
      <c r="J1010" s="76" t="s">
        <v>1148</v>
      </c>
      <c r="K1010" s="76">
        <v>81111600</v>
      </c>
      <c r="L1010" s="63" t="s">
        <v>1149</v>
      </c>
      <c r="M1010" s="63" t="s">
        <v>58</v>
      </c>
      <c r="N1010" s="63" t="s">
        <v>59</v>
      </c>
      <c r="O1010" s="63" t="s">
        <v>1161</v>
      </c>
      <c r="P1010" s="76" t="s">
        <v>2776</v>
      </c>
      <c r="Q1010" s="79">
        <v>3399000</v>
      </c>
      <c r="R1010" s="63">
        <v>1</v>
      </c>
      <c r="S1010" s="80">
        <f t="shared" si="111"/>
        <v>20394000</v>
      </c>
      <c r="T1010" s="63"/>
      <c r="U1010" s="63" t="s">
        <v>1163</v>
      </c>
      <c r="V1010" s="81" t="s">
        <v>1164</v>
      </c>
      <c r="W1010" s="82">
        <v>6</v>
      </c>
      <c r="X1010" s="63" t="s">
        <v>2777</v>
      </c>
      <c r="Y1010" s="89">
        <v>43376</v>
      </c>
      <c r="Z1010" s="83">
        <v>20394000</v>
      </c>
      <c r="AA1010" s="84" t="s">
        <v>2742</v>
      </c>
      <c r="AB1010" s="85"/>
      <c r="AC1010" s="81"/>
      <c r="AD1010" s="86"/>
      <c r="AE1010" s="87">
        <f t="shared" si="105"/>
        <v>0</v>
      </c>
      <c r="AF1010" s="85"/>
      <c r="AG1010" s="81"/>
      <c r="AH1010" s="86"/>
      <c r="AI1010" s="63"/>
      <c r="AJ1010" s="63"/>
      <c r="AK1010" s="87">
        <f t="shared" ref="AK1010:AK1047" si="112">AD1010-AH1010</f>
        <v>0</v>
      </c>
      <c r="AL1010" s="86">
        <v>0</v>
      </c>
      <c r="AM1010" s="86">
        <f t="shared" si="109"/>
        <v>0</v>
      </c>
      <c r="AN1010" s="63" t="s">
        <v>1155</v>
      </c>
      <c r="AO1010" s="86">
        <f t="shared" si="110"/>
        <v>20394000</v>
      </c>
      <c r="AP1010" s="63"/>
      <c r="AQ1010" s="81">
        <v>43375</v>
      </c>
      <c r="AR1010" s="63" t="s">
        <v>2109</v>
      </c>
      <c r="AS1010" s="81">
        <v>43376</v>
      </c>
      <c r="AT1010" s="63" t="s">
        <v>1453</v>
      </c>
      <c r="AU1010" s="220"/>
      <c r="AV1010" s="220"/>
      <c r="AW1010" s="220"/>
    </row>
    <row r="1011" spans="1:49" s="221" customFormat="1" ht="409.5" x14ac:dyDescent="0.25">
      <c r="A1011" s="63">
        <v>597</v>
      </c>
      <c r="B1011" s="63" t="str">
        <f t="shared" si="108"/>
        <v>3075-597</v>
      </c>
      <c r="C1011" s="76" t="s">
        <v>1141</v>
      </c>
      <c r="D1011" s="76" t="s">
        <v>1142</v>
      </c>
      <c r="E1011" s="76" t="s">
        <v>1143</v>
      </c>
      <c r="F1011" s="76" t="s">
        <v>1158</v>
      </c>
      <c r="G1011" s="88" t="s">
        <v>1159</v>
      </c>
      <c r="H1011" s="78" t="s">
        <v>1160</v>
      </c>
      <c r="I1011" s="76" t="s">
        <v>1147</v>
      </c>
      <c r="J1011" s="76" t="s">
        <v>1148</v>
      </c>
      <c r="K1011" s="76">
        <v>81101500</v>
      </c>
      <c r="L1011" s="63" t="s">
        <v>1149</v>
      </c>
      <c r="M1011" s="63" t="s">
        <v>58</v>
      </c>
      <c r="N1011" s="63" t="s">
        <v>59</v>
      </c>
      <c r="O1011" s="63" t="s">
        <v>1161</v>
      </c>
      <c r="P1011" s="76" t="s">
        <v>2778</v>
      </c>
      <c r="Q1011" s="79">
        <v>4532000</v>
      </c>
      <c r="R1011" s="63">
        <v>1</v>
      </c>
      <c r="S1011" s="80">
        <f t="shared" si="111"/>
        <v>27192000</v>
      </c>
      <c r="T1011" s="63"/>
      <c r="U1011" s="63" t="s">
        <v>1163</v>
      </c>
      <c r="V1011" s="81" t="s">
        <v>1164</v>
      </c>
      <c r="W1011" s="82">
        <v>6</v>
      </c>
      <c r="X1011" s="63" t="s">
        <v>2779</v>
      </c>
      <c r="Y1011" s="89">
        <v>43376</v>
      </c>
      <c r="Z1011" s="83">
        <v>27192000</v>
      </c>
      <c r="AA1011" s="84" t="s">
        <v>2742</v>
      </c>
      <c r="AB1011" s="85"/>
      <c r="AC1011" s="81"/>
      <c r="AD1011" s="86"/>
      <c r="AE1011" s="87">
        <f t="shared" si="105"/>
        <v>0</v>
      </c>
      <c r="AF1011" s="85"/>
      <c r="AG1011" s="81"/>
      <c r="AH1011" s="86"/>
      <c r="AI1011" s="63"/>
      <c r="AJ1011" s="63"/>
      <c r="AK1011" s="87">
        <f t="shared" si="112"/>
        <v>0</v>
      </c>
      <c r="AL1011" s="86">
        <v>0</v>
      </c>
      <c r="AM1011" s="86">
        <f t="shared" si="109"/>
        <v>0</v>
      </c>
      <c r="AN1011" s="63" t="s">
        <v>1155</v>
      </c>
      <c r="AO1011" s="86">
        <f t="shared" si="110"/>
        <v>27192000</v>
      </c>
      <c r="AP1011" s="63"/>
      <c r="AQ1011" s="81">
        <v>43375</v>
      </c>
      <c r="AR1011" s="63" t="s">
        <v>2109</v>
      </c>
      <c r="AS1011" s="81">
        <v>43376</v>
      </c>
      <c r="AT1011" s="63" t="s">
        <v>1453</v>
      </c>
      <c r="AU1011" s="220"/>
      <c r="AV1011" s="220"/>
      <c r="AW1011" s="220"/>
    </row>
    <row r="1012" spans="1:49" s="221" customFormat="1" ht="399" x14ac:dyDescent="0.25">
      <c r="A1012" s="63">
        <v>598</v>
      </c>
      <c r="B1012" s="63" t="str">
        <f t="shared" si="108"/>
        <v>3075-598</v>
      </c>
      <c r="C1012" s="76" t="s">
        <v>1141</v>
      </c>
      <c r="D1012" s="76" t="s">
        <v>1142</v>
      </c>
      <c r="E1012" s="76" t="s">
        <v>1143</v>
      </c>
      <c r="F1012" s="76" t="s">
        <v>1158</v>
      </c>
      <c r="G1012" s="88" t="s">
        <v>1159</v>
      </c>
      <c r="H1012" s="78" t="s">
        <v>1160</v>
      </c>
      <c r="I1012" s="76" t="s">
        <v>1147</v>
      </c>
      <c r="J1012" s="76" t="s">
        <v>1148</v>
      </c>
      <c r="K1012" s="76">
        <v>80111600</v>
      </c>
      <c r="L1012" s="63" t="s">
        <v>1149</v>
      </c>
      <c r="M1012" s="63" t="s">
        <v>58</v>
      </c>
      <c r="N1012" s="63" t="s">
        <v>59</v>
      </c>
      <c r="O1012" s="63" t="s">
        <v>1161</v>
      </c>
      <c r="P1012" s="76" t="s">
        <v>2776</v>
      </c>
      <c r="Q1012" s="79">
        <v>4120000</v>
      </c>
      <c r="R1012" s="63">
        <v>1</v>
      </c>
      <c r="S1012" s="80">
        <f t="shared" si="111"/>
        <v>24720000</v>
      </c>
      <c r="T1012" s="63"/>
      <c r="U1012" s="63" t="s">
        <v>1163</v>
      </c>
      <c r="V1012" s="81" t="s">
        <v>1164</v>
      </c>
      <c r="W1012" s="82">
        <v>6</v>
      </c>
      <c r="X1012" s="63" t="s">
        <v>2780</v>
      </c>
      <c r="Y1012" s="89">
        <v>43377</v>
      </c>
      <c r="Z1012" s="83">
        <v>24720000</v>
      </c>
      <c r="AA1012" s="84" t="s">
        <v>2742</v>
      </c>
      <c r="AB1012" s="85"/>
      <c r="AC1012" s="81"/>
      <c r="AD1012" s="86"/>
      <c r="AE1012" s="87">
        <f t="shared" si="105"/>
        <v>0</v>
      </c>
      <c r="AF1012" s="85"/>
      <c r="AG1012" s="81"/>
      <c r="AH1012" s="86"/>
      <c r="AI1012" s="63"/>
      <c r="AJ1012" s="63"/>
      <c r="AK1012" s="87">
        <f t="shared" si="112"/>
        <v>0</v>
      </c>
      <c r="AL1012" s="86">
        <v>0</v>
      </c>
      <c r="AM1012" s="86">
        <f t="shared" si="109"/>
        <v>0</v>
      </c>
      <c r="AN1012" s="63" t="s">
        <v>1155</v>
      </c>
      <c r="AO1012" s="86">
        <f t="shared" si="110"/>
        <v>24720000</v>
      </c>
      <c r="AP1012" s="63"/>
      <c r="AQ1012" s="81">
        <v>43376</v>
      </c>
      <c r="AR1012" s="63" t="s">
        <v>2109</v>
      </c>
      <c r="AS1012" s="81">
        <v>43377</v>
      </c>
      <c r="AT1012" s="63" t="s">
        <v>1453</v>
      </c>
      <c r="AU1012" s="220"/>
      <c r="AV1012" s="220"/>
      <c r="AW1012" s="220"/>
    </row>
    <row r="1013" spans="1:49" s="221" customFormat="1" ht="399" x14ac:dyDescent="0.25">
      <c r="A1013" s="63">
        <v>599</v>
      </c>
      <c r="B1013" s="63" t="str">
        <f t="shared" si="108"/>
        <v>3075-599</v>
      </c>
      <c r="C1013" s="76" t="s">
        <v>1141</v>
      </c>
      <c r="D1013" s="76" t="s">
        <v>1142</v>
      </c>
      <c r="E1013" s="76" t="s">
        <v>1143</v>
      </c>
      <c r="F1013" s="76" t="s">
        <v>1158</v>
      </c>
      <c r="G1013" s="88" t="s">
        <v>1159</v>
      </c>
      <c r="H1013" s="78" t="s">
        <v>1160</v>
      </c>
      <c r="I1013" s="76" t="s">
        <v>1147</v>
      </c>
      <c r="J1013" s="76" t="s">
        <v>1148</v>
      </c>
      <c r="K1013" s="76">
        <v>80111600</v>
      </c>
      <c r="L1013" s="63" t="s">
        <v>1149</v>
      </c>
      <c r="M1013" s="63" t="s">
        <v>58</v>
      </c>
      <c r="N1013" s="63" t="s">
        <v>59</v>
      </c>
      <c r="O1013" s="63" t="s">
        <v>1161</v>
      </c>
      <c r="P1013" s="76" t="s">
        <v>2776</v>
      </c>
      <c r="Q1013" s="79">
        <v>4120000</v>
      </c>
      <c r="R1013" s="63">
        <v>1</v>
      </c>
      <c r="S1013" s="80">
        <f t="shared" si="111"/>
        <v>24720000</v>
      </c>
      <c r="T1013" s="63"/>
      <c r="U1013" s="63" t="s">
        <v>1163</v>
      </c>
      <c r="V1013" s="81" t="s">
        <v>1164</v>
      </c>
      <c r="W1013" s="82">
        <v>6</v>
      </c>
      <c r="X1013" s="63" t="s">
        <v>2781</v>
      </c>
      <c r="Y1013" s="89">
        <v>43377</v>
      </c>
      <c r="Z1013" s="83">
        <v>24720000</v>
      </c>
      <c r="AA1013" s="84" t="s">
        <v>2742</v>
      </c>
      <c r="AB1013" s="85"/>
      <c r="AC1013" s="81"/>
      <c r="AD1013" s="86"/>
      <c r="AE1013" s="87">
        <f t="shared" si="105"/>
        <v>0</v>
      </c>
      <c r="AF1013" s="85"/>
      <c r="AG1013" s="81"/>
      <c r="AH1013" s="86"/>
      <c r="AI1013" s="63"/>
      <c r="AJ1013" s="63"/>
      <c r="AK1013" s="87">
        <f t="shared" si="112"/>
        <v>0</v>
      </c>
      <c r="AL1013" s="86">
        <v>0</v>
      </c>
      <c r="AM1013" s="86">
        <f t="shared" si="109"/>
        <v>0</v>
      </c>
      <c r="AN1013" s="63" t="s">
        <v>1155</v>
      </c>
      <c r="AO1013" s="86">
        <f t="shared" si="110"/>
        <v>24720000</v>
      </c>
      <c r="AP1013" s="63"/>
      <c r="AQ1013" s="81">
        <v>43376</v>
      </c>
      <c r="AR1013" s="63" t="s">
        <v>2109</v>
      </c>
      <c r="AS1013" s="81">
        <v>43377</v>
      </c>
      <c r="AT1013" s="63" t="s">
        <v>1453</v>
      </c>
      <c r="AU1013" s="220"/>
      <c r="AV1013" s="220"/>
      <c r="AW1013" s="220"/>
    </row>
    <row r="1014" spans="1:49" s="221" customFormat="1" ht="399" x14ac:dyDescent="0.25">
      <c r="A1014" s="63">
        <v>600</v>
      </c>
      <c r="B1014" s="63" t="str">
        <f t="shared" si="108"/>
        <v>3075-600</v>
      </c>
      <c r="C1014" s="76" t="s">
        <v>1141</v>
      </c>
      <c r="D1014" s="76" t="s">
        <v>1142</v>
      </c>
      <c r="E1014" s="76" t="s">
        <v>1143</v>
      </c>
      <c r="F1014" s="76" t="s">
        <v>1158</v>
      </c>
      <c r="G1014" s="88" t="s">
        <v>1159</v>
      </c>
      <c r="H1014" s="78" t="s">
        <v>1160</v>
      </c>
      <c r="I1014" s="76" t="s">
        <v>1147</v>
      </c>
      <c r="J1014" s="76" t="s">
        <v>1148</v>
      </c>
      <c r="K1014" s="76">
        <v>801116</v>
      </c>
      <c r="L1014" s="63" t="s">
        <v>1149</v>
      </c>
      <c r="M1014" s="63" t="s">
        <v>58</v>
      </c>
      <c r="N1014" s="63" t="s">
        <v>59</v>
      </c>
      <c r="O1014" s="63" t="s">
        <v>1161</v>
      </c>
      <c r="P1014" s="76" t="s">
        <v>2776</v>
      </c>
      <c r="Q1014" s="79">
        <v>4120000</v>
      </c>
      <c r="R1014" s="63">
        <v>1</v>
      </c>
      <c r="S1014" s="80">
        <f t="shared" si="111"/>
        <v>24720000</v>
      </c>
      <c r="T1014" s="63"/>
      <c r="U1014" s="63" t="s">
        <v>1163</v>
      </c>
      <c r="V1014" s="81" t="s">
        <v>1164</v>
      </c>
      <c r="W1014" s="82">
        <v>6</v>
      </c>
      <c r="X1014" s="63" t="s">
        <v>2782</v>
      </c>
      <c r="Y1014" s="89">
        <v>43377</v>
      </c>
      <c r="Z1014" s="83">
        <v>24720000</v>
      </c>
      <c r="AA1014" s="84" t="s">
        <v>2742</v>
      </c>
      <c r="AB1014" s="85"/>
      <c r="AC1014" s="81"/>
      <c r="AD1014" s="86"/>
      <c r="AE1014" s="87">
        <f t="shared" si="105"/>
        <v>0</v>
      </c>
      <c r="AF1014" s="85"/>
      <c r="AG1014" s="81"/>
      <c r="AH1014" s="86"/>
      <c r="AI1014" s="63"/>
      <c r="AJ1014" s="63"/>
      <c r="AK1014" s="87">
        <f t="shared" si="112"/>
        <v>0</v>
      </c>
      <c r="AL1014" s="86">
        <v>0</v>
      </c>
      <c r="AM1014" s="86">
        <f t="shared" si="109"/>
        <v>0</v>
      </c>
      <c r="AN1014" s="63" t="s">
        <v>1155</v>
      </c>
      <c r="AO1014" s="86">
        <f t="shared" si="110"/>
        <v>24720000</v>
      </c>
      <c r="AP1014" s="63"/>
      <c r="AQ1014" s="81">
        <v>43376</v>
      </c>
      <c r="AR1014" s="63" t="s">
        <v>2109</v>
      </c>
      <c r="AS1014" s="81">
        <v>43377</v>
      </c>
      <c r="AT1014" s="63" t="s">
        <v>1453</v>
      </c>
      <c r="AU1014" s="220"/>
      <c r="AV1014" s="220"/>
      <c r="AW1014" s="220"/>
    </row>
    <row r="1015" spans="1:49" s="221" customFormat="1" ht="399" x14ac:dyDescent="0.25">
      <c r="A1015" s="63">
        <v>601</v>
      </c>
      <c r="B1015" s="63" t="str">
        <f t="shared" si="108"/>
        <v>3075-601</v>
      </c>
      <c r="C1015" s="76" t="s">
        <v>1141</v>
      </c>
      <c r="D1015" s="76" t="s">
        <v>1142</v>
      </c>
      <c r="E1015" s="76" t="s">
        <v>1143</v>
      </c>
      <c r="F1015" s="76" t="s">
        <v>1158</v>
      </c>
      <c r="G1015" s="88" t="s">
        <v>1159</v>
      </c>
      <c r="H1015" s="78" t="s">
        <v>1160</v>
      </c>
      <c r="I1015" s="76" t="s">
        <v>1147</v>
      </c>
      <c r="J1015" s="76" t="s">
        <v>1148</v>
      </c>
      <c r="K1015" s="76">
        <v>80111600</v>
      </c>
      <c r="L1015" s="63" t="s">
        <v>1149</v>
      </c>
      <c r="M1015" s="63" t="s">
        <v>58</v>
      </c>
      <c r="N1015" s="63" t="s">
        <v>59</v>
      </c>
      <c r="O1015" s="63" t="s">
        <v>1161</v>
      </c>
      <c r="P1015" s="76" t="s">
        <v>2776</v>
      </c>
      <c r="Q1015" s="79">
        <v>4120000</v>
      </c>
      <c r="R1015" s="63">
        <v>1</v>
      </c>
      <c r="S1015" s="80">
        <f t="shared" si="111"/>
        <v>24720000</v>
      </c>
      <c r="T1015" s="63"/>
      <c r="U1015" s="63" t="s">
        <v>1163</v>
      </c>
      <c r="V1015" s="81" t="s">
        <v>1164</v>
      </c>
      <c r="W1015" s="82">
        <v>6</v>
      </c>
      <c r="X1015" s="63" t="s">
        <v>2783</v>
      </c>
      <c r="Y1015" s="89">
        <v>43377</v>
      </c>
      <c r="Z1015" s="83">
        <v>24720000</v>
      </c>
      <c r="AA1015" s="84" t="s">
        <v>2742</v>
      </c>
      <c r="AB1015" s="85"/>
      <c r="AC1015" s="81"/>
      <c r="AD1015" s="86"/>
      <c r="AE1015" s="87">
        <f t="shared" si="105"/>
        <v>0</v>
      </c>
      <c r="AF1015" s="85"/>
      <c r="AG1015" s="81"/>
      <c r="AH1015" s="86"/>
      <c r="AI1015" s="63"/>
      <c r="AJ1015" s="63"/>
      <c r="AK1015" s="87">
        <f t="shared" si="112"/>
        <v>0</v>
      </c>
      <c r="AL1015" s="86">
        <v>0</v>
      </c>
      <c r="AM1015" s="86">
        <f t="shared" si="109"/>
        <v>0</v>
      </c>
      <c r="AN1015" s="63" t="s">
        <v>1155</v>
      </c>
      <c r="AO1015" s="86">
        <f t="shared" si="110"/>
        <v>24720000</v>
      </c>
      <c r="AP1015" s="63"/>
      <c r="AQ1015" s="81">
        <v>43376</v>
      </c>
      <c r="AR1015" s="63" t="s">
        <v>2109</v>
      </c>
      <c r="AS1015" s="81">
        <v>43377</v>
      </c>
      <c r="AT1015" s="63" t="s">
        <v>1453</v>
      </c>
      <c r="AU1015" s="220"/>
      <c r="AV1015" s="220"/>
      <c r="AW1015" s="220"/>
    </row>
    <row r="1016" spans="1:49" s="221" customFormat="1" ht="399" x14ac:dyDescent="0.25">
      <c r="A1016" s="63">
        <v>602</v>
      </c>
      <c r="B1016" s="63" t="str">
        <f t="shared" si="108"/>
        <v>3075-602</v>
      </c>
      <c r="C1016" s="76" t="s">
        <v>1141</v>
      </c>
      <c r="D1016" s="76" t="s">
        <v>1142</v>
      </c>
      <c r="E1016" s="76" t="s">
        <v>1143</v>
      </c>
      <c r="F1016" s="76" t="s">
        <v>1158</v>
      </c>
      <c r="G1016" s="88" t="s">
        <v>1159</v>
      </c>
      <c r="H1016" s="78" t="s">
        <v>1160</v>
      </c>
      <c r="I1016" s="76" t="s">
        <v>1147</v>
      </c>
      <c r="J1016" s="76" t="s">
        <v>1148</v>
      </c>
      <c r="K1016" s="76">
        <v>80111600</v>
      </c>
      <c r="L1016" s="63" t="s">
        <v>1149</v>
      </c>
      <c r="M1016" s="63" t="s">
        <v>58</v>
      </c>
      <c r="N1016" s="63" t="s">
        <v>59</v>
      </c>
      <c r="O1016" s="63" t="s">
        <v>1161</v>
      </c>
      <c r="P1016" s="76" t="s">
        <v>2776</v>
      </c>
      <c r="Q1016" s="79">
        <v>4120000</v>
      </c>
      <c r="R1016" s="63">
        <v>1</v>
      </c>
      <c r="S1016" s="80">
        <f t="shared" si="111"/>
        <v>24720000</v>
      </c>
      <c r="T1016" s="63"/>
      <c r="U1016" s="63" t="s">
        <v>1163</v>
      </c>
      <c r="V1016" s="81" t="s">
        <v>1164</v>
      </c>
      <c r="W1016" s="82">
        <v>6</v>
      </c>
      <c r="X1016" s="63" t="s">
        <v>2784</v>
      </c>
      <c r="Y1016" s="89">
        <v>43377</v>
      </c>
      <c r="Z1016" s="83">
        <v>24720000</v>
      </c>
      <c r="AA1016" s="84" t="s">
        <v>2742</v>
      </c>
      <c r="AB1016" s="85"/>
      <c r="AC1016" s="81"/>
      <c r="AD1016" s="86"/>
      <c r="AE1016" s="87">
        <f t="shared" si="105"/>
        <v>0</v>
      </c>
      <c r="AF1016" s="85"/>
      <c r="AG1016" s="81"/>
      <c r="AH1016" s="86"/>
      <c r="AI1016" s="63"/>
      <c r="AJ1016" s="63"/>
      <c r="AK1016" s="87">
        <f t="shared" si="112"/>
        <v>0</v>
      </c>
      <c r="AL1016" s="86">
        <v>0</v>
      </c>
      <c r="AM1016" s="86">
        <f t="shared" si="109"/>
        <v>0</v>
      </c>
      <c r="AN1016" s="63" t="s">
        <v>1155</v>
      </c>
      <c r="AO1016" s="86">
        <f t="shared" si="110"/>
        <v>24720000</v>
      </c>
      <c r="AP1016" s="63"/>
      <c r="AQ1016" s="81">
        <v>43376</v>
      </c>
      <c r="AR1016" s="63" t="s">
        <v>2109</v>
      </c>
      <c r="AS1016" s="81">
        <v>43377</v>
      </c>
      <c r="AT1016" s="63" t="s">
        <v>1453</v>
      </c>
      <c r="AU1016" s="220"/>
      <c r="AV1016" s="220"/>
      <c r="AW1016" s="220"/>
    </row>
    <row r="1017" spans="1:49" s="221" customFormat="1" ht="384.75" x14ac:dyDescent="0.25">
      <c r="A1017" s="63">
        <v>603</v>
      </c>
      <c r="B1017" s="63" t="str">
        <f t="shared" si="108"/>
        <v>3075-603</v>
      </c>
      <c r="C1017" s="76" t="s">
        <v>1141</v>
      </c>
      <c r="D1017" s="76" t="s">
        <v>1142</v>
      </c>
      <c r="E1017" s="76" t="s">
        <v>1143</v>
      </c>
      <c r="F1017" s="76" t="s">
        <v>1158</v>
      </c>
      <c r="G1017" s="88" t="s">
        <v>1159</v>
      </c>
      <c r="H1017" s="78" t="s">
        <v>1160</v>
      </c>
      <c r="I1017" s="76" t="s">
        <v>1147</v>
      </c>
      <c r="J1017" s="76" t="s">
        <v>1148</v>
      </c>
      <c r="K1017" s="76">
        <v>80111600</v>
      </c>
      <c r="L1017" s="63" t="s">
        <v>1149</v>
      </c>
      <c r="M1017" s="63" t="s">
        <v>58</v>
      </c>
      <c r="N1017" s="63" t="s">
        <v>59</v>
      </c>
      <c r="O1017" s="63" t="s">
        <v>1161</v>
      </c>
      <c r="P1017" s="76" t="s">
        <v>2785</v>
      </c>
      <c r="Q1017" s="79">
        <v>4532000</v>
      </c>
      <c r="R1017" s="63">
        <v>1</v>
      </c>
      <c r="S1017" s="80">
        <f t="shared" si="111"/>
        <v>27192000</v>
      </c>
      <c r="T1017" s="63"/>
      <c r="U1017" s="63" t="s">
        <v>1163</v>
      </c>
      <c r="V1017" s="81" t="s">
        <v>1164</v>
      </c>
      <c r="W1017" s="82">
        <v>6</v>
      </c>
      <c r="X1017" s="63" t="s">
        <v>2786</v>
      </c>
      <c r="Y1017" s="89">
        <v>43377</v>
      </c>
      <c r="Z1017" s="83">
        <v>27192000</v>
      </c>
      <c r="AA1017" s="84" t="s">
        <v>2742</v>
      </c>
      <c r="AB1017" s="85"/>
      <c r="AC1017" s="81"/>
      <c r="AD1017" s="86"/>
      <c r="AE1017" s="87">
        <f t="shared" si="105"/>
        <v>0</v>
      </c>
      <c r="AF1017" s="85"/>
      <c r="AG1017" s="81"/>
      <c r="AH1017" s="86"/>
      <c r="AI1017" s="63"/>
      <c r="AJ1017" s="63"/>
      <c r="AK1017" s="87">
        <f t="shared" si="112"/>
        <v>0</v>
      </c>
      <c r="AL1017" s="86">
        <v>0</v>
      </c>
      <c r="AM1017" s="86">
        <f t="shared" si="109"/>
        <v>0</v>
      </c>
      <c r="AN1017" s="63" t="s">
        <v>1155</v>
      </c>
      <c r="AO1017" s="86">
        <f t="shared" si="110"/>
        <v>27192000</v>
      </c>
      <c r="AP1017" s="63"/>
      <c r="AQ1017" s="81">
        <v>43376</v>
      </c>
      <c r="AR1017" s="63" t="s">
        <v>2109</v>
      </c>
      <c r="AS1017" s="81">
        <v>43377</v>
      </c>
      <c r="AT1017" s="63" t="s">
        <v>1453</v>
      </c>
      <c r="AU1017" s="220"/>
      <c r="AV1017" s="220"/>
      <c r="AW1017" s="220"/>
    </row>
    <row r="1018" spans="1:49" s="221" customFormat="1" ht="409.5" x14ac:dyDescent="0.25">
      <c r="A1018" s="63">
        <v>604</v>
      </c>
      <c r="B1018" s="63" t="str">
        <f t="shared" si="108"/>
        <v>3075-604</v>
      </c>
      <c r="C1018" s="76" t="s">
        <v>1141</v>
      </c>
      <c r="D1018" s="76" t="s">
        <v>1142</v>
      </c>
      <c r="E1018" s="76" t="s">
        <v>1143</v>
      </c>
      <c r="F1018" s="76" t="s">
        <v>1158</v>
      </c>
      <c r="G1018" s="88" t="s">
        <v>1159</v>
      </c>
      <c r="H1018" s="78" t="s">
        <v>1160</v>
      </c>
      <c r="I1018" s="76" t="s">
        <v>1147</v>
      </c>
      <c r="J1018" s="76" t="s">
        <v>1148</v>
      </c>
      <c r="K1018" s="76">
        <v>93141506</v>
      </c>
      <c r="L1018" s="63" t="s">
        <v>1149</v>
      </c>
      <c r="M1018" s="63" t="s">
        <v>58</v>
      </c>
      <c r="N1018" s="63" t="s">
        <v>59</v>
      </c>
      <c r="O1018" s="63" t="s">
        <v>1161</v>
      </c>
      <c r="P1018" s="76" t="s">
        <v>2723</v>
      </c>
      <c r="Q1018" s="79">
        <v>3553500</v>
      </c>
      <c r="R1018" s="63">
        <v>1</v>
      </c>
      <c r="S1018" s="80">
        <f t="shared" si="111"/>
        <v>21321000</v>
      </c>
      <c r="T1018" s="63"/>
      <c r="U1018" s="63" t="s">
        <v>1163</v>
      </c>
      <c r="V1018" s="81" t="s">
        <v>1164</v>
      </c>
      <c r="W1018" s="82">
        <v>6</v>
      </c>
      <c r="X1018" s="63" t="s">
        <v>2787</v>
      </c>
      <c r="Y1018" s="89">
        <v>43377</v>
      </c>
      <c r="Z1018" s="83">
        <v>21321000</v>
      </c>
      <c r="AA1018" s="84" t="s">
        <v>2742</v>
      </c>
      <c r="AB1018" s="85"/>
      <c r="AC1018" s="81"/>
      <c r="AD1018" s="86"/>
      <c r="AE1018" s="87">
        <f t="shared" si="105"/>
        <v>0</v>
      </c>
      <c r="AF1018" s="85"/>
      <c r="AG1018" s="81"/>
      <c r="AH1018" s="86"/>
      <c r="AI1018" s="63"/>
      <c r="AJ1018" s="63"/>
      <c r="AK1018" s="87">
        <f t="shared" si="112"/>
        <v>0</v>
      </c>
      <c r="AL1018" s="86">
        <v>0</v>
      </c>
      <c r="AM1018" s="86">
        <f t="shared" si="109"/>
        <v>0</v>
      </c>
      <c r="AN1018" s="63" t="s">
        <v>1155</v>
      </c>
      <c r="AO1018" s="86">
        <f t="shared" si="110"/>
        <v>21321000</v>
      </c>
      <c r="AP1018" s="63"/>
      <c r="AQ1018" s="81">
        <v>43376</v>
      </c>
      <c r="AR1018" s="63" t="s">
        <v>2109</v>
      </c>
      <c r="AS1018" s="81">
        <v>43377</v>
      </c>
      <c r="AT1018" s="63" t="s">
        <v>1453</v>
      </c>
      <c r="AU1018" s="220"/>
      <c r="AV1018" s="220"/>
      <c r="AW1018" s="220"/>
    </row>
    <row r="1019" spans="1:49" s="221" customFormat="1" ht="370.5" x14ac:dyDescent="0.25">
      <c r="A1019" s="63">
        <v>605</v>
      </c>
      <c r="B1019" s="63" t="str">
        <f t="shared" si="108"/>
        <v>3075-605</v>
      </c>
      <c r="C1019" s="76" t="s">
        <v>1141</v>
      </c>
      <c r="D1019" s="76" t="s">
        <v>1142</v>
      </c>
      <c r="E1019" s="76" t="s">
        <v>1143</v>
      </c>
      <c r="F1019" s="76" t="s">
        <v>1158</v>
      </c>
      <c r="G1019" s="88" t="s">
        <v>1159</v>
      </c>
      <c r="H1019" s="78" t="s">
        <v>1160</v>
      </c>
      <c r="I1019" s="76" t="s">
        <v>1147</v>
      </c>
      <c r="J1019" s="76" t="s">
        <v>1148</v>
      </c>
      <c r="K1019" s="76">
        <v>80111600</v>
      </c>
      <c r="L1019" s="63" t="s">
        <v>1149</v>
      </c>
      <c r="M1019" s="63" t="s">
        <v>58</v>
      </c>
      <c r="N1019" s="63" t="s">
        <v>59</v>
      </c>
      <c r="O1019" s="63" t="s">
        <v>1161</v>
      </c>
      <c r="P1019" s="76" t="s">
        <v>2788</v>
      </c>
      <c r="Q1019" s="79">
        <v>5036700</v>
      </c>
      <c r="R1019" s="63">
        <v>1</v>
      </c>
      <c r="S1019" s="80">
        <f t="shared" si="111"/>
        <v>30220200</v>
      </c>
      <c r="T1019" s="63"/>
      <c r="U1019" s="63" t="s">
        <v>1163</v>
      </c>
      <c r="V1019" s="81" t="s">
        <v>1164</v>
      </c>
      <c r="W1019" s="82">
        <v>6</v>
      </c>
      <c r="X1019" s="63" t="s">
        <v>2789</v>
      </c>
      <c r="Y1019" s="89">
        <v>43377</v>
      </c>
      <c r="Z1019" s="83">
        <v>30220200</v>
      </c>
      <c r="AA1019" s="84" t="s">
        <v>2742</v>
      </c>
      <c r="AB1019" s="85"/>
      <c r="AC1019" s="81"/>
      <c r="AD1019" s="86"/>
      <c r="AE1019" s="87">
        <f t="shared" si="105"/>
        <v>0</v>
      </c>
      <c r="AF1019" s="85"/>
      <c r="AG1019" s="81"/>
      <c r="AH1019" s="86"/>
      <c r="AI1019" s="63"/>
      <c r="AJ1019" s="63"/>
      <c r="AK1019" s="87">
        <f t="shared" si="112"/>
        <v>0</v>
      </c>
      <c r="AL1019" s="86">
        <v>0</v>
      </c>
      <c r="AM1019" s="86">
        <f t="shared" si="109"/>
        <v>0</v>
      </c>
      <c r="AN1019" s="63" t="s">
        <v>1155</v>
      </c>
      <c r="AO1019" s="86">
        <f t="shared" si="110"/>
        <v>30220200</v>
      </c>
      <c r="AP1019" s="63"/>
      <c r="AQ1019" s="81">
        <v>43376</v>
      </c>
      <c r="AR1019" s="63" t="s">
        <v>2109</v>
      </c>
      <c r="AS1019" s="81">
        <v>43377</v>
      </c>
      <c r="AT1019" s="63" t="s">
        <v>1453</v>
      </c>
      <c r="AU1019" s="220"/>
      <c r="AV1019" s="220"/>
      <c r="AW1019" s="220"/>
    </row>
    <row r="1020" spans="1:49" s="221" customFormat="1" ht="327.75" x14ac:dyDescent="0.25">
      <c r="A1020" s="63">
        <v>606</v>
      </c>
      <c r="B1020" s="63" t="str">
        <f t="shared" si="108"/>
        <v>3075-606</v>
      </c>
      <c r="C1020" s="76" t="s">
        <v>1141</v>
      </c>
      <c r="D1020" s="76" t="s">
        <v>1142</v>
      </c>
      <c r="E1020" s="76" t="s">
        <v>1174</v>
      </c>
      <c r="F1020" s="76" t="s">
        <v>1175</v>
      </c>
      <c r="G1020" s="77" t="s">
        <v>1176</v>
      </c>
      <c r="H1020" s="78" t="s">
        <v>1177</v>
      </c>
      <c r="I1020" s="76" t="s">
        <v>1147</v>
      </c>
      <c r="J1020" s="76" t="s">
        <v>1148</v>
      </c>
      <c r="K1020" s="76" t="s">
        <v>439</v>
      </c>
      <c r="L1020" s="63" t="s">
        <v>1149</v>
      </c>
      <c r="M1020" s="63" t="s">
        <v>58</v>
      </c>
      <c r="N1020" s="63" t="s">
        <v>59</v>
      </c>
      <c r="O1020" s="76" t="s">
        <v>1169</v>
      </c>
      <c r="P1020" s="76" t="s">
        <v>2790</v>
      </c>
      <c r="Q1020" s="79">
        <v>39062100</v>
      </c>
      <c r="R1020" s="63">
        <v>1</v>
      </c>
      <c r="S1020" s="80">
        <f>R1020*Q1020</f>
        <v>39062100</v>
      </c>
      <c r="T1020" s="63"/>
      <c r="U1020" s="63" t="s">
        <v>1171</v>
      </c>
      <c r="V1020" s="81" t="s">
        <v>1164</v>
      </c>
      <c r="W1020" s="82" t="s">
        <v>439</v>
      </c>
      <c r="X1020" s="63" t="s">
        <v>2791</v>
      </c>
      <c r="Y1020" s="81">
        <v>43377</v>
      </c>
      <c r="Z1020" s="83">
        <v>39062100</v>
      </c>
      <c r="AA1020" s="84" t="s">
        <v>2792</v>
      </c>
      <c r="AB1020" s="85"/>
      <c r="AC1020" s="81"/>
      <c r="AD1020" s="86"/>
      <c r="AE1020" s="87">
        <f t="shared" si="105"/>
        <v>0</v>
      </c>
      <c r="AF1020" s="85"/>
      <c r="AG1020" s="81"/>
      <c r="AH1020" s="86"/>
      <c r="AI1020" s="63"/>
      <c r="AJ1020" s="63"/>
      <c r="AK1020" s="87">
        <f t="shared" si="112"/>
        <v>0</v>
      </c>
      <c r="AL1020" s="86"/>
      <c r="AM1020" s="86">
        <f t="shared" si="109"/>
        <v>0</v>
      </c>
      <c r="AN1020" s="63" t="s">
        <v>1155</v>
      </c>
      <c r="AO1020" s="86">
        <f t="shared" si="110"/>
        <v>39062100</v>
      </c>
      <c r="AP1020" s="63"/>
      <c r="AQ1020" s="81">
        <v>43377</v>
      </c>
      <c r="AR1020" s="63" t="s">
        <v>2109</v>
      </c>
      <c r="AS1020" s="81">
        <v>43377</v>
      </c>
      <c r="AT1020" s="63" t="s">
        <v>2790</v>
      </c>
      <c r="AU1020" s="220"/>
      <c r="AV1020" s="220"/>
      <c r="AW1020" s="220"/>
    </row>
    <row r="1021" spans="1:49" s="221" customFormat="1" ht="342" x14ac:dyDescent="0.25">
      <c r="A1021" s="63">
        <v>607</v>
      </c>
      <c r="B1021" s="63" t="str">
        <f t="shared" si="108"/>
        <v>3075-607</v>
      </c>
      <c r="C1021" s="76" t="s">
        <v>1141</v>
      </c>
      <c r="D1021" s="76" t="s">
        <v>1142</v>
      </c>
      <c r="E1021" s="76" t="s">
        <v>1174</v>
      </c>
      <c r="F1021" s="76" t="s">
        <v>1175</v>
      </c>
      <c r="G1021" s="77" t="s">
        <v>1176</v>
      </c>
      <c r="H1021" s="78" t="s">
        <v>1177</v>
      </c>
      <c r="I1021" s="76" t="s">
        <v>1147</v>
      </c>
      <c r="J1021" s="76" t="s">
        <v>1148</v>
      </c>
      <c r="K1021" s="76" t="s">
        <v>439</v>
      </c>
      <c r="L1021" s="63" t="s">
        <v>1149</v>
      </c>
      <c r="M1021" s="63" t="s">
        <v>58</v>
      </c>
      <c r="N1021" s="63" t="s">
        <v>59</v>
      </c>
      <c r="O1021" s="76" t="s">
        <v>1169</v>
      </c>
      <c r="P1021" s="76" t="s">
        <v>2793</v>
      </c>
      <c r="Q1021" s="79">
        <v>39062100</v>
      </c>
      <c r="R1021" s="63">
        <v>1</v>
      </c>
      <c r="S1021" s="80">
        <f>R1021*Q1021</f>
        <v>39062100</v>
      </c>
      <c r="T1021" s="63"/>
      <c r="U1021" s="63" t="s">
        <v>1171</v>
      </c>
      <c r="V1021" s="81" t="s">
        <v>1164</v>
      </c>
      <c r="W1021" s="82" t="s">
        <v>439</v>
      </c>
      <c r="X1021" s="63" t="s">
        <v>2794</v>
      </c>
      <c r="Y1021" s="81">
        <v>43377</v>
      </c>
      <c r="Z1021" s="83">
        <v>39062100</v>
      </c>
      <c r="AA1021" s="84" t="s">
        <v>2792</v>
      </c>
      <c r="AB1021" s="85"/>
      <c r="AC1021" s="81"/>
      <c r="AD1021" s="86"/>
      <c r="AE1021" s="87">
        <f t="shared" si="105"/>
        <v>0</v>
      </c>
      <c r="AF1021" s="85"/>
      <c r="AG1021" s="81"/>
      <c r="AH1021" s="86"/>
      <c r="AI1021" s="63"/>
      <c r="AJ1021" s="63"/>
      <c r="AK1021" s="87">
        <f t="shared" si="112"/>
        <v>0</v>
      </c>
      <c r="AL1021" s="86"/>
      <c r="AM1021" s="86">
        <f t="shared" si="109"/>
        <v>0</v>
      </c>
      <c r="AN1021" s="63" t="s">
        <v>1155</v>
      </c>
      <c r="AO1021" s="86">
        <f t="shared" si="110"/>
        <v>39062100</v>
      </c>
      <c r="AP1021" s="63"/>
      <c r="AQ1021" s="81">
        <v>43377</v>
      </c>
      <c r="AR1021" s="63" t="s">
        <v>2109</v>
      </c>
      <c r="AS1021" s="81">
        <v>43377</v>
      </c>
      <c r="AT1021" s="63" t="s">
        <v>2793</v>
      </c>
      <c r="AU1021" s="220"/>
      <c r="AV1021" s="220"/>
      <c r="AW1021" s="220"/>
    </row>
    <row r="1022" spans="1:49" s="221" customFormat="1" ht="299.25" x14ac:dyDescent="0.25">
      <c r="A1022" s="63">
        <v>608</v>
      </c>
      <c r="B1022" s="63" t="str">
        <f t="shared" si="108"/>
        <v>3075-608</v>
      </c>
      <c r="C1022" s="76" t="s">
        <v>1141</v>
      </c>
      <c r="D1022" s="76" t="s">
        <v>1142</v>
      </c>
      <c r="E1022" s="76" t="s">
        <v>1143</v>
      </c>
      <c r="F1022" s="76" t="s">
        <v>1158</v>
      </c>
      <c r="G1022" s="88" t="s">
        <v>1159</v>
      </c>
      <c r="H1022" s="78" t="s">
        <v>1160</v>
      </c>
      <c r="I1022" s="76" t="s">
        <v>1147</v>
      </c>
      <c r="J1022" s="76" t="s">
        <v>1148</v>
      </c>
      <c r="K1022" s="76">
        <v>80111600</v>
      </c>
      <c r="L1022" s="63" t="s">
        <v>1149</v>
      </c>
      <c r="M1022" s="63" t="s">
        <v>58</v>
      </c>
      <c r="N1022" s="63" t="s">
        <v>59</v>
      </c>
      <c r="O1022" s="63" t="s">
        <v>1161</v>
      </c>
      <c r="P1022" s="76" t="s">
        <v>2795</v>
      </c>
      <c r="Q1022" s="79">
        <v>5253000</v>
      </c>
      <c r="R1022" s="63">
        <v>1</v>
      </c>
      <c r="S1022" s="80">
        <v>14883500</v>
      </c>
      <c r="T1022" s="63"/>
      <c r="U1022" s="63" t="s">
        <v>1163</v>
      </c>
      <c r="V1022" s="81" t="s">
        <v>1164</v>
      </c>
      <c r="W1022" s="82" t="s">
        <v>2796</v>
      </c>
      <c r="X1022" s="63" t="s">
        <v>2797</v>
      </c>
      <c r="Y1022" s="89">
        <v>43377</v>
      </c>
      <c r="Z1022" s="83">
        <v>14883500</v>
      </c>
      <c r="AA1022" s="84" t="s">
        <v>2742</v>
      </c>
      <c r="AB1022" s="85"/>
      <c r="AC1022" s="81"/>
      <c r="AD1022" s="86"/>
      <c r="AE1022" s="87">
        <f t="shared" si="105"/>
        <v>0</v>
      </c>
      <c r="AF1022" s="85"/>
      <c r="AG1022" s="81"/>
      <c r="AH1022" s="86"/>
      <c r="AI1022" s="63"/>
      <c r="AJ1022" s="63"/>
      <c r="AK1022" s="87">
        <f t="shared" si="112"/>
        <v>0</v>
      </c>
      <c r="AL1022" s="86">
        <v>0</v>
      </c>
      <c r="AM1022" s="86">
        <f t="shared" si="109"/>
        <v>0</v>
      </c>
      <c r="AN1022" s="63" t="s">
        <v>1155</v>
      </c>
      <c r="AO1022" s="86">
        <f t="shared" si="110"/>
        <v>14883500</v>
      </c>
      <c r="AP1022" s="63"/>
      <c r="AQ1022" s="81">
        <v>43377</v>
      </c>
      <c r="AR1022" s="63" t="s">
        <v>2109</v>
      </c>
      <c r="AS1022" s="81">
        <v>43377</v>
      </c>
      <c r="AT1022" s="63" t="s">
        <v>1453</v>
      </c>
      <c r="AU1022" s="220"/>
      <c r="AV1022" s="220"/>
      <c r="AW1022" s="220"/>
    </row>
    <row r="1023" spans="1:49" s="221" customFormat="1" ht="409.5" x14ac:dyDescent="0.25">
      <c r="A1023" s="63">
        <v>609</v>
      </c>
      <c r="B1023" s="63" t="str">
        <f t="shared" si="108"/>
        <v>3075-609</v>
      </c>
      <c r="C1023" s="76" t="s">
        <v>1141</v>
      </c>
      <c r="D1023" s="76" t="s">
        <v>1142</v>
      </c>
      <c r="E1023" s="76" t="s">
        <v>1143</v>
      </c>
      <c r="F1023" s="76" t="s">
        <v>1158</v>
      </c>
      <c r="G1023" s="88" t="s">
        <v>1159</v>
      </c>
      <c r="H1023" s="78" t="s">
        <v>1160</v>
      </c>
      <c r="I1023" s="76" t="s">
        <v>1147</v>
      </c>
      <c r="J1023" s="76" t="s">
        <v>1148</v>
      </c>
      <c r="K1023" s="76">
        <v>93141506</v>
      </c>
      <c r="L1023" s="63" t="s">
        <v>1149</v>
      </c>
      <c r="M1023" s="63" t="s">
        <v>58</v>
      </c>
      <c r="N1023" s="63" t="s">
        <v>59</v>
      </c>
      <c r="O1023" s="63" t="s">
        <v>1161</v>
      </c>
      <c r="P1023" s="76" t="s">
        <v>2704</v>
      </c>
      <c r="Q1023" s="79">
        <v>4120000</v>
      </c>
      <c r="R1023" s="63">
        <v>1</v>
      </c>
      <c r="S1023" s="80">
        <f>Q1023*R1023*W1023</f>
        <v>24720000</v>
      </c>
      <c r="T1023" s="63"/>
      <c r="U1023" s="63" t="s">
        <v>1163</v>
      </c>
      <c r="V1023" s="81" t="s">
        <v>1164</v>
      </c>
      <c r="W1023" s="82">
        <v>6</v>
      </c>
      <c r="X1023" s="63" t="s">
        <v>2798</v>
      </c>
      <c r="Y1023" s="89">
        <v>43381</v>
      </c>
      <c r="Z1023" s="83">
        <v>24720000</v>
      </c>
      <c r="AA1023" s="84" t="s">
        <v>2742</v>
      </c>
      <c r="AB1023" s="85"/>
      <c r="AC1023" s="81"/>
      <c r="AD1023" s="86"/>
      <c r="AE1023" s="87">
        <f t="shared" si="105"/>
        <v>0</v>
      </c>
      <c r="AF1023" s="85"/>
      <c r="AG1023" s="81"/>
      <c r="AH1023" s="86"/>
      <c r="AI1023" s="63"/>
      <c r="AJ1023" s="63"/>
      <c r="AK1023" s="87">
        <f t="shared" si="112"/>
        <v>0</v>
      </c>
      <c r="AL1023" s="86">
        <v>0</v>
      </c>
      <c r="AM1023" s="86">
        <f t="shared" si="109"/>
        <v>0</v>
      </c>
      <c r="AN1023" s="63" t="s">
        <v>1155</v>
      </c>
      <c r="AO1023" s="86">
        <f t="shared" si="110"/>
        <v>24720000</v>
      </c>
      <c r="AP1023" s="63"/>
      <c r="AQ1023" s="81">
        <v>43378</v>
      </c>
      <c r="AR1023" s="63" t="s">
        <v>2109</v>
      </c>
      <c r="AS1023" s="81">
        <v>43381</v>
      </c>
      <c r="AT1023" s="63" t="s">
        <v>1453</v>
      </c>
      <c r="AU1023" s="220"/>
      <c r="AV1023" s="220"/>
      <c r="AW1023" s="220"/>
    </row>
    <row r="1024" spans="1:49" s="221" customFormat="1" ht="409.5" x14ac:dyDescent="0.25">
      <c r="A1024" s="63">
        <v>610</v>
      </c>
      <c r="B1024" s="63" t="str">
        <f t="shared" si="108"/>
        <v>3075-610</v>
      </c>
      <c r="C1024" s="76" t="s">
        <v>1141</v>
      </c>
      <c r="D1024" s="76" t="s">
        <v>1142</v>
      </c>
      <c r="E1024" s="76" t="s">
        <v>1143</v>
      </c>
      <c r="F1024" s="76" t="s">
        <v>1158</v>
      </c>
      <c r="G1024" s="88" t="s">
        <v>1159</v>
      </c>
      <c r="H1024" s="78" t="s">
        <v>1160</v>
      </c>
      <c r="I1024" s="76" t="s">
        <v>1147</v>
      </c>
      <c r="J1024" s="76" t="s">
        <v>1148</v>
      </c>
      <c r="K1024" s="76">
        <v>93141506</v>
      </c>
      <c r="L1024" s="63" t="s">
        <v>1149</v>
      </c>
      <c r="M1024" s="63" t="s">
        <v>58</v>
      </c>
      <c r="N1024" s="63" t="s">
        <v>59</v>
      </c>
      <c r="O1024" s="63" t="s">
        <v>1161</v>
      </c>
      <c r="P1024" s="76" t="s">
        <v>2704</v>
      </c>
      <c r="Q1024" s="79">
        <v>4120000</v>
      </c>
      <c r="R1024" s="63">
        <v>1</v>
      </c>
      <c r="S1024" s="80">
        <f t="shared" ref="S1024:S1034" si="113">Q1024*R1024*W1024</f>
        <v>24720000</v>
      </c>
      <c r="T1024" s="63"/>
      <c r="U1024" s="63" t="s">
        <v>1163</v>
      </c>
      <c r="V1024" s="81" t="s">
        <v>1164</v>
      </c>
      <c r="W1024" s="82">
        <v>6</v>
      </c>
      <c r="X1024" s="63" t="s">
        <v>2799</v>
      </c>
      <c r="Y1024" s="89">
        <v>43381</v>
      </c>
      <c r="Z1024" s="83">
        <v>24720000</v>
      </c>
      <c r="AA1024" s="84" t="s">
        <v>2742</v>
      </c>
      <c r="AB1024" s="85"/>
      <c r="AC1024" s="81"/>
      <c r="AD1024" s="86"/>
      <c r="AE1024" s="87">
        <f t="shared" si="105"/>
        <v>0</v>
      </c>
      <c r="AF1024" s="85"/>
      <c r="AG1024" s="81"/>
      <c r="AH1024" s="86"/>
      <c r="AI1024" s="63"/>
      <c r="AJ1024" s="63"/>
      <c r="AK1024" s="87">
        <f t="shared" si="112"/>
        <v>0</v>
      </c>
      <c r="AL1024" s="86">
        <v>0</v>
      </c>
      <c r="AM1024" s="86">
        <f t="shared" si="109"/>
        <v>0</v>
      </c>
      <c r="AN1024" s="63" t="s">
        <v>1155</v>
      </c>
      <c r="AO1024" s="86">
        <f t="shared" si="110"/>
        <v>24720000</v>
      </c>
      <c r="AP1024" s="63"/>
      <c r="AQ1024" s="81">
        <v>43378</v>
      </c>
      <c r="AR1024" s="63" t="s">
        <v>2109</v>
      </c>
      <c r="AS1024" s="81">
        <v>43381</v>
      </c>
      <c r="AT1024" s="63" t="s">
        <v>1453</v>
      </c>
      <c r="AU1024" s="220"/>
      <c r="AV1024" s="220"/>
      <c r="AW1024" s="220"/>
    </row>
    <row r="1025" spans="1:49" s="221" customFormat="1" ht="409.5" x14ac:dyDescent="0.25">
      <c r="A1025" s="63">
        <v>611</v>
      </c>
      <c r="B1025" s="63" t="str">
        <f t="shared" si="108"/>
        <v>3075-611</v>
      </c>
      <c r="C1025" s="76" t="s">
        <v>1141</v>
      </c>
      <c r="D1025" s="76" t="s">
        <v>1142</v>
      </c>
      <c r="E1025" s="76" t="s">
        <v>1143</v>
      </c>
      <c r="F1025" s="76" t="s">
        <v>1158</v>
      </c>
      <c r="G1025" s="88" t="s">
        <v>1159</v>
      </c>
      <c r="H1025" s="78" t="s">
        <v>1160</v>
      </c>
      <c r="I1025" s="76" t="s">
        <v>1147</v>
      </c>
      <c r="J1025" s="76" t="s">
        <v>1148</v>
      </c>
      <c r="K1025" s="76">
        <v>93141506</v>
      </c>
      <c r="L1025" s="63" t="s">
        <v>1149</v>
      </c>
      <c r="M1025" s="63" t="s">
        <v>58</v>
      </c>
      <c r="N1025" s="63" t="s">
        <v>59</v>
      </c>
      <c r="O1025" s="63" t="s">
        <v>1161</v>
      </c>
      <c r="P1025" s="76" t="s">
        <v>2704</v>
      </c>
      <c r="Q1025" s="79">
        <v>4120000</v>
      </c>
      <c r="R1025" s="63">
        <v>1</v>
      </c>
      <c r="S1025" s="80">
        <f t="shared" si="113"/>
        <v>24720000</v>
      </c>
      <c r="T1025" s="63"/>
      <c r="U1025" s="63" t="s">
        <v>1163</v>
      </c>
      <c r="V1025" s="81" t="s">
        <v>1164</v>
      </c>
      <c r="W1025" s="82">
        <v>6</v>
      </c>
      <c r="X1025" s="63" t="s">
        <v>2800</v>
      </c>
      <c r="Y1025" s="89">
        <v>43381</v>
      </c>
      <c r="Z1025" s="83">
        <v>24720000</v>
      </c>
      <c r="AA1025" s="84" t="s">
        <v>2742</v>
      </c>
      <c r="AB1025" s="85"/>
      <c r="AC1025" s="81"/>
      <c r="AD1025" s="86"/>
      <c r="AE1025" s="87">
        <f t="shared" si="105"/>
        <v>0</v>
      </c>
      <c r="AF1025" s="85"/>
      <c r="AG1025" s="81"/>
      <c r="AH1025" s="86"/>
      <c r="AI1025" s="63"/>
      <c r="AJ1025" s="63"/>
      <c r="AK1025" s="87">
        <f t="shared" si="112"/>
        <v>0</v>
      </c>
      <c r="AL1025" s="86">
        <v>0</v>
      </c>
      <c r="AM1025" s="86">
        <f t="shared" si="109"/>
        <v>0</v>
      </c>
      <c r="AN1025" s="63" t="s">
        <v>1155</v>
      </c>
      <c r="AO1025" s="86">
        <f t="shared" si="110"/>
        <v>24720000</v>
      </c>
      <c r="AP1025" s="63"/>
      <c r="AQ1025" s="81">
        <v>43378</v>
      </c>
      <c r="AR1025" s="63" t="s">
        <v>2109</v>
      </c>
      <c r="AS1025" s="81">
        <v>43381</v>
      </c>
      <c r="AT1025" s="63" t="s">
        <v>1453</v>
      </c>
      <c r="AU1025" s="220"/>
      <c r="AV1025" s="220"/>
      <c r="AW1025" s="220"/>
    </row>
    <row r="1026" spans="1:49" s="221" customFormat="1" ht="409.5" x14ac:dyDescent="0.25">
      <c r="A1026" s="63">
        <v>612</v>
      </c>
      <c r="B1026" s="63" t="str">
        <f t="shared" si="108"/>
        <v>3075-612</v>
      </c>
      <c r="C1026" s="76" t="s">
        <v>1141</v>
      </c>
      <c r="D1026" s="76" t="s">
        <v>1142</v>
      </c>
      <c r="E1026" s="76" t="s">
        <v>1143</v>
      </c>
      <c r="F1026" s="76" t="s">
        <v>1158</v>
      </c>
      <c r="G1026" s="88" t="s">
        <v>1159</v>
      </c>
      <c r="H1026" s="78" t="s">
        <v>1160</v>
      </c>
      <c r="I1026" s="76" t="s">
        <v>1147</v>
      </c>
      <c r="J1026" s="76" t="s">
        <v>1148</v>
      </c>
      <c r="K1026" s="76">
        <v>93141506</v>
      </c>
      <c r="L1026" s="63" t="s">
        <v>1149</v>
      </c>
      <c r="M1026" s="63" t="s">
        <v>58</v>
      </c>
      <c r="N1026" s="63" t="s">
        <v>59</v>
      </c>
      <c r="O1026" s="63" t="s">
        <v>1161</v>
      </c>
      <c r="P1026" s="76" t="s">
        <v>2704</v>
      </c>
      <c r="Q1026" s="79">
        <v>4120000</v>
      </c>
      <c r="R1026" s="63">
        <v>1</v>
      </c>
      <c r="S1026" s="80">
        <f t="shared" si="113"/>
        <v>24720000</v>
      </c>
      <c r="T1026" s="63"/>
      <c r="U1026" s="63" t="s">
        <v>1163</v>
      </c>
      <c r="V1026" s="81" t="s">
        <v>1164</v>
      </c>
      <c r="W1026" s="82">
        <v>6</v>
      </c>
      <c r="X1026" s="63" t="s">
        <v>2801</v>
      </c>
      <c r="Y1026" s="89">
        <v>43381</v>
      </c>
      <c r="Z1026" s="83">
        <v>24720000</v>
      </c>
      <c r="AA1026" s="84" t="s">
        <v>2742</v>
      </c>
      <c r="AB1026" s="85"/>
      <c r="AC1026" s="81"/>
      <c r="AD1026" s="86"/>
      <c r="AE1026" s="87">
        <f t="shared" si="105"/>
        <v>0</v>
      </c>
      <c r="AF1026" s="85"/>
      <c r="AG1026" s="81"/>
      <c r="AH1026" s="86"/>
      <c r="AI1026" s="63"/>
      <c r="AJ1026" s="63"/>
      <c r="AK1026" s="87">
        <f t="shared" si="112"/>
        <v>0</v>
      </c>
      <c r="AL1026" s="86">
        <v>0</v>
      </c>
      <c r="AM1026" s="86">
        <f t="shared" si="109"/>
        <v>0</v>
      </c>
      <c r="AN1026" s="63" t="s">
        <v>1155</v>
      </c>
      <c r="AO1026" s="86">
        <f t="shared" si="110"/>
        <v>24720000</v>
      </c>
      <c r="AP1026" s="63"/>
      <c r="AQ1026" s="81">
        <v>43378</v>
      </c>
      <c r="AR1026" s="63" t="s">
        <v>2109</v>
      </c>
      <c r="AS1026" s="81">
        <v>43381</v>
      </c>
      <c r="AT1026" s="63" t="s">
        <v>1453</v>
      </c>
      <c r="AU1026" s="220"/>
      <c r="AV1026" s="220"/>
      <c r="AW1026" s="220"/>
    </row>
    <row r="1027" spans="1:49" s="221" customFormat="1" ht="409.5" x14ac:dyDescent="0.25">
      <c r="A1027" s="63">
        <v>613</v>
      </c>
      <c r="B1027" s="63" t="str">
        <f t="shared" si="108"/>
        <v>3075-613</v>
      </c>
      <c r="C1027" s="76" t="s">
        <v>1141</v>
      </c>
      <c r="D1027" s="76" t="s">
        <v>1142</v>
      </c>
      <c r="E1027" s="76" t="s">
        <v>1143</v>
      </c>
      <c r="F1027" s="76" t="s">
        <v>1158</v>
      </c>
      <c r="G1027" s="88" t="s">
        <v>1159</v>
      </c>
      <c r="H1027" s="78" t="s">
        <v>1160</v>
      </c>
      <c r="I1027" s="76" t="s">
        <v>1147</v>
      </c>
      <c r="J1027" s="76" t="s">
        <v>1148</v>
      </c>
      <c r="K1027" s="76">
        <v>93141506</v>
      </c>
      <c r="L1027" s="63" t="s">
        <v>1149</v>
      </c>
      <c r="M1027" s="63" t="s">
        <v>58</v>
      </c>
      <c r="N1027" s="63" t="s">
        <v>59</v>
      </c>
      <c r="O1027" s="63" t="s">
        <v>1161</v>
      </c>
      <c r="P1027" s="76" t="s">
        <v>2704</v>
      </c>
      <c r="Q1027" s="79">
        <v>4120000</v>
      </c>
      <c r="R1027" s="63">
        <v>1</v>
      </c>
      <c r="S1027" s="80">
        <f t="shared" si="113"/>
        <v>24720000</v>
      </c>
      <c r="T1027" s="63"/>
      <c r="U1027" s="63" t="s">
        <v>1163</v>
      </c>
      <c r="V1027" s="81" t="s">
        <v>1164</v>
      </c>
      <c r="W1027" s="82">
        <v>6</v>
      </c>
      <c r="X1027" s="63" t="s">
        <v>2802</v>
      </c>
      <c r="Y1027" s="89">
        <v>43381</v>
      </c>
      <c r="Z1027" s="83">
        <v>24720000</v>
      </c>
      <c r="AA1027" s="84" t="s">
        <v>2742</v>
      </c>
      <c r="AB1027" s="85"/>
      <c r="AC1027" s="81"/>
      <c r="AD1027" s="86"/>
      <c r="AE1027" s="87">
        <f t="shared" si="105"/>
        <v>0</v>
      </c>
      <c r="AF1027" s="85"/>
      <c r="AG1027" s="81"/>
      <c r="AH1027" s="86"/>
      <c r="AI1027" s="63"/>
      <c r="AJ1027" s="63"/>
      <c r="AK1027" s="87">
        <f t="shared" si="112"/>
        <v>0</v>
      </c>
      <c r="AL1027" s="86">
        <v>0</v>
      </c>
      <c r="AM1027" s="86">
        <f t="shared" si="109"/>
        <v>0</v>
      </c>
      <c r="AN1027" s="63" t="s">
        <v>1155</v>
      </c>
      <c r="AO1027" s="86">
        <f t="shared" si="110"/>
        <v>24720000</v>
      </c>
      <c r="AP1027" s="63"/>
      <c r="AQ1027" s="81">
        <v>43378</v>
      </c>
      <c r="AR1027" s="63" t="s">
        <v>2109</v>
      </c>
      <c r="AS1027" s="81">
        <v>43381</v>
      </c>
      <c r="AT1027" s="63" t="s">
        <v>1453</v>
      </c>
      <c r="AU1027" s="220"/>
      <c r="AV1027" s="220"/>
      <c r="AW1027" s="220"/>
    </row>
    <row r="1028" spans="1:49" s="221" customFormat="1" ht="409.5" x14ac:dyDescent="0.25">
      <c r="A1028" s="63">
        <v>614</v>
      </c>
      <c r="B1028" s="63" t="str">
        <f t="shared" si="108"/>
        <v>3075-614</v>
      </c>
      <c r="C1028" s="76" t="s">
        <v>1141</v>
      </c>
      <c r="D1028" s="76" t="s">
        <v>1142</v>
      </c>
      <c r="E1028" s="76" t="s">
        <v>1143</v>
      </c>
      <c r="F1028" s="76" t="s">
        <v>1158</v>
      </c>
      <c r="G1028" s="88" t="s">
        <v>1159</v>
      </c>
      <c r="H1028" s="78" t="s">
        <v>1160</v>
      </c>
      <c r="I1028" s="76" t="s">
        <v>1147</v>
      </c>
      <c r="J1028" s="76" t="s">
        <v>1148</v>
      </c>
      <c r="K1028" s="76">
        <v>93141506</v>
      </c>
      <c r="L1028" s="63" t="s">
        <v>1149</v>
      </c>
      <c r="M1028" s="63" t="s">
        <v>58</v>
      </c>
      <c r="N1028" s="63" t="s">
        <v>59</v>
      </c>
      <c r="O1028" s="63" t="s">
        <v>1161</v>
      </c>
      <c r="P1028" s="76" t="s">
        <v>2704</v>
      </c>
      <c r="Q1028" s="79">
        <v>4120000</v>
      </c>
      <c r="R1028" s="63">
        <v>1</v>
      </c>
      <c r="S1028" s="80">
        <f t="shared" si="113"/>
        <v>24720000</v>
      </c>
      <c r="T1028" s="63"/>
      <c r="U1028" s="63" t="s">
        <v>1163</v>
      </c>
      <c r="V1028" s="81" t="s">
        <v>1164</v>
      </c>
      <c r="W1028" s="82">
        <v>6</v>
      </c>
      <c r="X1028" s="63" t="s">
        <v>2803</v>
      </c>
      <c r="Y1028" s="89">
        <v>43381</v>
      </c>
      <c r="Z1028" s="83">
        <v>24720000</v>
      </c>
      <c r="AA1028" s="84" t="s">
        <v>2742</v>
      </c>
      <c r="AB1028" s="85"/>
      <c r="AC1028" s="81"/>
      <c r="AD1028" s="86"/>
      <c r="AE1028" s="87">
        <f t="shared" si="105"/>
        <v>0</v>
      </c>
      <c r="AF1028" s="85"/>
      <c r="AG1028" s="81"/>
      <c r="AH1028" s="86"/>
      <c r="AI1028" s="63"/>
      <c r="AJ1028" s="63"/>
      <c r="AK1028" s="87">
        <f t="shared" si="112"/>
        <v>0</v>
      </c>
      <c r="AL1028" s="86">
        <v>0</v>
      </c>
      <c r="AM1028" s="86">
        <f t="shared" si="109"/>
        <v>0</v>
      </c>
      <c r="AN1028" s="63" t="s">
        <v>1155</v>
      </c>
      <c r="AO1028" s="86">
        <f t="shared" si="110"/>
        <v>24720000</v>
      </c>
      <c r="AP1028" s="63"/>
      <c r="AQ1028" s="81">
        <v>43378</v>
      </c>
      <c r="AR1028" s="63" t="s">
        <v>2109</v>
      </c>
      <c r="AS1028" s="81">
        <v>43381</v>
      </c>
      <c r="AT1028" s="63" t="s">
        <v>1453</v>
      </c>
      <c r="AU1028" s="220"/>
      <c r="AV1028" s="220"/>
      <c r="AW1028" s="220"/>
    </row>
    <row r="1029" spans="1:49" s="221" customFormat="1" ht="409.5" x14ac:dyDescent="0.25">
      <c r="A1029" s="63">
        <v>615</v>
      </c>
      <c r="B1029" s="63" t="str">
        <f t="shared" si="108"/>
        <v>3075-615</v>
      </c>
      <c r="C1029" s="76" t="s">
        <v>1141</v>
      </c>
      <c r="D1029" s="76" t="s">
        <v>1142</v>
      </c>
      <c r="E1029" s="76" t="s">
        <v>1143</v>
      </c>
      <c r="F1029" s="76" t="s">
        <v>1158</v>
      </c>
      <c r="G1029" s="88" t="s">
        <v>1159</v>
      </c>
      <c r="H1029" s="78" t="s">
        <v>1160</v>
      </c>
      <c r="I1029" s="76" t="s">
        <v>1147</v>
      </c>
      <c r="J1029" s="76" t="s">
        <v>1148</v>
      </c>
      <c r="K1029" s="76">
        <v>93141506</v>
      </c>
      <c r="L1029" s="63" t="s">
        <v>1149</v>
      </c>
      <c r="M1029" s="63" t="s">
        <v>58</v>
      </c>
      <c r="N1029" s="63" t="s">
        <v>59</v>
      </c>
      <c r="O1029" s="63" t="s">
        <v>1161</v>
      </c>
      <c r="P1029" s="76" t="s">
        <v>2704</v>
      </c>
      <c r="Q1029" s="79">
        <v>4120000</v>
      </c>
      <c r="R1029" s="63">
        <v>1</v>
      </c>
      <c r="S1029" s="80">
        <f t="shared" si="113"/>
        <v>24720000</v>
      </c>
      <c r="T1029" s="63"/>
      <c r="U1029" s="63" t="s">
        <v>1163</v>
      </c>
      <c r="V1029" s="81" t="s">
        <v>1164</v>
      </c>
      <c r="W1029" s="82">
        <v>6</v>
      </c>
      <c r="X1029" s="63" t="s">
        <v>2804</v>
      </c>
      <c r="Y1029" s="89">
        <v>43381</v>
      </c>
      <c r="Z1029" s="83">
        <v>24720000</v>
      </c>
      <c r="AA1029" s="84" t="s">
        <v>2742</v>
      </c>
      <c r="AB1029" s="85"/>
      <c r="AC1029" s="81"/>
      <c r="AD1029" s="86"/>
      <c r="AE1029" s="87">
        <f t="shared" si="105"/>
        <v>0</v>
      </c>
      <c r="AF1029" s="85"/>
      <c r="AG1029" s="81"/>
      <c r="AH1029" s="86"/>
      <c r="AI1029" s="63"/>
      <c r="AJ1029" s="63"/>
      <c r="AK1029" s="87">
        <f t="shared" si="112"/>
        <v>0</v>
      </c>
      <c r="AL1029" s="86">
        <v>0</v>
      </c>
      <c r="AM1029" s="86">
        <f t="shared" si="109"/>
        <v>0</v>
      </c>
      <c r="AN1029" s="63" t="s">
        <v>1155</v>
      </c>
      <c r="AO1029" s="86">
        <f t="shared" si="110"/>
        <v>24720000</v>
      </c>
      <c r="AP1029" s="63"/>
      <c r="AQ1029" s="81">
        <v>43378</v>
      </c>
      <c r="AR1029" s="63" t="s">
        <v>2109</v>
      </c>
      <c r="AS1029" s="81">
        <v>43381</v>
      </c>
      <c r="AT1029" s="63" t="s">
        <v>1453</v>
      </c>
      <c r="AU1029" s="220"/>
      <c r="AV1029" s="220"/>
      <c r="AW1029" s="220"/>
    </row>
    <row r="1030" spans="1:49" s="221" customFormat="1" ht="409.5" x14ac:dyDescent="0.25">
      <c r="A1030" s="63">
        <v>616</v>
      </c>
      <c r="B1030" s="63" t="str">
        <f t="shared" si="108"/>
        <v>3075-616</v>
      </c>
      <c r="C1030" s="76" t="s">
        <v>1141</v>
      </c>
      <c r="D1030" s="76" t="s">
        <v>1142</v>
      </c>
      <c r="E1030" s="76" t="s">
        <v>1143</v>
      </c>
      <c r="F1030" s="76" t="s">
        <v>1158</v>
      </c>
      <c r="G1030" s="88" t="s">
        <v>1159</v>
      </c>
      <c r="H1030" s="78" t="s">
        <v>1160</v>
      </c>
      <c r="I1030" s="76" t="s">
        <v>1147</v>
      </c>
      <c r="J1030" s="76" t="s">
        <v>1148</v>
      </c>
      <c r="K1030" s="76">
        <v>93141506</v>
      </c>
      <c r="L1030" s="63" t="s">
        <v>1149</v>
      </c>
      <c r="M1030" s="63" t="s">
        <v>58</v>
      </c>
      <c r="N1030" s="63" t="s">
        <v>59</v>
      </c>
      <c r="O1030" s="63" t="s">
        <v>1161</v>
      </c>
      <c r="P1030" s="76" t="s">
        <v>2704</v>
      </c>
      <c r="Q1030" s="79">
        <v>4120000</v>
      </c>
      <c r="R1030" s="63">
        <v>1</v>
      </c>
      <c r="S1030" s="80">
        <f t="shared" si="113"/>
        <v>24720000</v>
      </c>
      <c r="T1030" s="63"/>
      <c r="U1030" s="63" t="s">
        <v>1163</v>
      </c>
      <c r="V1030" s="81" t="s">
        <v>1164</v>
      </c>
      <c r="W1030" s="82">
        <v>6</v>
      </c>
      <c r="X1030" s="63" t="s">
        <v>2805</v>
      </c>
      <c r="Y1030" s="89">
        <v>43381</v>
      </c>
      <c r="Z1030" s="83">
        <v>24720000</v>
      </c>
      <c r="AA1030" s="84" t="s">
        <v>2742</v>
      </c>
      <c r="AB1030" s="85"/>
      <c r="AC1030" s="81"/>
      <c r="AD1030" s="86"/>
      <c r="AE1030" s="87">
        <f t="shared" si="105"/>
        <v>0</v>
      </c>
      <c r="AF1030" s="85"/>
      <c r="AG1030" s="81"/>
      <c r="AH1030" s="86"/>
      <c r="AI1030" s="63"/>
      <c r="AJ1030" s="63"/>
      <c r="AK1030" s="87">
        <f t="shared" si="112"/>
        <v>0</v>
      </c>
      <c r="AL1030" s="86">
        <v>0</v>
      </c>
      <c r="AM1030" s="86">
        <f t="shared" si="109"/>
        <v>0</v>
      </c>
      <c r="AN1030" s="63" t="s">
        <v>1155</v>
      </c>
      <c r="AO1030" s="86">
        <f t="shared" si="110"/>
        <v>24720000</v>
      </c>
      <c r="AP1030" s="63"/>
      <c r="AQ1030" s="81">
        <v>43378</v>
      </c>
      <c r="AR1030" s="63" t="s">
        <v>2109</v>
      </c>
      <c r="AS1030" s="81">
        <v>43381</v>
      </c>
      <c r="AT1030" s="63" t="s">
        <v>1453</v>
      </c>
      <c r="AU1030" s="220"/>
      <c r="AV1030" s="220"/>
      <c r="AW1030" s="220"/>
    </row>
    <row r="1031" spans="1:49" s="221" customFormat="1" ht="409.5" x14ac:dyDescent="0.25">
      <c r="A1031" s="63">
        <v>617</v>
      </c>
      <c r="B1031" s="63" t="str">
        <f t="shared" si="108"/>
        <v>3075-617</v>
      </c>
      <c r="C1031" s="76" t="s">
        <v>1141</v>
      </c>
      <c r="D1031" s="76" t="s">
        <v>1142</v>
      </c>
      <c r="E1031" s="76" t="s">
        <v>1143</v>
      </c>
      <c r="F1031" s="76" t="s">
        <v>1158</v>
      </c>
      <c r="G1031" s="88" t="s">
        <v>1159</v>
      </c>
      <c r="H1031" s="78" t="s">
        <v>1160</v>
      </c>
      <c r="I1031" s="76" t="s">
        <v>1147</v>
      </c>
      <c r="J1031" s="76" t="s">
        <v>1148</v>
      </c>
      <c r="K1031" s="76">
        <v>93141506</v>
      </c>
      <c r="L1031" s="63" t="s">
        <v>1149</v>
      </c>
      <c r="M1031" s="63" t="s">
        <v>58</v>
      </c>
      <c r="N1031" s="63" t="s">
        <v>59</v>
      </c>
      <c r="O1031" s="63" t="s">
        <v>1161</v>
      </c>
      <c r="P1031" s="76" t="s">
        <v>2728</v>
      </c>
      <c r="Q1031" s="79">
        <v>4532000</v>
      </c>
      <c r="R1031" s="63">
        <v>1</v>
      </c>
      <c r="S1031" s="80">
        <f t="shared" si="113"/>
        <v>27192000</v>
      </c>
      <c r="T1031" s="63"/>
      <c r="U1031" s="63" t="s">
        <v>1163</v>
      </c>
      <c r="V1031" s="81" t="s">
        <v>1164</v>
      </c>
      <c r="W1031" s="82">
        <v>6</v>
      </c>
      <c r="X1031" s="63" t="s">
        <v>2806</v>
      </c>
      <c r="Y1031" s="89">
        <v>43381</v>
      </c>
      <c r="Z1031" s="83">
        <v>27192000</v>
      </c>
      <c r="AA1031" s="84" t="s">
        <v>2742</v>
      </c>
      <c r="AB1031" s="85"/>
      <c r="AC1031" s="81"/>
      <c r="AD1031" s="86"/>
      <c r="AE1031" s="87">
        <f t="shared" si="105"/>
        <v>0</v>
      </c>
      <c r="AF1031" s="85"/>
      <c r="AG1031" s="81"/>
      <c r="AH1031" s="86"/>
      <c r="AI1031" s="63"/>
      <c r="AJ1031" s="63"/>
      <c r="AK1031" s="87">
        <f t="shared" si="112"/>
        <v>0</v>
      </c>
      <c r="AL1031" s="86">
        <v>0</v>
      </c>
      <c r="AM1031" s="86">
        <f t="shared" si="109"/>
        <v>0</v>
      </c>
      <c r="AN1031" s="63" t="s">
        <v>1155</v>
      </c>
      <c r="AO1031" s="86">
        <f t="shared" si="110"/>
        <v>27192000</v>
      </c>
      <c r="AP1031" s="63"/>
      <c r="AQ1031" s="81">
        <v>43378</v>
      </c>
      <c r="AR1031" s="63" t="s">
        <v>2109</v>
      </c>
      <c r="AS1031" s="81">
        <v>43381</v>
      </c>
      <c r="AT1031" s="63" t="s">
        <v>1453</v>
      </c>
      <c r="AU1031" s="220"/>
      <c r="AV1031" s="220"/>
      <c r="AW1031" s="220"/>
    </row>
    <row r="1032" spans="1:49" s="221" customFormat="1" ht="409.5" x14ac:dyDescent="0.25">
      <c r="A1032" s="63">
        <v>618</v>
      </c>
      <c r="B1032" s="63" t="str">
        <f t="shared" si="108"/>
        <v>3075-618</v>
      </c>
      <c r="C1032" s="76" t="s">
        <v>1141</v>
      </c>
      <c r="D1032" s="76" t="s">
        <v>1142</v>
      </c>
      <c r="E1032" s="76" t="s">
        <v>1143</v>
      </c>
      <c r="F1032" s="76" t="s">
        <v>1158</v>
      </c>
      <c r="G1032" s="88" t="s">
        <v>1159</v>
      </c>
      <c r="H1032" s="78" t="s">
        <v>1160</v>
      </c>
      <c r="I1032" s="76" t="s">
        <v>1147</v>
      </c>
      <c r="J1032" s="76" t="s">
        <v>1148</v>
      </c>
      <c r="K1032" s="76">
        <v>93141506</v>
      </c>
      <c r="L1032" s="63" t="s">
        <v>1149</v>
      </c>
      <c r="M1032" s="63" t="s">
        <v>58</v>
      </c>
      <c r="N1032" s="63" t="s">
        <v>59</v>
      </c>
      <c r="O1032" s="63" t="s">
        <v>1161</v>
      </c>
      <c r="P1032" s="76" t="s">
        <v>2728</v>
      </c>
      <c r="Q1032" s="79">
        <v>4532000</v>
      </c>
      <c r="R1032" s="63">
        <v>1</v>
      </c>
      <c r="S1032" s="80">
        <f t="shared" si="113"/>
        <v>27192000</v>
      </c>
      <c r="T1032" s="63"/>
      <c r="U1032" s="63" t="s">
        <v>1163</v>
      </c>
      <c r="V1032" s="81" t="s">
        <v>1164</v>
      </c>
      <c r="W1032" s="82">
        <v>6</v>
      </c>
      <c r="X1032" s="63" t="s">
        <v>2807</v>
      </c>
      <c r="Y1032" s="89">
        <v>43381</v>
      </c>
      <c r="Z1032" s="83">
        <v>27192000</v>
      </c>
      <c r="AA1032" s="84" t="s">
        <v>2742</v>
      </c>
      <c r="AB1032" s="85"/>
      <c r="AC1032" s="81"/>
      <c r="AD1032" s="86"/>
      <c r="AE1032" s="87">
        <f t="shared" ref="AE1032:AE1047" si="114">S1032-Z1032</f>
        <v>0</v>
      </c>
      <c r="AF1032" s="85"/>
      <c r="AG1032" s="81"/>
      <c r="AH1032" s="86"/>
      <c r="AI1032" s="63"/>
      <c r="AJ1032" s="63"/>
      <c r="AK1032" s="87">
        <f t="shared" si="112"/>
        <v>0</v>
      </c>
      <c r="AL1032" s="86">
        <v>0</v>
      </c>
      <c r="AM1032" s="86">
        <f t="shared" si="109"/>
        <v>0</v>
      </c>
      <c r="AN1032" s="63" t="s">
        <v>1155</v>
      </c>
      <c r="AO1032" s="86">
        <f t="shared" si="110"/>
        <v>27192000</v>
      </c>
      <c r="AP1032" s="63"/>
      <c r="AQ1032" s="81">
        <v>43378</v>
      </c>
      <c r="AR1032" s="63" t="s">
        <v>2109</v>
      </c>
      <c r="AS1032" s="81">
        <v>43381</v>
      </c>
      <c r="AT1032" s="63" t="s">
        <v>1453</v>
      </c>
      <c r="AU1032" s="220"/>
      <c r="AV1032" s="220"/>
      <c r="AW1032" s="220"/>
    </row>
    <row r="1033" spans="1:49" s="221" customFormat="1" ht="409.5" x14ac:dyDescent="0.25">
      <c r="A1033" s="63">
        <v>619</v>
      </c>
      <c r="B1033" s="63" t="str">
        <f t="shared" si="108"/>
        <v>3075-619</v>
      </c>
      <c r="C1033" s="76" t="s">
        <v>1141</v>
      </c>
      <c r="D1033" s="76" t="s">
        <v>1142</v>
      </c>
      <c r="E1033" s="76" t="s">
        <v>1143</v>
      </c>
      <c r="F1033" s="76" t="s">
        <v>1158</v>
      </c>
      <c r="G1033" s="88" t="s">
        <v>1159</v>
      </c>
      <c r="H1033" s="78" t="s">
        <v>1160</v>
      </c>
      <c r="I1033" s="76" t="s">
        <v>1147</v>
      </c>
      <c r="J1033" s="76" t="s">
        <v>1148</v>
      </c>
      <c r="K1033" s="76">
        <v>93141506</v>
      </c>
      <c r="L1033" s="63" t="s">
        <v>1149</v>
      </c>
      <c r="M1033" s="63" t="s">
        <v>58</v>
      </c>
      <c r="N1033" s="63" t="s">
        <v>59</v>
      </c>
      <c r="O1033" s="63" t="s">
        <v>1161</v>
      </c>
      <c r="P1033" s="76" t="s">
        <v>2728</v>
      </c>
      <c r="Q1033" s="79">
        <v>4532000</v>
      </c>
      <c r="R1033" s="63">
        <v>1</v>
      </c>
      <c r="S1033" s="80">
        <f t="shared" si="113"/>
        <v>27192000</v>
      </c>
      <c r="T1033" s="63"/>
      <c r="U1033" s="63" t="s">
        <v>1163</v>
      </c>
      <c r="V1033" s="81" t="s">
        <v>1164</v>
      </c>
      <c r="W1033" s="82">
        <v>6</v>
      </c>
      <c r="X1033" s="63" t="s">
        <v>2808</v>
      </c>
      <c r="Y1033" s="89">
        <v>43381</v>
      </c>
      <c r="Z1033" s="83">
        <v>27192000</v>
      </c>
      <c r="AA1033" s="84" t="s">
        <v>2742</v>
      </c>
      <c r="AB1033" s="85"/>
      <c r="AC1033" s="81"/>
      <c r="AD1033" s="86"/>
      <c r="AE1033" s="87">
        <f t="shared" si="114"/>
        <v>0</v>
      </c>
      <c r="AF1033" s="85"/>
      <c r="AG1033" s="81"/>
      <c r="AH1033" s="86"/>
      <c r="AI1033" s="63"/>
      <c r="AJ1033" s="63"/>
      <c r="AK1033" s="87">
        <f t="shared" si="112"/>
        <v>0</v>
      </c>
      <c r="AL1033" s="86">
        <v>0</v>
      </c>
      <c r="AM1033" s="86">
        <f t="shared" si="109"/>
        <v>0</v>
      </c>
      <c r="AN1033" s="63" t="s">
        <v>1155</v>
      </c>
      <c r="AO1033" s="86">
        <f t="shared" si="110"/>
        <v>27192000</v>
      </c>
      <c r="AP1033" s="63"/>
      <c r="AQ1033" s="81">
        <v>43378</v>
      </c>
      <c r="AR1033" s="63" t="s">
        <v>2109</v>
      </c>
      <c r="AS1033" s="81">
        <v>43381</v>
      </c>
      <c r="AT1033" s="63" t="s">
        <v>1453</v>
      </c>
      <c r="AU1033" s="220"/>
      <c r="AV1033" s="220"/>
      <c r="AW1033" s="220"/>
    </row>
    <row r="1034" spans="1:49" s="221" customFormat="1" ht="313.5" x14ac:dyDescent="0.25">
      <c r="A1034" s="63">
        <v>620</v>
      </c>
      <c r="B1034" s="63" t="str">
        <f t="shared" si="108"/>
        <v>3075-620</v>
      </c>
      <c r="C1034" s="76" t="s">
        <v>1141</v>
      </c>
      <c r="D1034" s="76" t="s">
        <v>1142</v>
      </c>
      <c r="E1034" s="76" t="s">
        <v>1143</v>
      </c>
      <c r="F1034" s="76" t="s">
        <v>1158</v>
      </c>
      <c r="G1034" s="88" t="s">
        <v>1159</v>
      </c>
      <c r="H1034" s="78" t="s">
        <v>1160</v>
      </c>
      <c r="I1034" s="76" t="s">
        <v>1147</v>
      </c>
      <c r="J1034" s="76" t="s">
        <v>1148</v>
      </c>
      <c r="K1034" s="76">
        <v>80111600</v>
      </c>
      <c r="L1034" s="63" t="s">
        <v>1149</v>
      </c>
      <c r="M1034" s="63" t="s">
        <v>58</v>
      </c>
      <c r="N1034" s="63" t="s">
        <v>59</v>
      </c>
      <c r="O1034" s="63" t="s">
        <v>1161</v>
      </c>
      <c r="P1034" s="76" t="s">
        <v>2809</v>
      </c>
      <c r="Q1034" s="79">
        <v>6960000</v>
      </c>
      <c r="R1034" s="63">
        <v>1</v>
      </c>
      <c r="S1034" s="80">
        <f t="shared" si="113"/>
        <v>20880000</v>
      </c>
      <c r="T1034" s="63"/>
      <c r="U1034" s="63" t="s">
        <v>1163</v>
      </c>
      <c r="V1034" s="81" t="s">
        <v>1164</v>
      </c>
      <c r="W1034" s="82">
        <v>3</v>
      </c>
      <c r="X1034" s="63" t="s">
        <v>2810</v>
      </c>
      <c r="Y1034" s="89">
        <v>43381</v>
      </c>
      <c r="Z1034" s="83">
        <v>20880000</v>
      </c>
      <c r="AA1034" s="84" t="s">
        <v>2742</v>
      </c>
      <c r="AB1034" s="85"/>
      <c r="AC1034" s="81"/>
      <c r="AD1034" s="86"/>
      <c r="AE1034" s="87">
        <f t="shared" si="114"/>
        <v>0</v>
      </c>
      <c r="AF1034" s="85"/>
      <c r="AG1034" s="81"/>
      <c r="AH1034" s="86"/>
      <c r="AI1034" s="63"/>
      <c r="AJ1034" s="63"/>
      <c r="AK1034" s="87">
        <f t="shared" si="112"/>
        <v>0</v>
      </c>
      <c r="AL1034" s="86">
        <v>0</v>
      </c>
      <c r="AM1034" s="86">
        <f t="shared" si="109"/>
        <v>0</v>
      </c>
      <c r="AN1034" s="63" t="s">
        <v>1155</v>
      </c>
      <c r="AO1034" s="86">
        <f t="shared" si="110"/>
        <v>20880000</v>
      </c>
      <c r="AP1034" s="63"/>
      <c r="AQ1034" s="81">
        <v>43378</v>
      </c>
      <c r="AR1034" s="63" t="s">
        <v>2109</v>
      </c>
      <c r="AS1034" s="81">
        <v>43381</v>
      </c>
      <c r="AT1034" s="63" t="s">
        <v>1453</v>
      </c>
      <c r="AU1034" s="220"/>
      <c r="AV1034" s="220"/>
      <c r="AW1034" s="220"/>
    </row>
    <row r="1035" spans="1:49" s="221" customFormat="1" ht="299.25" x14ac:dyDescent="0.25">
      <c r="A1035" s="63">
        <v>621</v>
      </c>
      <c r="B1035" s="63" t="str">
        <f t="shared" si="108"/>
        <v>3075-621</v>
      </c>
      <c r="C1035" s="76" t="s">
        <v>1141</v>
      </c>
      <c r="D1035" s="76" t="s">
        <v>1142</v>
      </c>
      <c r="E1035" s="76" t="s">
        <v>1165</v>
      </c>
      <c r="F1035" s="76" t="s">
        <v>1166</v>
      </c>
      <c r="G1035" s="77" t="s">
        <v>1167</v>
      </c>
      <c r="H1035" s="78" t="s">
        <v>1168</v>
      </c>
      <c r="I1035" s="76" t="s">
        <v>1147</v>
      </c>
      <c r="J1035" s="76" t="s">
        <v>1148</v>
      </c>
      <c r="K1035" s="76" t="s">
        <v>439</v>
      </c>
      <c r="L1035" s="63" t="s">
        <v>1149</v>
      </c>
      <c r="M1035" s="63" t="s">
        <v>58</v>
      </c>
      <c r="N1035" s="63" t="s">
        <v>59</v>
      </c>
      <c r="O1035" s="76" t="s">
        <v>1169</v>
      </c>
      <c r="P1035" s="63" t="s">
        <v>2811</v>
      </c>
      <c r="Q1035" s="79">
        <v>21951600</v>
      </c>
      <c r="R1035" s="63">
        <v>1</v>
      </c>
      <c r="S1035" s="80">
        <f>Q1035*R1035</f>
        <v>21951600</v>
      </c>
      <c r="T1035" s="63"/>
      <c r="U1035" s="63" t="s">
        <v>1171</v>
      </c>
      <c r="V1035" s="81" t="s">
        <v>1164</v>
      </c>
      <c r="W1035" s="82" t="s">
        <v>439</v>
      </c>
      <c r="X1035" s="90" t="s">
        <v>2812</v>
      </c>
      <c r="Y1035" s="89">
        <v>43381</v>
      </c>
      <c r="Z1035" s="83">
        <v>21951000</v>
      </c>
      <c r="AA1035" s="84" t="s">
        <v>2813</v>
      </c>
      <c r="AB1035" s="85"/>
      <c r="AC1035" s="81"/>
      <c r="AD1035" s="86"/>
      <c r="AE1035" s="87">
        <f t="shared" si="114"/>
        <v>600</v>
      </c>
      <c r="AF1035" s="85"/>
      <c r="AG1035" s="81"/>
      <c r="AH1035" s="86"/>
      <c r="AI1035" s="63"/>
      <c r="AJ1035" s="63"/>
      <c r="AK1035" s="87">
        <f t="shared" si="112"/>
        <v>0</v>
      </c>
      <c r="AL1035" s="86"/>
      <c r="AM1035" s="86">
        <f t="shared" si="109"/>
        <v>0</v>
      </c>
      <c r="AN1035" s="63" t="s">
        <v>1155</v>
      </c>
      <c r="AO1035" s="86">
        <f t="shared" si="110"/>
        <v>21951600</v>
      </c>
      <c r="AP1035" s="63"/>
      <c r="AQ1035" s="81">
        <v>43381</v>
      </c>
      <c r="AR1035" s="63" t="s">
        <v>2109</v>
      </c>
      <c r="AS1035" s="81">
        <v>43381</v>
      </c>
      <c r="AT1035" s="63" t="s">
        <v>1453</v>
      </c>
      <c r="AU1035" s="220"/>
      <c r="AV1035" s="220"/>
      <c r="AW1035" s="220"/>
    </row>
    <row r="1036" spans="1:49" s="221" customFormat="1" ht="299.25" x14ac:dyDescent="0.25">
      <c r="A1036" s="63">
        <v>622</v>
      </c>
      <c r="B1036" s="63" t="str">
        <f t="shared" si="108"/>
        <v>3075-622</v>
      </c>
      <c r="C1036" s="76" t="s">
        <v>1141</v>
      </c>
      <c r="D1036" s="76" t="s">
        <v>1142</v>
      </c>
      <c r="E1036" s="76" t="s">
        <v>1174</v>
      </c>
      <c r="F1036" s="76" t="s">
        <v>1175</v>
      </c>
      <c r="G1036" s="77" t="s">
        <v>1176</v>
      </c>
      <c r="H1036" s="78" t="s">
        <v>1177</v>
      </c>
      <c r="I1036" s="76" t="s">
        <v>1147</v>
      </c>
      <c r="J1036" s="76" t="s">
        <v>1178</v>
      </c>
      <c r="K1036" s="76" t="s">
        <v>439</v>
      </c>
      <c r="L1036" s="63" t="s">
        <v>1149</v>
      </c>
      <c r="M1036" s="63" t="s">
        <v>58</v>
      </c>
      <c r="N1036" s="63" t="s">
        <v>59</v>
      </c>
      <c r="O1036" s="76" t="s">
        <v>1169</v>
      </c>
      <c r="P1036" s="76" t="s">
        <v>2814</v>
      </c>
      <c r="Q1036" s="79">
        <v>69536400</v>
      </c>
      <c r="R1036" s="63">
        <v>1</v>
      </c>
      <c r="S1036" s="80">
        <f>Q1036*R1036</f>
        <v>69536400</v>
      </c>
      <c r="T1036" s="63"/>
      <c r="U1036" s="63" t="s">
        <v>1171</v>
      </c>
      <c r="V1036" s="81" t="s">
        <v>1164</v>
      </c>
      <c r="W1036" s="82" t="s">
        <v>439</v>
      </c>
      <c r="X1036" s="90" t="s">
        <v>2815</v>
      </c>
      <c r="Y1036" s="89">
        <v>43381</v>
      </c>
      <c r="Z1036" s="83">
        <v>69536400</v>
      </c>
      <c r="AA1036" s="84" t="s">
        <v>2649</v>
      </c>
      <c r="AB1036" s="85"/>
      <c r="AC1036" s="81"/>
      <c r="AD1036" s="86"/>
      <c r="AE1036" s="87">
        <f t="shared" si="114"/>
        <v>0</v>
      </c>
      <c r="AF1036" s="85"/>
      <c r="AG1036" s="81"/>
      <c r="AH1036" s="86"/>
      <c r="AI1036" s="63"/>
      <c r="AJ1036" s="63"/>
      <c r="AK1036" s="87">
        <f t="shared" si="112"/>
        <v>0</v>
      </c>
      <c r="AL1036" s="86"/>
      <c r="AM1036" s="86">
        <f t="shared" si="109"/>
        <v>0</v>
      </c>
      <c r="AN1036" s="63" t="s">
        <v>1155</v>
      </c>
      <c r="AO1036" s="86">
        <f t="shared" si="110"/>
        <v>69536400</v>
      </c>
      <c r="AP1036" s="63"/>
      <c r="AQ1036" s="81">
        <v>43381</v>
      </c>
      <c r="AR1036" s="63" t="s">
        <v>2109</v>
      </c>
      <c r="AS1036" s="81">
        <v>43381</v>
      </c>
      <c r="AT1036" s="63" t="s">
        <v>1453</v>
      </c>
      <c r="AU1036" s="220"/>
      <c r="AV1036" s="220"/>
      <c r="AW1036" s="220"/>
    </row>
    <row r="1037" spans="1:49" s="221" customFormat="1" ht="242.25" x14ac:dyDescent="0.25">
      <c r="A1037" s="63">
        <v>623</v>
      </c>
      <c r="B1037" s="63" t="str">
        <f t="shared" si="108"/>
        <v>3075-623</v>
      </c>
      <c r="C1037" s="76" t="s">
        <v>1141</v>
      </c>
      <c r="D1037" s="76" t="s">
        <v>1142</v>
      </c>
      <c r="E1037" s="76" t="s">
        <v>1143</v>
      </c>
      <c r="F1037" s="76" t="s">
        <v>1158</v>
      </c>
      <c r="G1037" s="88" t="s">
        <v>1159</v>
      </c>
      <c r="H1037" s="78" t="s">
        <v>1160</v>
      </c>
      <c r="I1037" s="76" t="s">
        <v>1147</v>
      </c>
      <c r="J1037" s="76" t="s">
        <v>1148</v>
      </c>
      <c r="K1037" s="76">
        <v>80111600</v>
      </c>
      <c r="L1037" s="63" t="s">
        <v>1149</v>
      </c>
      <c r="M1037" s="63" t="s">
        <v>58</v>
      </c>
      <c r="N1037" s="63" t="s">
        <v>59</v>
      </c>
      <c r="O1037" s="63" t="s">
        <v>1161</v>
      </c>
      <c r="P1037" s="76" t="s">
        <v>2816</v>
      </c>
      <c r="Q1037" s="79">
        <v>3326900</v>
      </c>
      <c r="R1037" s="63">
        <v>1</v>
      </c>
      <c r="S1037" s="80">
        <v>7762767</v>
      </c>
      <c r="T1037" s="63"/>
      <c r="U1037" s="63" t="s">
        <v>1163</v>
      </c>
      <c r="V1037" s="81" t="s">
        <v>1164</v>
      </c>
      <c r="W1037" s="82" t="s">
        <v>2817</v>
      </c>
      <c r="X1037" s="63" t="s">
        <v>2818</v>
      </c>
      <c r="Y1037" s="89">
        <v>43381</v>
      </c>
      <c r="Z1037" s="83">
        <v>7762767</v>
      </c>
      <c r="AA1037" s="84" t="s">
        <v>2742</v>
      </c>
      <c r="AB1037" s="85"/>
      <c r="AC1037" s="81"/>
      <c r="AD1037" s="86"/>
      <c r="AE1037" s="87">
        <f t="shared" si="114"/>
        <v>0</v>
      </c>
      <c r="AF1037" s="85"/>
      <c r="AG1037" s="81"/>
      <c r="AH1037" s="86"/>
      <c r="AI1037" s="63"/>
      <c r="AJ1037" s="63"/>
      <c r="AK1037" s="87">
        <f t="shared" si="112"/>
        <v>0</v>
      </c>
      <c r="AL1037" s="86">
        <v>0</v>
      </c>
      <c r="AM1037" s="86">
        <f t="shared" si="109"/>
        <v>0</v>
      </c>
      <c r="AN1037" s="63" t="s">
        <v>1155</v>
      </c>
      <c r="AO1037" s="86">
        <f t="shared" si="110"/>
        <v>7762767</v>
      </c>
      <c r="AP1037" s="63"/>
      <c r="AQ1037" s="63"/>
      <c r="AR1037" s="63"/>
      <c r="AS1037" s="63"/>
      <c r="AT1037" s="63"/>
      <c r="AU1037" s="220"/>
      <c r="AV1037" s="220"/>
      <c r="AW1037" s="220"/>
    </row>
    <row r="1038" spans="1:49" s="221" customFormat="1" ht="242.25" x14ac:dyDescent="0.25">
      <c r="A1038" s="63">
        <v>624</v>
      </c>
      <c r="B1038" s="63" t="str">
        <f t="shared" si="108"/>
        <v>3075-624</v>
      </c>
      <c r="C1038" s="76" t="s">
        <v>1141</v>
      </c>
      <c r="D1038" s="76" t="s">
        <v>1142</v>
      </c>
      <c r="E1038" s="76" t="s">
        <v>1143</v>
      </c>
      <c r="F1038" s="76" t="s">
        <v>1158</v>
      </c>
      <c r="G1038" s="88" t="s">
        <v>1159</v>
      </c>
      <c r="H1038" s="78" t="s">
        <v>1160</v>
      </c>
      <c r="I1038" s="76" t="s">
        <v>1147</v>
      </c>
      <c r="J1038" s="76" t="s">
        <v>1148</v>
      </c>
      <c r="K1038" s="76">
        <v>80111600</v>
      </c>
      <c r="L1038" s="63" t="s">
        <v>1149</v>
      </c>
      <c r="M1038" s="63" t="s">
        <v>58</v>
      </c>
      <c r="N1038" s="63" t="s">
        <v>59</v>
      </c>
      <c r="O1038" s="63" t="s">
        <v>1161</v>
      </c>
      <c r="P1038" s="76" t="s">
        <v>2819</v>
      </c>
      <c r="Q1038" s="79">
        <v>1751000</v>
      </c>
      <c r="R1038" s="63">
        <v>1</v>
      </c>
      <c r="S1038" s="80">
        <v>4085667</v>
      </c>
      <c r="T1038" s="63"/>
      <c r="U1038" s="63" t="s">
        <v>1163</v>
      </c>
      <c r="V1038" s="81" t="s">
        <v>1164</v>
      </c>
      <c r="W1038" s="82" t="s">
        <v>2817</v>
      </c>
      <c r="X1038" s="90" t="s">
        <v>2820</v>
      </c>
      <c r="Y1038" s="89">
        <v>43381</v>
      </c>
      <c r="Z1038" s="83">
        <v>4085667</v>
      </c>
      <c r="AA1038" s="84" t="s">
        <v>2742</v>
      </c>
      <c r="AB1038" s="85"/>
      <c r="AC1038" s="81"/>
      <c r="AD1038" s="86"/>
      <c r="AE1038" s="87">
        <f t="shared" si="114"/>
        <v>0</v>
      </c>
      <c r="AF1038" s="85"/>
      <c r="AG1038" s="81"/>
      <c r="AH1038" s="86"/>
      <c r="AI1038" s="63"/>
      <c r="AJ1038" s="63"/>
      <c r="AK1038" s="87">
        <f t="shared" si="112"/>
        <v>0</v>
      </c>
      <c r="AL1038" s="86">
        <v>0</v>
      </c>
      <c r="AM1038" s="86">
        <f t="shared" si="109"/>
        <v>0</v>
      </c>
      <c r="AN1038" s="63" t="s">
        <v>1155</v>
      </c>
      <c r="AO1038" s="86">
        <f t="shared" si="110"/>
        <v>4085667</v>
      </c>
      <c r="AP1038" s="63"/>
      <c r="AQ1038" s="63"/>
      <c r="AR1038" s="63"/>
      <c r="AS1038" s="63"/>
      <c r="AT1038" s="63"/>
      <c r="AU1038" s="220"/>
      <c r="AV1038" s="220"/>
      <c r="AW1038" s="220"/>
    </row>
    <row r="1039" spans="1:49" s="221" customFormat="1" ht="242.25" x14ac:dyDescent="0.25">
      <c r="A1039" s="63">
        <v>625</v>
      </c>
      <c r="B1039" s="63" t="str">
        <f t="shared" si="108"/>
        <v>3075-625</v>
      </c>
      <c r="C1039" s="76" t="s">
        <v>1141</v>
      </c>
      <c r="D1039" s="76" t="s">
        <v>1142</v>
      </c>
      <c r="E1039" s="76" t="s">
        <v>1143</v>
      </c>
      <c r="F1039" s="76" t="s">
        <v>1158</v>
      </c>
      <c r="G1039" s="88" t="s">
        <v>1159</v>
      </c>
      <c r="H1039" s="78" t="s">
        <v>1160</v>
      </c>
      <c r="I1039" s="76" t="s">
        <v>1147</v>
      </c>
      <c r="J1039" s="76" t="s">
        <v>1148</v>
      </c>
      <c r="K1039" s="76">
        <v>80111600</v>
      </c>
      <c r="L1039" s="63" t="s">
        <v>1149</v>
      </c>
      <c r="M1039" s="63" t="s">
        <v>58</v>
      </c>
      <c r="N1039" s="63" t="s">
        <v>59</v>
      </c>
      <c r="O1039" s="63" t="s">
        <v>1161</v>
      </c>
      <c r="P1039" s="76" t="s">
        <v>2821</v>
      </c>
      <c r="Q1039" s="79">
        <v>3326900</v>
      </c>
      <c r="R1039" s="63">
        <v>1</v>
      </c>
      <c r="S1039" s="80">
        <v>7762767</v>
      </c>
      <c r="T1039" s="63"/>
      <c r="U1039" s="63" t="s">
        <v>1163</v>
      </c>
      <c r="V1039" s="81" t="s">
        <v>1164</v>
      </c>
      <c r="W1039" s="82" t="s">
        <v>2817</v>
      </c>
      <c r="X1039" s="90" t="s">
        <v>2822</v>
      </c>
      <c r="Y1039" s="89">
        <v>43381</v>
      </c>
      <c r="Z1039" s="83">
        <v>7762767</v>
      </c>
      <c r="AA1039" s="84" t="s">
        <v>2742</v>
      </c>
      <c r="AB1039" s="85"/>
      <c r="AC1039" s="81"/>
      <c r="AD1039" s="86"/>
      <c r="AE1039" s="87">
        <f t="shared" si="114"/>
        <v>0</v>
      </c>
      <c r="AF1039" s="85"/>
      <c r="AG1039" s="81"/>
      <c r="AH1039" s="86"/>
      <c r="AI1039" s="63"/>
      <c r="AJ1039" s="63"/>
      <c r="AK1039" s="87">
        <f t="shared" si="112"/>
        <v>0</v>
      </c>
      <c r="AL1039" s="86">
        <v>0</v>
      </c>
      <c r="AM1039" s="86">
        <f t="shared" si="109"/>
        <v>0</v>
      </c>
      <c r="AN1039" s="63" t="s">
        <v>1155</v>
      </c>
      <c r="AO1039" s="86">
        <f t="shared" si="110"/>
        <v>7762767</v>
      </c>
      <c r="AP1039" s="63"/>
      <c r="AQ1039" s="63"/>
      <c r="AR1039" s="63"/>
      <c r="AS1039" s="63"/>
      <c r="AT1039" s="63"/>
      <c r="AU1039" s="220"/>
      <c r="AV1039" s="220"/>
      <c r="AW1039" s="220"/>
    </row>
    <row r="1040" spans="1:49" s="221" customFormat="1" ht="242.25" x14ac:dyDescent="0.25">
      <c r="A1040" s="63">
        <v>626</v>
      </c>
      <c r="B1040" s="63" t="str">
        <f t="shared" si="108"/>
        <v>3075-626</v>
      </c>
      <c r="C1040" s="76" t="s">
        <v>1141</v>
      </c>
      <c r="D1040" s="76" t="s">
        <v>1142</v>
      </c>
      <c r="E1040" s="76" t="s">
        <v>1143</v>
      </c>
      <c r="F1040" s="76" t="s">
        <v>1158</v>
      </c>
      <c r="G1040" s="88" t="s">
        <v>1159</v>
      </c>
      <c r="H1040" s="78" t="s">
        <v>1160</v>
      </c>
      <c r="I1040" s="76" t="s">
        <v>1147</v>
      </c>
      <c r="J1040" s="76" t="s">
        <v>1148</v>
      </c>
      <c r="K1040" s="76">
        <v>80111600</v>
      </c>
      <c r="L1040" s="63" t="s">
        <v>1149</v>
      </c>
      <c r="M1040" s="63" t="s">
        <v>58</v>
      </c>
      <c r="N1040" s="63" t="s">
        <v>59</v>
      </c>
      <c r="O1040" s="63" t="s">
        <v>1161</v>
      </c>
      <c r="P1040" s="76" t="s">
        <v>2819</v>
      </c>
      <c r="Q1040" s="79">
        <v>1751000</v>
      </c>
      <c r="R1040" s="63">
        <v>1</v>
      </c>
      <c r="S1040" s="80">
        <v>4085667</v>
      </c>
      <c r="T1040" s="63"/>
      <c r="U1040" s="63" t="s">
        <v>1163</v>
      </c>
      <c r="V1040" s="81" t="s">
        <v>1164</v>
      </c>
      <c r="W1040" s="82" t="s">
        <v>2817</v>
      </c>
      <c r="X1040" s="63" t="s">
        <v>2823</v>
      </c>
      <c r="Y1040" s="89">
        <v>43381</v>
      </c>
      <c r="Z1040" s="83">
        <v>4085667</v>
      </c>
      <c r="AA1040" s="84" t="s">
        <v>2742</v>
      </c>
      <c r="AB1040" s="85"/>
      <c r="AC1040" s="81"/>
      <c r="AD1040" s="86"/>
      <c r="AE1040" s="87">
        <f t="shared" si="114"/>
        <v>0</v>
      </c>
      <c r="AF1040" s="85"/>
      <c r="AG1040" s="81"/>
      <c r="AH1040" s="86"/>
      <c r="AI1040" s="63"/>
      <c r="AJ1040" s="63"/>
      <c r="AK1040" s="87">
        <f t="shared" si="112"/>
        <v>0</v>
      </c>
      <c r="AL1040" s="86">
        <v>0</v>
      </c>
      <c r="AM1040" s="86">
        <f t="shared" si="109"/>
        <v>0</v>
      </c>
      <c r="AN1040" s="63" t="s">
        <v>1155</v>
      </c>
      <c r="AO1040" s="86">
        <f t="shared" si="110"/>
        <v>4085667</v>
      </c>
      <c r="AP1040" s="63"/>
      <c r="AQ1040" s="63"/>
      <c r="AR1040" s="63"/>
      <c r="AS1040" s="63"/>
      <c r="AT1040" s="63"/>
      <c r="AU1040" s="220"/>
      <c r="AV1040" s="220"/>
      <c r="AW1040" s="220"/>
    </row>
    <row r="1041" spans="1:49" s="221" customFormat="1" ht="242.25" x14ac:dyDescent="0.25">
      <c r="A1041" s="63">
        <v>627</v>
      </c>
      <c r="B1041" s="63" t="str">
        <f t="shared" si="108"/>
        <v>3075-627</v>
      </c>
      <c r="C1041" s="76" t="s">
        <v>1141</v>
      </c>
      <c r="D1041" s="76" t="s">
        <v>1142</v>
      </c>
      <c r="E1041" s="76" t="s">
        <v>1143</v>
      </c>
      <c r="F1041" s="76" t="s">
        <v>1158</v>
      </c>
      <c r="G1041" s="88" t="s">
        <v>1159</v>
      </c>
      <c r="H1041" s="78" t="s">
        <v>1160</v>
      </c>
      <c r="I1041" s="76" t="s">
        <v>1147</v>
      </c>
      <c r="J1041" s="76" t="s">
        <v>1148</v>
      </c>
      <c r="K1041" s="76">
        <v>80111600</v>
      </c>
      <c r="L1041" s="63" t="s">
        <v>1149</v>
      </c>
      <c r="M1041" s="63" t="s">
        <v>58</v>
      </c>
      <c r="N1041" s="63" t="s">
        <v>59</v>
      </c>
      <c r="O1041" s="63" t="s">
        <v>1161</v>
      </c>
      <c r="P1041" s="76" t="s">
        <v>2819</v>
      </c>
      <c r="Q1041" s="79">
        <v>1751000</v>
      </c>
      <c r="R1041" s="63">
        <v>1</v>
      </c>
      <c r="S1041" s="80">
        <v>4085667</v>
      </c>
      <c r="T1041" s="63"/>
      <c r="U1041" s="63" t="s">
        <v>1163</v>
      </c>
      <c r="V1041" s="81" t="s">
        <v>1164</v>
      </c>
      <c r="W1041" s="82" t="s">
        <v>2817</v>
      </c>
      <c r="X1041" s="90" t="s">
        <v>2824</v>
      </c>
      <c r="Y1041" s="89">
        <v>43381</v>
      </c>
      <c r="Z1041" s="83">
        <v>4085667</v>
      </c>
      <c r="AA1041" s="84" t="s">
        <v>2742</v>
      </c>
      <c r="AB1041" s="85"/>
      <c r="AC1041" s="81"/>
      <c r="AD1041" s="86"/>
      <c r="AE1041" s="87">
        <f t="shared" si="114"/>
        <v>0</v>
      </c>
      <c r="AF1041" s="85"/>
      <c r="AG1041" s="81"/>
      <c r="AH1041" s="86"/>
      <c r="AI1041" s="63"/>
      <c r="AJ1041" s="63"/>
      <c r="AK1041" s="87">
        <f t="shared" si="112"/>
        <v>0</v>
      </c>
      <c r="AL1041" s="86">
        <v>0</v>
      </c>
      <c r="AM1041" s="86">
        <f t="shared" si="109"/>
        <v>0</v>
      </c>
      <c r="AN1041" s="63" t="s">
        <v>1155</v>
      </c>
      <c r="AO1041" s="86">
        <f t="shared" si="110"/>
        <v>4085667</v>
      </c>
      <c r="AP1041" s="63"/>
      <c r="AQ1041" s="63"/>
      <c r="AR1041" s="63"/>
      <c r="AS1041" s="63"/>
      <c r="AT1041" s="63"/>
      <c r="AU1041" s="220"/>
      <c r="AV1041" s="220"/>
      <c r="AW1041" s="220"/>
    </row>
    <row r="1042" spans="1:49" s="221" customFormat="1" ht="242.25" x14ac:dyDescent="0.25">
      <c r="A1042" s="63">
        <v>628</v>
      </c>
      <c r="B1042" s="63" t="str">
        <f t="shared" si="108"/>
        <v>3075-628</v>
      </c>
      <c r="C1042" s="76" t="s">
        <v>1141</v>
      </c>
      <c r="D1042" s="76" t="s">
        <v>1142</v>
      </c>
      <c r="E1042" s="76" t="s">
        <v>1143</v>
      </c>
      <c r="F1042" s="76" t="s">
        <v>1158</v>
      </c>
      <c r="G1042" s="88" t="s">
        <v>1159</v>
      </c>
      <c r="H1042" s="78" t="s">
        <v>1160</v>
      </c>
      <c r="I1042" s="76" t="s">
        <v>1147</v>
      </c>
      <c r="J1042" s="76" t="s">
        <v>1148</v>
      </c>
      <c r="K1042" s="76">
        <v>80111600</v>
      </c>
      <c r="L1042" s="63" t="s">
        <v>1149</v>
      </c>
      <c r="M1042" s="63" t="s">
        <v>58</v>
      </c>
      <c r="N1042" s="63" t="s">
        <v>59</v>
      </c>
      <c r="O1042" s="63" t="s">
        <v>1161</v>
      </c>
      <c r="P1042" s="76" t="s">
        <v>2819</v>
      </c>
      <c r="Q1042" s="79">
        <v>1751000</v>
      </c>
      <c r="R1042" s="63">
        <v>1</v>
      </c>
      <c r="S1042" s="80">
        <v>4085667</v>
      </c>
      <c r="T1042" s="63"/>
      <c r="U1042" s="63" t="s">
        <v>1163</v>
      </c>
      <c r="V1042" s="81" t="s">
        <v>1164</v>
      </c>
      <c r="W1042" s="82" t="s">
        <v>2817</v>
      </c>
      <c r="X1042" s="90" t="s">
        <v>2825</v>
      </c>
      <c r="Y1042" s="89">
        <v>43381</v>
      </c>
      <c r="Z1042" s="83">
        <v>4085667</v>
      </c>
      <c r="AA1042" s="84" t="s">
        <v>2742</v>
      </c>
      <c r="AB1042" s="85"/>
      <c r="AC1042" s="81"/>
      <c r="AD1042" s="86"/>
      <c r="AE1042" s="87">
        <f t="shared" si="114"/>
        <v>0</v>
      </c>
      <c r="AF1042" s="85"/>
      <c r="AG1042" s="81"/>
      <c r="AH1042" s="86"/>
      <c r="AI1042" s="63"/>
      <c r="AJ1042" s="63"/>
      <c r="AK1042" s="87">
        <f t="shared" si="112"/>
        <v>0</v>
      </c>
      <c r="AL1042" s="86">
        <v>0</v>
      </c>
      <c r="AM1042" s="86">
        <f t="shared" si="109"/>
        <v>0</v>
      </c>
      <c r="AN1042" s="63" t="s">
        <v>1155</v>
      </c>
      <c r="AO1042" s="86">
        <f t="shared" si="110"/>
        <v>4085667</v>
      </c>
      <c r="AP1042" s="63"/>
      <c r="AQ1042" s="63"/>
      <c r="AR1042" s="63"/>
      <c r="AS1042" s="63"/>
      <c r="AT1042" s="63"/>
      <c r="AU1042" s="220"/>
      <c r="AV1042" s="220"/>
      <c r="AW1042" s="220"/>
    </row>
    <row r="1043" spans="1:49" s="221" customFormat="1" ht="242.25" x14ac:dyDescent="0.25">
      <c r="A1043" s="63">
        <v>629</v>
      </c>
      <c r="B1043" s="63" t="str">
        <f t="shared" si="108"/>
        <v>3075-629</v>
      </c>
      <c r="C1043" s="76" t="s">
        <v>1141</v>
      </c>
      <c r="D1043" s="76" t="s">
        <v>1142</v>
      </c>
      <c r="E1043" s="76" t="s">
        <v>1143</v>
      </c>
      <c r="F1043" s="76" t="s">
        <v>1158</v>
      </c>
      <c r="G1043" s="88" t="s">
        <v>1159</v>
      </c>
      <c r="H1043" s="78" t="s">
        <v>1160</v>
      </c>
      <c r="I1043" s="76" t="s">
        <v>1147</v>
      </c>
      <c r="J1043" s="76" t="s">
        <v>1148</v>
      </c>
      <c r="K1043" s="76">
        <v>80111600</v>
      </c>
      <c r="L1043" s="63" t="s">
        <v>1149</v>
      </c>
      <c r="M1043" s="63" t="s">
        <v>58</v>
      </c>
      <c r="N1043" s="63" t="s">
        <v>59</v>
      </c>
      <c r="O1043" s="63" t="s">
        <v>1161</v>
      </c>
      <c r="P1043" s="76" t="s">
        <v>2819</v>
      </c>
      <c r="Q1043" s="79">
        <v>1751000</v>
      </c>
      <c r="R1043" s="63">
        <v>1</v>
      </c>
      <c r="S1043" s="80">
        <v>4085667</v>
      </c>
      <c r="T1043" s="63"/>
      <c r="U1043" s="63" t="s">
        <v>1163</v>
      </c>
      <c r="V1043" s="81" t="s">
        <v>1164</v>
      </c>
      <c r="W1043" s="82" t="s">
        <v>2817</v>
      </c>
      <c r="X1043" s="63" t="s">
        <v>2826</v>
      </c>
      <c r="Y1043" s="89">
        <v>43381</v>
      </c>
      <c r="Z1043" s="83">
        <v>4085667</v>
      </c>
      <c r="AA1043" s="84" t="s">
        <v>2742</v>
      </c>
      <c r="AB1043" s="85"/>
      <c r="AC1043" s="81"/>
      <c r="AD1043" s="86"/>
      <c r="AE1043" s="87">
        <f t="shared" si="114"/>
        <v>0</v>
      </c>
      <c r="AF1043" s="85"/>
      <c r="AG1043" s="81"/>
      <c r="AH1043" s="86"/>
      <c r="AI1043" s="63"/>
      <c r="AJ1043" s="63"/>
      <c r="AK1043" s="87">
        <f t="shared" si="112"/>
        <v>0</v>
      </c>
      <c r="AL1043" s="86">
        <v>0</v>
      </c>
      <c r="AM1043" s="86">
        <f t="shared" si="109"/>
        <v>0</v>
      </c>
      <c r="AN1043" s="63" t="s">
        <v>1155</v>
      </c>
      <c r="AO1043" s="86">
        <f t="shared" si="110"/>
        <v>4085667</v>
      </c>
      <c r="AP1043" s="63"/>
      <c r="AQ1043" s="63"/>
      <c r="AR1043" s="63"/>
      <c r="AS1043" s="63"/>
      <c r="AT1043" s="63"/>
      <c r="AU1043" s="220"/>
      <c r="AV1043" s="220"/>
      <c r="AW1043" s="220"/>
    </row>
    <row r="1044" spans="1:49" s="221" customFormat="1" ht="213.75" x14ac:dyDescent="0.25">
      <c r="A1044" s="63">
        <v>630</v>
      </c>
      <c r="B1044" s="63" t="str">
        <f t="shared" si="108"/>
        <v>3075-630</v>
      </c>
      <c r="C1044" s="76" t="s">
        <v>1141</v>
      </c>
      <c r="D1044" s="76" t="s">
        <v>1142</v>
      </c>
      <c r="E1044" s="76" t="s">
        <v>1143</v>
      </c>
      <c r="F1044" s="76" t="s">
        <v>1158</v>
      </c>
      <c r="G1044" s="88" t="s">
        <v>1159</v>
      </c>
      <c r="H1044" s="78" t="s">
        <v>1160</v>
      </c>
      <c r="I1044" s="76" t="s">
        <v>1147</v>
      </c>
      <c r="J1044" s="76" t="s">
        <v>1148</v>
      </c>
      <c r="K1044" s="76">
        <v>93141506</v>
      </c>
      <c r="L1044" s="63" t="s">
        <v>1149</v>
      </c>
      <c r="M1044" s="63" t="s">
        <v>58</v>
      </c>
      <c r="N1044" s="63" t="s">
        <v>59</v>
      </c>
      <c r="O1044" s="63" t="s">
        <v>1161</v>
      </c>
      <c r="P1044" s="76" t="s">
        <v>1594</v>
      </c>
      <c r="Q1044" s="79">
        <v>3553500</v>
      </c>
      <c r="R1044" s="63">
        <v>1</v>
      </c>
      <c r="S1044" s="80">
        <v>8291500</v>
      </c>
      <c r="T1044" s="63"/>
      <c r="U1044" s="63" t="s">
        <v>1163</v>
      </c>
      <c r="V1044" s="81" t="s">
        <v>1164</v>
      </c>
      <c r="W1044" s="82" t="s">
        <v>2817</v>
      </c>
      <c r="X1044" s="90" t="s">
        <v>2827</v>
      </c>
      <c r="Y1044" s="89">
        <v>43381</v>
      </c>
      <c r="Z1044" s="83">
        <v>8291500</v>
      </c>
      <c r="AA1044" s="84" t="s">
        <v>2742</v>
      </c>
      <c r="AB1044" s="85"/>
      <c r="AC1044" s="81"/>
      <c r="AD1044" s="86"/>
      <c r="AE1044" s="87">
        <f t="shared" si="114"/>
        <v>0</v>
      </c>
      <c r="AF1044" s="85"/>
      <c r="AG1044" s="81"/>
      <c r="AH1044" s="86"/>
      <c r="AI1044" s="63"/>
      <c r="AJ1044" s="63"/>
      <c r="AK1044" s="87">
        <f t="shared" si="112"/>
        <v>0</v>
      </c>
      <c r="AL1044" s="86">
        <v>0</v>
      </c>
      <c r="AM1044" s="86">
        <f t="shared" si="109"/>
        <v>0</v>
      </c>
      <c r="AN1044" s="63" t="s">
        <v>1155</v>
      </c>
      <c r="AO1044" s="86">
        <f t="shared" si="110"/>
        <v>8291500</v>
      </c>
      <c r="AP1044" s="63"/>
      <c r="AQ1044" s="63"/>
      <c r="AR1044" s="63"/>
      <c r="AS1044" s="63"/>
      <c r="AT1044" s="63"/>
      <c r="AU1044" s="220"/>
      <c r="AV1044" s="220"/>
      <c r="AW1044" s="220"/>
    </row>
    <row r="1045" spans="1:49" s="221" customFormat="1" ht="342" x14ac:dyDescent="0.25">
      <c r="A1045" s="63">
        <v>631</v>
      </c>
      <c r="B1045" s="63" t="str">
        <f t="shared" si="108"/>
        <v>3075-631</v>
      </c>
      <c r="C1045" s="76" t="s">
        <v>1141</v>
      </c>
      <c r="D1045" s="76" t="s">
        <v>1142</v>
      </c>
      <c r="E1045" s="76" t="s">
        <v>1143</v>
      </c>
      <c r="F1045" s="76" t="s">
        <v>1158</v>
      </c>
      <c r="G1045" s="88" t="s">
        <v>1159</v>
      </c>
      <c r="H1045" s="78" t="s">
        <v>1160</v>
      </c>
      <c r="I1045" s="76" t="s">
        <v>1147</v>
      </c>
      <c r="J1045" s="76" t="s">
        <v>1148</v>
      </c>
      <c r="K1045" s="76">
        <v>80111600</v>
      </c>
      <c r="L1045" s="63" t="s">
        <v>1149</v>
      </c>
      <c r="M1045" s="63" t="s">
        <v>58</v>
      </c>
      <c r="N1045" s="63" t="s">
        <v>59</v>
      </c>
      <c r="O1045" s="63" t="s">
        <v>1161</v>
      </c>
      <c r="P1045" s="76" t="s">
        <v>2828</v>
      </c>
      <c r="Q1045" s="79">
        <v>6180000</v>
      </c>
      <c r="R1045" s="63">
        <v>1</v>
      </c>
      <c r="S1045" s="80">
        <v>14420000</v>
      </c>
      <c r="T1045" s="63"/>
      <c r="U1045" s="63" t="s">
        <v>1163</v>
      </c>
      <c r="V1045" s="81" t="s">
        <v>1164</v>
      </c>
      <c r="W1045" s="82" t="s">
        <v>2817</v>
      </c>
      <c r="X1045" s="90" t="s">
        <v>2829</v>
      </c>
      <c r="Y1045" s="89">
        <v>43381</v>
      </c>
      <c r="Z1045" s="83">
        <v>14420000</v>
      </c>
      <c r="AA1045" s="84" t="s">
        <v>2742</v>
      </c>
      <c r="AB1045" s="85"/>
      <c r="AC1045" s="81"/>
      <c r="AD1045" s="86"/>
      <c r="AE1045" s="87">
        <f t="shared" si="114"/>
        <v>0</v>
      </c>
      <c r="AF1045" s="85"/>
      <c r="AG1045" s="81"/>
      <c r="AH1045" s="86"/>
      <c r="AI1045" s="63"/>
      <c r="AJ1045" s="63"/>
      <c r="AK1045" s="87">
        <f t="shared" si="112"/>
        <v>0</v>
      </c>
      <c r="AL1045" s="86">
        <v>0</v>
      </c>
      <c r="AM1045" s="86">
        <f t="shared" si="109"/>
        <v>0</v>
      </c>
      <c r="AN1045" s="63" t="s">
        <v>1155</v>
      </c>
      <c r="AO1045" s="86">
        <f t="shared" si="110"/>
        <v>14420000</v>
      </c>
      <c r="AP1045" s="63"/>
      <c r="AQ1045" s="63"/>
      <c r="AR1045" s="63"/>
      <c r="AS1045" s="63"/>
      <c r="AT1045" s="63"/>
      <c r="AU1045" s="220"/>
      <c r="AV1045" s="220"/>
      <c r="AW1045" s="220"/>
    </row>
    <row r="1046" spans="1:49" s="221" customFormat="1" ht="285" x14ac:dyDescent="0.25">
      <c r="A1046" s="63">
        <v>632</v>
      </c>
      <c r="B1046" s="63" t="str">
        <f t="shared" si="108"/>
        <v>3075-632</v>
      </c>
      <c r="C1046" s="76" t="s">
        <v>1141</v>
      </c>
      <c r="D1046" s="76" t="s">
        <v>1142</v>
      </c>
      <c r="E1046" s="76" t="s">
        <v>1143</v>
      </c>
      <c r="F1046" s="76" t="s">
        <v>1158</v>
      </c>
      <c r="G1046" s="88" t="s">
        <v>1159</v>
      </c>
      <c r="H1046" s="78" t="s">
        <v>1160</v>
      </c>
      <c r="I1046" s="76" t="s">
        <v>1147</v>
      </c>
      <c r="J1046" s="76" t="s">
        <v>1148</v>
      </c>
      <c r="K1046" s="76">
        <v>93151501</v>
      </c>
      <c r="L1046" s="63" t="s">
        <v>1149</v>
      </c>
      <c r="M1046" s="63" t="s">
        <v>58</v>
      </c>
      <c r="N1046" s="63" t="s">
        <v>59</v>
      </c>
      <c r="O1046" s="63" t="s">
        <v>1161</v>
      </c>
      <c r="P1046" s="76" t="s">
        <v>2830</v>
      </c>
      <c r="Q1046" s="79">
        <v>7210000</v>
      </c>
      <c r="R1046" s="63">
        <v>1</v>
      </c>
      <c r="S1046" s="80">
        <v>16823333</v>
      </c>
      <c r="T1046" s="63"/>
      <c r="U1046" s="63" t="s">
        <v>1163</v>
      </c>
      <c r="V1046" s="81" t="s">
        <v>1164</v>
      </c>
      <c r="W1046" s="82" t="s">
        <v>2817</v>
      </c>
      <c r="X1046" s="63" t="s">
        <v>2831</v>
      </c>
      <c r="Y1046" s="89">
        <v>43381</v>
      </c>
      <c r="Z1046" s="83">
        <v>16823333</v>
      </c>
      <c r="AA1046" s="84" t="s">
        <v>2742</v>
      </c>
      <c r="AB1046" s="85"/>
      <c r="AC1046" s="81"/>
      <c r="AD1046" s="86"/>
      <c r="AE1046" s="87">
        <f t="shared" si="114"/>
        <v>0</v>
      </c>
      <c r="AF1046" s="85"/>
      <c r="AG1046" s="81"/>
      <c r="AH1046" s="86"/>
      <c r="AI1046" s="63"/>
      <c r="AJ1046" s="63"/>
      <c r="AK1046" s="87">
        <f t="shared" si="112"/>
        <v>0</v>
      </c>
      <c r="AL1046" s="86">
        <v>0</v>
      </c>
      <c r="AM1046" s="86">
        <f t="shared" si="109"/>
        <v>0</v>
      </c>
      <c r="AN1046" s="63" t="s">
        <v>1155</v>
      </c>
      <c r="AO1046" s="86">
        <f t="shared" si="110"/>
        <v>16823333</v>
      </c>
      <c r="AP1046" s="63"/>
      <c r="AQ1046" s="63"/>
      <c r="AR1046" s="63"/>
      <c r="AS1046" s="63"/>
      <c r="AT1046" s="63"/>
      <c r="AU1046" s="220"/>
      <c r="AV1046" s="220"/>
      <c r="AW1046" s="220"/>
    </row>
    <row r="1047" spans="1:49" s="221" customFormat="1" ht="242.25" x14ac:dyDescent="0.25">
      <c r="A1047" s="63">
        <v>633</v>
      </c>
      <c r="B1047" s="63" t="str">
        <f t="shared" si="108"/>
        <v>3075-633</v>
      </c>
      <c r="C1047" s="76" t="s">
        <v>1141</v>
      </c>
      <c r="D1047" s="76" t="s">
        <v>1142</v>
      </c>
      <c r="E1047" s="76" t="s">
        <v>1143</v>
      </c>
      <c r="F1047" s="76" t="s">
        <v>1158</v>
      </c>
      <c r="G1047" s="88" t="s">
        <v>1159</v>
      </c>
      <c r="H1047" s="78" t="s">
        <v>1160</v>
      </c>
      <c r="I1047" s="76" t="s">
        <v>1147</v>
      </c>
      <c r="J1047" s="76" t="s">
        <v>1148</v>
      </c>
      <c r="K1047" s="76">
        <v>80111600</v>
      </c>
      <c r="L1047" s="63" t="s">
        <v>1149</v>
      </c>
      <c r="M1047" s="63" t="s">
        <v>58</v>
      </c>
      <c r="N1047" s="63" t="s">
        <v>59</v>
      </c>
      <c r="O1047" s="63" t="s">
        <v>1161</v>
      </c>
      <c r="P1047" s="76" t="s">
        <v>2819</v>
      </c>
      <c r="Q1047" s="79">
        <v>1751000</v>
      </c>
      <c r="R1047" s="63">
        <v>1</v>
      </c>
      <c r="S1047" s="80">
        <v>4085667</v>
      </c>
      <c r="T1047" s="63"/>
      <c r="U1047" s="63" t="s">
        <v>1163</v>
      </c>
      <c r="V1047" s="81" t="s">
        <v>1164</v>
      </c>
      <c r="W1047" s="82" t="s">
        <v>2817</v>
      </c>
      <c r="X1047" s="90" t="s">
        <v>2832</v>
      </c>
      <c r="Y1047" s="89">
        <v>43381</v>
      </c>
      <c r="Z1047" s="83">
        <v>4085667</v>
      </c>
      <c r="AA1047" s="84" t="s">
        <v>2742</v>
      </c>
      <c r="AB1047" s="85"/>
      <c r="AC1047" s="81"/>
      <c r="AD1047" s="86"/>
      <c r="AE1047" s="87">
        <f t="shared" si="114"/>
        <v>0</v>
      </c>
      <c r="AF1047" s="85"/>
      <c r="AG1047" s="81"/>
      <c r="AH1047" s="86"/>
      <c r="AI1047" s="63"/>
      <c r="AJ1047" s="63"/>
      <c r="AK1047" s="87">
        <f t="shared" si="112"/>
        <v>0</v>
      </c>
      <c r="AL1047" s="86">
        <v>0</v>
      </c>
      <c r="AM1047" s="86">
        <f t="shared" si="109"/>
        <v>0</v>
      </c>
      <c r="AN1047" s="63" t="s">
        <v>1155</v>
      </c>
      <c r="AO1047" s="86">
        <f t="shared" si="110"/>
        <v>4085667</v>
      </c>
      <c r="AP1047" s="63"/>
      <c r="AQ1047" s="63"/>
      <c r="AR1047" s="63"/>
      <c r="AS1047" s="63"/>
      <c r="AT1047" s="63"/>
      <c r="AU1047" s="220"/>
      <c r="AV1047" s="220"/>
      <c r="AW1047" s="220"/>
    </row>
    <row r="1048" spans="1:49" ht="15.75" thickBot="1" x14ac:dyDescent="0.3">
      <c r="A1048" s="59"/>
      <c r="B1048" s="59"/>
      <c r="C1048" s="59"/>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AA1048" s="59"/>
      <c r="AB1048" s="59"/>
      <c r="AC1048" s="59"/>
      <c r="AD1048" s="59"/>
      <c r="AE1048" s="59"/>
      <c r="AF1048" s="59"/>
      <c r="AG1048" s="59"/>
      <c r="AH1048" s="59"/>
      <c r="AI1048" s="59"/>
      <c r="AJ1048" s="59"/>
      <c r="AK1048" s="59"/>
      <c r="AL1048" s="59"/>
      <c r="AM1048" s="59"/>
      <c r="AN1048" s="59"/>
      <c r="AO1048" s="59"/>
      <c r="AP1048" s="59"/>
      <c r="AQ1048" s="59"/>
      <c r="AR1048" s="59"/>
      <c r="AS1048" s="59"/>
      <c r="AT1048" s="59"/>
      <c r="AU1048" s="59"/>
      <c r="AV1048" s="59"/>
      <c r="AW1048" s="59"/>
    </row>
    <row r="1049" spans="1:49" ht="357.75" thickTop="1" thickBot="1" x14ac:dyDescent="0.3">
      <c r="A1049" s="193">
        <v>1</v>
      </c>
      <c r="B1049" s="85" t="s">
        <v>2833</v>
      </c>
      <c r="C1049" s="105" t="s">
        <v>2834</v>
      </c>
      <c r="D1049" s="106" t="s">
        <v>714</v>
      </c>
      <c r="E1049" s="106" t="s">
        <v>2835</v>
      </c>
      <c r="F1049" s="106" t="s">
        <v>52</v>
      </c>
      <c r="G1049" s="106" t="s">
        <v>53</v>
      </c>
      <c r="H1049" s="107" t="s">
        <v>733</v>
      </c>
      <c r="I1049" s="106" t="s">
        <v>55</v>
      </c>
      <c r="J1049" s="106" t="s">
        <v>56</v>
      </c>
      <c r="K1049" s="106">
        <v>801116</v>
      </c>
      <c r="L1049" s="106" t="s">
        <v>2836</v>
      </c>
      <c r="M1049" s="106" t="s">
        <v>2837</v>
      </c>
      <c r="N1049" s="106" t="s">
        <v>2838</v>
      </c>
      <c r="O1049" s="106" t="s">
        <v>2839</v>
      </c>
      <c r="P1049" s="107" t="s">
        <v>2840</v>
      </c>
      <c r="Q1049" s="194">
        <v>10021818.181818182</v>
      </c>
      <c r="R1049" s="106">
        <v>1</v>
      </c>
      <c r="S1049" s="195">
        <f>110240000-19825899</f>
        <v>90414101</v>
      </c>
      <c r="T1049" s="108" t="s">
        <v>1215</v>
      </c>
      <c r="U1049" s="106" t="s">
        <v>445</v>
      </c>
      <c r="V1049" s="109">
        <v>43115</v>
      </c>
      <c r="W1049" s="106">
        <v>11</v>
      </c>
      <c r="X1049" s="106"/>
      <c r="Y1049" s="81"/>
      <c r="Z1049" s="110"/>
      <c r="AA1049" s="110"/>
      <c r="AB1049" s="106"/>
      <c r="AC1049" s="106"/>
      <c r="AD1049" s="106"/>
      <c r="AE1049" s="106"/>
      <c r="AF1049" s="106"/>
      <c r="AG1049" s="106"/>
      <c r="AH1049" s="196">
        <v>59017704</v>
      </c>
      <c r="AI1049" s="84" t="s">
        <v>2841</v>
      </c>
      <c r="AJ1049" s="106"/>
      <c r="AK1049" s="106"/>
      <c r="AL1049" s="106"/>
      <c r="AM1049" s="196">
        <v>57930530.284995675</v>
      </c>
      <c r="AN1049" s="196">
        <v>7319864</v>
      </c>
      <c r="AO1049" s="106"/>
      <c r="AP1049" s="106"/>
      <c r="AQ1049" s="106"/>
      <c r="AR1049" s="106"/>
      <c r="AS1049" s="106"/>
      <c r="AT1049" s="106"/>
      <c r="AU1049" s="106"/>
      <c r="AV1049" s="106"/>
      <c r="AW1049" s="106"/>
    </row>
    <row r="1050" spans="1:49" ht="300.75" thickTop="1" thickBot="1" x14ac:dyDescent="0.3">
      <c r="A1050" s="193">
        <v>2</v>
      </c>
      <c r="B1050" s="85" t="s">
        <v>2842</v>
      </c>
      <c r="C1050" s="105" t="s">
        <v>2834</v>
      </c>
      <c r="D1050" s="63" t="s">
        <v>714</v>
      </c>
      <c r="E1050" s="106" t="s">
        <v>2843</v>
      </c>
      <c r="F1050" s="63" t="s">
        <v>52</v>
      </c>
      <c r="G1050" s="63" t="s">
        <v>53</v>
      </c>
      <c r="H1050" s="111" t="s">
        <v>733</v>
      </c>
      <c r="I1050" s="63" t="s">
        <v>55</v>
      </c>
      <c r="J1050" s="106" t="s">
        <v>56</v>
      </c>
      <c r="K1050" s="106">
        <v>801116</v>
      </c>
      <c r="L1050" s="106" t="s">
        <v>2836</v>
      </c>
      <c r="M1050" s="106" t="s">
        <v>2837</v>
      </c>
      <c r="N1050" s="106" t="s">
        <v>2838</v>
      </c>
      <c r="O1050" s="106" t="s">
        <v>2839</v>
      </c>
      <c r="P1050" s="107" t="s">
        <v>2840</v>
      </c>
      <c r="Q1050" s="197">
        <v>5948727.2727272725</v>
      </c>
      <c r="R1050" s="63">
        <v>1</v>
      </c>
      <c r="S1050" s="198">
        <f>37012000-3369935+940563+104537-12929400</f>
        <v>21757765</v>
      </c>
      <c r="T1050" s="112" t="s">
        <v>1215</v>
      </c>
      <c r="U1050" s="63" t="s">
        <v>445</v>
      </c>
      <c r="V1050" s="81">
        <v>43115</v>
      </c>
      <c r="W1050" s="63">
        <v>11</v>
      </c>
      <c r="X1050" s="63"/>
      <c r="Y1050" s="81"/>
      <c r="Z1050" s="84"/>
      <c r="AA1050" s="84"/>
      <c r="AB1050" s="63"/>
      <c r="AC1050" s="63"/>
      <c r="AD1050" s="63"/>
      <c r="AE1050" s="63"/>
      <c r="AF1050" s="63"/>
      <c r="AG1050" s="63"/>
      <c r="AH1050" s="196">
        <v>11648161.70857304</v>
      </c>
      <c r="AI1050" s="84" t="s">
        <v>2841</v>
      </c>
      <c r="AJ1050" s="63"/>
      <c r="AK1050" s="63"/>
      <c r="AL1050" s="63"/>
      <c r="AM1050" s="196">
        <v>11433589.117074735</v>
      </c>
      <c r="AN1050" s="63"/>
      <c r="AO1050" s="63"/>
      <c r="AP1050" s="63"/>
      <c r="AQ1050" s="63"/>
      <c r="AR1050" s="63"/>
      <c r="AS1050" s="63"/>
      <c r="AT1050" s="63"/>
      <c r="AU1050" s="63"/>
      <c r="AV1050" s="63"/>
      <c r="AW1050" s="63"/>
    </row>
    <row r="1051" spans="1:49" ht="409.6" thickTop="1" thickBot="1" x14ac:dyDescent="0.3">
      <c r="A1051" s="193">
        <v>3</v>
      </c>
      <c r="B1051" s="85" t="s">
        <v>2844</v>
      </c>
      <c r="C1051" s="105" t="s">
        <v>2834</v>
      </c>
      <c r="D1051" s="63" t="s">
        <v>714</v>
      </c>
      <c r="E1051" s="106" t="s">
        <v>2845</v>
      </c>
      <c r="F1051" s="63" t="s">
        <v>52</v>
      </c>
      <c r="G1051" s="63" t="s">
        <v>53</v>
      </c>
      <c r="H1051" s="111" t="s">
        <v>733</v>
      </c>
      <c r="I1051" s="63" t="s">
        <v>55</v>
      </c>
      <c r="J1051" s="106" t="s">
        <v>56</v>
      </c>
      <c r="K1051" s="106">
        <v>801116</v>
      </c>
      <c r="L1051" s="106" t="s">
        <v>2836</v>
      </c>
      <c r="M1051" s="106" t="s">
        <v>2837</v>
      </c>
      <c r="N1051" s="106" t="s">
        <v>2838</v>
      </c>
      <c r="O1051" s="106" t="s">
        <v>2839</v>
      </c>
      <c r="P1051" s="107" t="s">
        <v>2840</v>
      </c>
      <c r="Q1051" s="197">
        <v>55476363.636363633</v>
      </c>
      <c r="R1051" s="63">
        <v>1</v>
      </c>
      <c r="S1051" s="198">
        <v>610240000</v>
      </c>
      <c r="T1051" s="112" t="s">
        <v>1215</v>
      </c>
      <c r="U1051" s="63" t="s">
        <v>445</v>
      </c>
      <c r="V1051" s="81">
        <v>43115</v>
      </c>
      <c r="W1051" s="63">
        <v>11</v>
      </c>
      <c r="X1051" s="85" t="s">
        <v>2846</v>
      </c>
      <c r="Y1051" s="81">
        <v>43115</v>
      </c>
      <c r="Z1051" s="196">
        <v>610240000</v>
      </c>
      <c r="AA1051" s="84"/>
      <c r="AB1051" s="63">
        <v>532</v>
      </c>
      <c r="AC1051" s="81">
        <v>43118</v>
      </c>
      <c r="AD1051" s="196">
        <v>610240000</v>
      </c>
      <c r="AE1051" s="84"/>
      <c r="AF1051" s="63" t="s">
        <v>2847</v>
      </c>
      <c r="AG1051" s="81">
        <v>43124</v>
      </c>
      <c r="AH1051" s="196">
        <v>326695973</v>
      </c>
      <c r="AI1051" s="84" t="s">
        <v>2841</v>
      </c>
      <c r="AJ1051" s="63">
        <v>7</v>
      </c>
      <c r="AK1051" s="63"/>
      <c r="AL1051" s="196">
        <v>121346798.16170163</v>
      </c>
      <c r="AM1051" s="196">
        <v>320677855.5979296</v>
      </c>
      <c r="AN1051" s="196"/>
      <c r="AO1051" s="63"/>
      <c r="AP1051" s="63"/>
      <c r="AQ1051" s="63"/>
      <c r="AR1051" s="81">
        <v>43115</v>
      </c>
      <c r="AS1051" s="63" t="s">
        <v>2848</v>
      </c>
      <c r="AT1051" s="81">
        <v>43115</v>
      </c>
      <c r="AU1051" s="63" t="s">
        <v>2849</v>
      </c>
      <c r="AV1051" s="63"/>
      <c r="AW1051" s="63"/>
    </row>
    <row r="1052" spans="1:49" ht="409.6" thickTop="1" thickBot="1" x14ac:dyDescent="0.3">
      <c r="A1052" s="193">
        <v>4</v>
      </c>
      <c r="B1052" s="85" t="s">
        <v>2850</v>
      </c>
      <c r="C1052" s="105" t="s">
        <v>2834</v>
      </c>
      <c r="D1052" s="63" t="s">
        <v>714</v>
      </c>
      <c r="E1052" s="106" t="s">
        <v>2845</v>
      </c>
      <c r="F1052" s="63" t="s">
        <v>52</v>
      </c>
      <c r="G1052" s="63" t="s">
        <v>53</v>
      </c>
      <c r="H1052" s="111" t="s">
        <v>733</v>
      </c>
      <c r="I1052" s="63" t="s">
        <v>55</v>
      </c>
      <c r="J1052" s="106" t="s">
        <v>56</v>
      </c>
      <c r="K1052" s="106">
        <v>801116</v>
      </c>
      <c r="L1052" s="106" t="s">
        <v>2836</v>
      </c>
      <c r="M1052" s="106" t="s">
        <v>2837</v>
      </c>
      <c r="N1052" s="106" t="s">
        <v>2838</v>
      </c>
      <c r="O1052" s="106" t="s">
        <v>2839</v>
      </c>
      <c r="P1052" s="107" t="s">
        <v>2851</v>
      </c>
      <c r="Q1052" s="197">
        <v>8240000</v>
      </c>
      <c r="R1052" s="63">
        <v>1</v>
      </c>
      <c r="S1052" s="198">
        <v>0</v>
      </c>
      <c r="T1052" s="112" t="s">
        <v>888</v>
      </c>
      <c r="U1052" s="63" t="s">
        <v>445</v>
      </c>
      <c r="V1052" s="81">
        <v>43125</v>
      </c>
      <c r="W1052" s="199">
        <v>11</v>
      </c>
      <c r="X1052" s="200" t="s">
        <v>2852</v>
      </c>
      <c r="Y1052" s="81">
        <v>43103</v>
      </c>
      <c r="Z1052" s="201" t="s">
        <v>2853</v>
      </c>
      <c r="AA1052" s="201" t="s">
        <v>2853</v>
      </c>
      <c r="AB1052" s="201" t="s">
        <v>2853</v>
      </c>
      <c r="AC1052" s="201" t="s">
        <v>2853</v>
      </c>
      <c r="AD1052" s="201" t="s">
        <v>2853</v>
      </c>
      <c r="AE1052" s="201" t="s">
        <v>2853</v>
      </c>
      <c r="AF1052" s="63" t="s">
        <v>2853</v>
      </c>
      <c r="AG1052" s="201" t="s">
        <v>2853</v>
      </c>
      <c r="AH1052" s="196" t="s">
        <v>2853</v>
      </c>
      <c r="AI1052" s="201" t="s">
        <v>2853</v>
      </c>
      <c r="AJ1052" s="201" t="s">
        <v>2853</v>
      </c>
      <c r="AK1052" s="201" t="s">
        <v>2853</v>
      </c>
      <c r="AL1052" s="201"/>
      <c r="AM1052" s="196">
        <v>0</v>
      </c>
      <c r="AN1052" s="201" t="s">
        <v>2853</v>
      </c>
      <c r="AO1052" s="201" t="s">
        <v>2853</v>
      </c>
      <c r="AP1052" s="201" t="s">
        <v>2853</v>
      </c>
      <c r="AQ1052" s="113" t="s">
        <v>2854</v>
      </c>
      <c r="AR1052" s="114">
        <v>43102</v>
      </c>
      <c r="AS1052" s="113" t="s">
        <v>2848</v>
      </c>
      <c r="AT1052" s="114">
        <v>43102</v>
      </c>
      <c r="AU1052" s="113" t="s">
        <v>2855</v>
      </c>
      <c r="AV1052" s="201" t="s">
        <v>2853</v>
      </c>
      <c r="AW1052" s="202" t="s">
        <v>2853</v>
      </c>
    </row>
    <row r="1053" spans="1:49" ht="409.6" thickTop="1" thickBot="1" x14ac:dyDescent="0.3">
      <c r="A1053" s="193">
        <v>5</v>
      </c>
      <c r="B1053" s="85" t="s">
        <v>2856</v>
      </c>
      <c r="C1053" s="105" t="s">
        <v>2834</v>
      </c>
      <c r="D1053" s="63" t="s">
        <v>714</v>
      </c>
      <c r="E1053" s="106" t="s">
        <v>2845</v>
      </c>
      <c r="F1053" s="63" t="s">
        <v>52</v>
      </c>
      <c r="G1053" s="63" t="s">
        <v>53</v>
      </c>
      <c r="H1053" s="111" t="s">
        <v>733</v>
      </c>
      <c r="I1053" s="63" t="s">
        <v>55</v>
      </c>
      <c r="J1053" s="106" t="s">
        <v>56</v>
      </c>
      <c r="K1053" s="106">
        <v>801116</v>
      </c>
      <c r="L1053" s="106" t="s">
        <v>2836</v>
      </c>
      <c r="M1053" s="106" t="s">
        <v>2837</v>
      </c>
      <c r="N1053" s="106" t="s">
        <v>2838</v>
      </c>
      <c r="O1053" s="106" t="s">
        <v>2839</v>
      </c>
      <c r="P1053" s="107" t="s">
        <v>2857</v>
      </c>
      <c r="Q1053" s="197">
        <v>3399000</v>
      </c>
      <c r="R1053" s="63">
        <v>1</v>
      </c>
      <c r="S1053" s="198">
        <v>37389000</v>
      </c>
      <c r="T1053" s="112" t="s">
        <v>888</v>
      </c>
      <c r="U1053" s="63" t="s">
        <v>445</v>
      </c>
      <c r="V1053" s="81">
        <v>43125</v>
      </c>
      <c r="W1053" s="199">
        <v>11</v>
      </c>
      <c r="X1053" s="85" t="s">
        <v>2858</v>
      </c>
      <c r="Y1053" s="81">
        <v>43103</v>
      </c>
      <c r="Z1053" s="196">
        <v>37389000</v>
      </c>
      <c r="AA1053" s="84"/>
      <c r="AB1053" s="63">
        <v>153</v>
      </c>
      <c r="AC1053" s="81">
        <v>43105</v>
      </c>
      <c r="AD1053" s="196">
        <v>37389000</v>
      </c>
      <c r="AE1053" s="84"/>
      <c r="AF1053" s="63">
        <v>30</v>
      </c>
      <c r="AG1053" s="81">
        <v>43116</v>
      </c>
      <c r="AH1053" s="196">
        <v>37389000</v>
      </c>
      <c r="AI1053" s="84" t="s">
        <v>2859</v>
      </c>
      <c r="AJ1053" s="63">
        <v>18</v>
      </c>
      <c r="AK1053" s="63"/>
      <c r="AL1053" s="196">
        <f>AH1053</f>
        <v>37389000</v>
      </c>
      <c r="AM1053" s="196">
        <f>+VLOOKUP(AF1053,'[2]CRP a 31 Agosto de 2018'!$J$8:$V$2956,13,0)</f>
        <v>22093500</v>
      </c>
      <c r="AN1053" s="196">
        <f>AL1053-AM1053</f>
        <v>15295500</v>
      </c>
      <c r="AO1053" s="63"/>
      <c r="AP1053" s="63"/>
      <c r="AQ1053" s="63"/>
      <c r="AR1053" s="81">
        <v>43102</v>
      </c>
      <c r="AS1053" s="63" t="s">
        <v>2848</v>
      </c>
      <c r="AT1053" s="81">
        <v>43102</v>
      </c>
      <c r="AU1053" s="63" t="s">
        <v>2855</v>
      </c>
      <c r="AV1053" s="63"/>
      <c r="AW1053" s="63"/>
    </row>
    <row r="1054" spans="1:49" ht="409.6" thickTop="1" thickBot="1" x14ac:dyDescent="0.3">
      <c r="A1054" s="193">
        <v>6</v>
      </c>
      <c r="B1054" s="85" t="s">
        <v>2860</v>
      </c>
      <c r="C1054" s="105" t="s">
        <v>2834</v>
      </c>
      <c r="D1054" s="63" t="s">
        <v>714</v>
      </c>
      <c r="E1054" s="106" t="s">
        <v>2845</v>
      </c>
      <c r="F1054" s="63" t="s">
        <v>52</v>
      </c>
      <c r="G1054" s="63" t="s">
        <v>53</v>
      </c>
      <c r="H1054" s="111" t="s">
        <v>733</v>
      </c>
      <c r="I1054" s="63" t="s">
        <v>55</v>
      </c>
      <c r="J1054" s="106" t="s">
        <v>56</v>
      </c>
      <c r="K1054" s="106">
        <v>801116</v>
      </c>
      <c r="L1054" s="106" t="s">
        <v>2836</v>
      </c>
      <c r="M1054" s="106" t="s">
        <v>2837</v>
      </c>
      <c r="N1054" s="106" t="s">
        <v>2838</v>
      </c>
      <c r="O1054" s="106" t="s">
        <v>2839</v>
      </c>
      <c r="P1054" s="107" t="s">
        <v>2861</v>
      </c>
      <c r="Q1054" s="197">
        <v>5036700</v>
      </c>
      <c r="R1054" s="63">
        <v>1</v>
      </c>
      <c r="S1054" s="198">
        <v>55403700</v>
      </c>
      <c r="T1054" s="112" t="s">
        <v>888</v>
      </c>
      <c r="U1054" s="63" t="s">
        <v>445</v>
      </c>
      <c r="V1054" s="81">
        <v>43125</v>
      </c>
      <c r="W1054" s="199">
        <v>11</v>
      </c>
      <c r="X1054" s="85" t="s">
        <v>2862</v>
      </c>
      <c r="Y1054" s="81">
        <v>43103</v>
      </c>
      <c r="Z1054" s="196">
        <v>55403700</v>
      </c>
      <c r="AA1054" s="84"/>
      <c r="AB1054" s="63">
        <v>154</v>
      </c>
      <c r="AC1054" s="81">
        <v>43105</v>
      </c>
      <c r="AD1054" s="196">
        <v>55403700</v>
      </c>
      <c r="AE1054" s="84"/>
      <c r="AF1054" s="63">
        <v>29</v>
      </c>
      <c r="AG1054" s="81">
        <v>43116</v>
      </c>
      <c r="AH1054" s="196">
        <v>55403700</v>
      </c>
      <c r="AI1054" s="84" t="s">
        <v>2863</v>
      </c>
      <c r="AJ1054" s="63">
        <v>17</v>
      </c>
      <c r="AK1054" s="63"/>
      <c r="AL1054" s="196">
        <f t="shared" ref="AL1054:AL1056" si="115">AH1054</f>
        <v>55403700</v>
      </c>
      <c r="AM1054" s="196">
        <f>+VLOOKUP(AF1054,'[2]CRP a 31 Agosto de 2018'!$J$8:$V$2956,13,0)</f>
        <v>32738550</v>
      </c>
      <c r="AN1054" s="196">
        <f>AL1054-AM1054</f>
        <v>22665150</v>
      </c>
      <c r="AO1054" s="63"/>
      <c r="AP1054" s="63"/>
      <c r="AQ1054" s="63"/>
      <c r="AR1054" s="81">
        <v>43102</v>
      </c>
      <c r="AS1054" s="63" t="s">
        <v>2848</v>
      </c>
      <c r="AT1054" s="81">
        <v>43102</v>
      </c>
      <c r="AU1054" s="63" t="s">
        <v>2855</v>
      </c>
      <c r="AV1054" s="63"/>
      <c r="AW1054" s="63"/>
    </row>
    <row r="1055" spans="1:49" ht="409.6" thickTop="1" thickBot="1" x14ac:dyDescent="0.3">
      <c r="A1055" s="193">
        <v>7</v>
      </c>
      <c r="B1055" s="85" t="s">
        <v>2864</v>
      </c>
      <c r="C1055" s="105" t="s">
        <v>2834</v>
      </c>
      <c r="D1055" s="63" t="s">
        <v>714</v>
      </c>
      <c r="E1055" s="106" t="s">
        <v>2845</v>
      </c>
      <c r="F1055" s="63" t="s">
        <v>52</v>
      </c>
      <c r="G1055" s="63" t="s">
        <v>53</v>
      </c>
      <c r="H1055" s="111" t="s">
        <v>733</v>
      </c>
      <c r="I1055" s="63" t="s">
        <v>55</v>
      </c>
      <c r="J1055" s="106" t="s">
        <v>56</v>
      </c>
      <c r="K1055" s="106">
        <v>801116</v>
      </c>
      <c r="L1055" s="106" t="s">
        <v>2836</v>
      </c>
      <c r="M1055" s="106" t="s">
        <v>2837</v>
      </c>
      <c r="N1055" s="106" t="s">
        <v>2838</v>
      </c>
      <c r="O1055" s="106" t="s">
        <v>2839</v>
      </c>
      <c r="P1055" s="107" t="s">
        <v>2865</v>
      </c>
      <c r="Q1055" s="197">
        <v>3038500</v>
      </c>
      <c r="R1055" s="63">
        <v>1</v>
      </c>
      <c r="S1055" s="198">
        <v>33423500</v>
      </c>
      <c r="T1055" s="112" t="s">
        <v>928</v>
      </c>
      <c r="U1055" s="63" t="s">
        <v>445</v>
      </c>
      <c r="V1055" s="81">
        <v>43125</v>
      </c>
      <c r="W1055" s="199">
        <v>11</v>
      </c>
      <c r="X1055" s="85" t="s">
        <v>2866</v>
      </c>
      <c r="Y1055" s="81">
        <v>43103</v>
      </c>
      <c r="Z1055" s="196">
        <v>33423500</v>
      </c>
      <c r="AA1055" s="84"/>
      <c r="AB1055" s="63">
        <v>155</v>
      </c>
      <c r="AC1055" s="81">
        <v>43105</v>
      </c>
      <c r="AD1055" s="196">
        <v>33423500</v>
      </c>
      <c r="AE1055" s="84"/>
      <c r="AF1055" s="63">
        <v>323</v>
      </c>
      <c r="AG1055" s="81">
        <v>43123</v>
      </c>
      <c r="AH1055" s="196">
        <v>33423500</v>
      </c>
      <c r="AI1055" s="84" t="s">
        <v>2867</v>
      </c>
      <c r="AJ1055" s="63">
        <v>284</v>
      </c>
      <c r="AK1055" s="63"/>
      <c r="AL1055" s="196">
        <f t="shared" si="115"/>
        <v>33423500</v>
      </c>
      <c r="AM1055" s="196">
        <f>+VLOOKUP(AF1055,'[2]CRP a 31 Agosto de 2018'!$J$8:$V$2956,13,0)</f>
        <v>18939983</v>
      </c>
      <c r="AN1055" s="196">
        <f>AL1055-AM1055</f>
        <v>14483517</v>
      </c>
      <c r="AO1055" s="63"/>
      <c r="AP1055" s="63"/>
      <c r="AQ1055" s="63"/>
      <c r="AR1055" s="81">
        <v>43102</v>
      </c>
      <c r="AS1055" s="63" t="s">
        <v>2848</v>
      </c>
      <c r="AT1055" s="81">
        <v>43102</v>
      </c>
      <c r="AU1055" s="63" t="s">
        <v>2855</v>
      </c>
      <c r="AV1055" s="63"/>
      <c r="AW1055" s="63"/>
    </row>
    <row r="1056" spans="1:49" ht="409.6" thickTop="1" thickBot="1" x14ac:dyDescent="0.3">
      <c r="A1056" s="193">
        <v>8</v>
      </c>
      <c r="B1056" s="85" t="s">
        <v>2868</v>
      </c>
      <c r="C1056" s="105" t="s">
        <v>2834</v>
      </c>
      <c r="D1056" s="63" t="s">
        <v>714</v>
      </c>
      <c r="E1056" s="106" t="s">
        <v>2845</v>
      </c>
      <c r="F1056" s="63" t="s">
        <v>52</v>
      </c>
      <c r="G1056" s="63" t="s">
        <v>53</v>
      </c>
      <c r="H1056" s="111" t="s">
        <v>733</v>
      </c>
      <c r="I1056" s="63" t="s">
        <v>55</v>
      </c>
      <c r="J1056" s="106" t="s">
        <v>56</v>
      </c>
      <c r="K1056" s="106">
        <v>801116</v>
      </c>
      <c r="L1056" s="106" t="s">
        <v>2836</v>
      </c>
      <c r="M1056" s="106" t="s">
        <v>2837</v>
      </c>
      <c r="N1056" s="106" t="s">
        <v>2838</v>
      </c>
      <c r="O1056" s="106" t="s">
        <v>2839</v>
      </c>
      <c r="P1056" s="107" t="s">
        <v>2869</v>
      </c>
      <c r="Q1056" s="197">
        <v>3399000</v>
      </c>
      <c r="R1056" s="63">
        <v>1</v>
      </c>
      <c r="S1056" s="198">
        <v>37389000</v>
      </c>
      <c r="T1056" s="112" t="s">
        <v>888</v>
      </c>
      <c r="U1056" s="63" t="s">
        <v>445</v>
      </c>
      <c r="V1056" s="81">
        <v>43125</v>
      </c>
      <c r="W1056" s="199">
        <v>11</v>
      </c>
      <c r="X1056" s="85" t="s">
        <v>2870</v>
      </c>
      <c r="Y1056" s="81">
        <v>43103</v>
      </c>
      <c r="Z1056" s="196">
        <v>37389000</v>
      </c>
      <c r="AA1056" s="84"/>
      <c r="AB1056" s="63">
        <v>156</v>
      </c>
      <c r="AC1056" s="81">
        <v>43105</v>
      </c>
      <c r="AD1056" s="196">
        <v>37389000</v>
      </c>
      <c r="AE1056" s="84"/>
      <c r="AF1056" s="63">
        <v>61</v>
      </c>
      <c r="AG1056" s="81">
        <v>43116</v>
      </c>
      <c r="AH1056" s="196">
        <v>37389000</v>
      </c>
      <c r="AI1056" s="84" t="s">
        <v>2871</v>
      </c>
      <c r="AJ1056" s="63">
        <v>26</v>
      </c>
      <c r="AK1056" s="63"/>
      <c r="AL1056" s="196">
        <f t="shared" si="115"/>
        <v>37389000</v>
      </c>
      <c r="AM1056" s="196">
        <f>+VLOOKUP(AF1056,'[2]CRP a 31 Agosto de 2018'!$J$8:$V$2956,13,0)</f>
        <v>22093500</v>
      </c>
      <c r="AN1056" s="196">
        <f>AL1056-AM1056</f>
        <v>15295500</v>
      </c>
      <c r="AO1056" s="63"/>
      <c r="AP1056" s="63"/>
      <c r="AQ1056" s="63"/>
      <c r="AR1056" s="81">
        <v>43102</v>
      </c>
      <c r="AS1056" s="63" t="s">
        <v>2848</v>
      </c>
      <c r="AT1056" s="81">
        <v>43102</v>
      </c>
      <c r="AU1056" s="63" t="s">
        <v>2855</v>
      </c>
      <c r="AV1056" s="63"/>
      <c r="AW1056" s="63"/>
    </row>
    <row r="1057" spans="1:49" ht="409.6" thickTop="1" thickBot="1" x14ac:dyDescent="0.3">
      <c r="A1057" s="193">
        <v>9</v>
      </c>
      <c r="B1057" s="85" t="s">
        <v>2872</v>
      </c>
      <c r="C1057" s="105" t="s">
        <v>2834</v>
      </c>
      <c r="D1057" s="63" t="s">
        <v>714</v>
      </c>
      <c r="E1057" s="106" t="s">
        <v>2845</v>
      </c>
      <c r="F1057" s="63" t="s">
        <v>52</v>
      </c>
      <c r="G1057" s="63" t="s">
        <v>53</v>
      </c>
      <c r="H1057" s="111" t="s">
        <v>733</v>
      </c>
      <c r="I1057" s="63" t="s">
        <v>55</v>
      </c>
      <c r="J1057" s="106" t="s">
        <v>56</v>
      </c>
      <c r="K1057" s="106">
        <v>801116</v>
      </c>
      <c r="L1057" s="106" t="s">
        <v>2836</v>
      </c>
      <c r="M1057" s="106" t="s">
        <v>2837</v>
      </c>
      <c r="N1057" s="106" t="s">
        <v>2838</v>
      </c>
      <c r="O1057" s="106" t="s">
        <v>2839</v>
      </c>
      <c r="P1057" s="107" t="s">
        <v>2873</v>
      </c>
      <c r="Q1057" s="197">
        <v>5100000</v>
      </c>
      <c r="R1057" s="63">
        <v>1</v>
      </c>
      <c r="S1057" s="198">
        <v>25500000</v>
      </c>
      <c r="T1057" s="112" t="s">
        <v>888</v>
      </c>
      <c r="U1057" s="63" t="s">
        <v>445</v>
      </c>
      <c r="V1057" s="81">
        <v>43125</v>
      </c>
      <c r="W1057" s="199">
        <v>5</v>
      </c>
      <c r="X1057" s="85" t="s">
        <v>2874</v>
      </c>
      <c r="Y1057" s="81">
        <v>43103</v>
      </c>
      <c r="Z1057" s="196">
        <v>25500000</v>
      </c>
      <c r="AA1057" s="84"/>
      <c r="AB1057" s="63">
        <v>157</v>
      </c>
      <c r="AC1057" s="81">
        <v>43105</v>
      </c>
      <c r="AD1057" s="196">
        <v>25500000</v>
      </c>
      <c r="AE1057" s="63"/>
      <c r="AF1057" s="63">
        <v>650</v>
      </c>
      <c r="AG1057" s="81">
        <v>43133</v>
      </c>
      <c r="AH1057" s="196">
        <v>25500000</v>
      </c>
      <c r="AI1057" s="84" t="s">
        <v>2875</v>
      </c>
      <c r="AJ1057" s="63"/>
      <c r="AK1057" s="63"/>
      <c r="AL1057" s="196">
        <v>25500000</v>
      </c>
      <c r="AM1057" s="196">
        <f>+VLOOKUP(AF1057,'[2]CRP a 31 Agosto de 2018'!$J$8:$V$2956,13,0)</f>
        <v>25500000</v>
      </c>
      <c r="AN1057" s="196">
        <f>+AL1057-AM1057</f>
        <v>0</v>
      </c>
      <c r="AO1057" s="63"/>
      <c r="AP1057" s="63"/>
      <c r="AQ1057" s="63"/>
      <c r="AR1057" s="81">
        <v>43102</v>
      </c>
      <c r="AS1057" s="63" t="s">
        <v>2848</v>
      </c>
      <c r="AT1057" s="81">
        <v>43102</v>
      </c>
      <c r="AU1057" s="63" t="s">
        <v>2876</v>
      </c>
      <c r="AV1057" s="63"/>
      <c r="AW1057" s="63"/>
    </row>
    <row r="1058" spans="1:49" ht="409.6" thickTop="1" thickBot="1" x14ac:dyDescent="0.3">
      <c r="A1058" s="193">
        <v>10</v>
      </c>
      <c r="B1058" s="85" t="s">
        <v>2877</v>
      </c>
      <c r="C1058" s="105" t="s">
        <v>2834</v>
      </c>
      <c r="D1058" s="63" t="s">
        <v>714</v>
      </c>
      <c r="E1058" s="106" t="s">
        <v>2845</v>
      </c>
      <c r="F1058" s="63" t="s">
        <v>52</v>
      </c>
      <c r="G1058" s="63" t="s">
        <v>53</v>
      </c>
      <c r="H1058" s="111" t="s">
        <v>733</v>
      </c>
      <c r="I1058" s="63" t="s">
        <v>55</v>
      </c>
      <c r="J1058" s="106" t="s">
        <v>56</v>
      </c>
      <c r="K1058" s="106">
        <v>801116</v>
      </c>
      <c r="L1058" s="106" t="s">
        <v>2836</v>
      </c>
      <c r="M1058" s="106" t="s">
        <v>2837</v>
      </c>
      <c r="N1058" s="106" t="s">
        <v>2838</v>
      </c>
      <c r="O1058" s="106" t="s">
        <v>2839</v>
      </c>
      <c r="P1058" s="107" t="s">
        <v>2869</v>
      </c>
      <c r="Q1058" s="197">
        <v>5253000</v>
      </c>
      <c r="R1058" s="63">
        <v>1</v>
      </c>
      <c r="S1058" s="198">
        <v>26265000</v>
      </c>
      <c r="T1058" s="112" t="s">
        <v>888</v>
      </c>
      <c r="U1058" s="63" t="s">
        <v>445</v>
      </c>
      <c r="V1058" s="81">
        <v>43125</v>
      </c>
      <c r="W1058" s="199">
        <v>5</v>
      </c>
      <c r="X1058" s="85" t="s">
        <v>2878</v>
      </c>
      <c r="Y1058" s="81">
        <v>43103</v>
      </c>
      <c r="Z1058" s="196">
        <v>26265000</v>
      </c>
      <c r="AA1058" s="84"/>
      <c r="AB1058" s="63">
        <v>158</v>
      </c>
      <c r="AC1058" s="81">
        <v>43105</v>
      </c>
      <c r="AD1058" s="196">
        <v>26265000</v>
      </c>
      <c r="AE1058" s="63"/>
      <c r="AF1058" s="63">
        <v>2511</v>
      </c>
      <c r="AG1058" s="81">
        <v>43300</v>
      </c>
      <c r="AH1058" s="196">
        <v>26265000</v>
      </c>
      <c r="AI1058" s="84" t="s">
        <v>2879</v>
      </c>
      <c r="AJ1058" s="63">
        <v>447</v>
      </c>
      <c r="AK1058" s="63"/>
      <c r="AL1058" s="196">
        <v>26265000</v>
      </c>
      <c r="AM1058" s="196">
        <f>+VLOOKUP(AF1058,'[2]CRP a 31 Agosto de 2018'!$J$8:$V$2956,13,0)</f>
        <v>2101200</v>
      </c>
      <c r="AN1058" s="196">
        <f>+AL1058-AM1058</f>
        <v>24163800</v>
      </c>
      <c r="AO1058" s="63"/>
      <c r="AP1058" s="63"/>
      <c r="AQ1058" s="63"/>
      <c r="AR1058" s="81">
        <v>43102</v>
      </c>
      <c r="AS1058" s="63" t="s">
        <v>2848</v>
      </c>
      <c r="AT1058" s="81">
        <v>43102</v>
      </c>
      <c r="AU1058" s="63" t="s">
        <v>2855</v>
      </c>
      <c r="AV1058" s="63"/>
      <c r="AW1058" s="63"/>
    </row>
    <row r="1059" spans="1:49" ht="409.6" thickTop="1" thickBot="1" x14ac:dyDescent="0.3">
      <c r="A1059" s="193">
        <v>11</v>
      </c>
      <c r="B1059" s="85" t="s">
        <v>2880</v>
      </c>
      <c r="C1059" s="105" t="s">
        <v>2834</v>
      </c>
      <c r="D1059" s="63" t="s">
        <v>714</v>
      </c>
      <c r="E1059" s="106" t="s">
        <v>2845</v>
      </c>
      <c r="F1059" s="63" t="s">
        <v>52</v>
      </c>
      <c r="G1059" s="63" t="s">
        <v>53</v>
      </c>
      <c r="H1059" s="111" t="s">
        <v>733</v>
      </c>
      <c r="I1059" s="63" t="s">
        <v>55</v>
      </c>
      <c r="J1059" s="106" t="s">
        <v>56</v>
      </c>
      <c r="K1059" s="106">
        <v>801116</v>
      </c>
      <c r="L1059" s="106" t="s">
        <v>2836</v>
      </c>
      <c r="M1059" s="106" t="s">
        <v>2837</v>
      </c>
      <c r="N1059" s="106" t="s">
        <v>2838</v>
      </c>
      <c r="O1059" s="106" t="s">
        <v>2839</v>
      </c>
      <c r="P1059" s="107" t="s">
        <v>2869</v>
      </c>
      <c r="Q1059" s="197">
        <v>3399000</v>
      </c>
      <c r="R1059" s="63">
        <v>1</v>
      </c>
      <c r="S1059" s="198">
        <v>37389000</v>
      </c>
      <c r="T1059" s="112" t="s">
        <v>888</v>
      </c>
      <c r="U1059" s="63" t="s">
        <v>445</v>
      </c>
      <c r="V1059" s="81">
        <v>43125</v>
      </c>
      <c r="W1059" s="199">
        <v>11</v>
      </c>
      <c r="X1059" s="85" t="s">
        <v>2881</v>
      </c>
      <c r="Y1059" s="81">
        <v>43103</v>
      </c>
      <c r="Z1059" s="196">
        <v>37389000</v>
      </c>
      <c r="AA1059" s="84"/>
      <c r="AB1059" s="63">
        <v>159</v>
      </c>
      <c r="AC1059" s="81">
        <v>43105</v>
      </c>
      <c r="AD1059" s="196">
        <v>37389000</v>
      </c>
      <c r="AE1059" s="63"/>
      <c r="AF1059" s="63">
        <v>156</v>
      </c>
      <c r="AG1059" s="81">
        <v>43118</v>
      </c>
      <c r="AH1059" s="196">
        <v>37389000</v>
      </c>
      <c r="AI1059" s="84" t="s">
        <v>2882</v>
      </c>
      <c r="AJ1059" s="63">
        <v>128</v>
      </c>
      <c r="AK1059" s="63"/>
      <c r="AL1059" s="196">
        <v>37389000</v>
      </c>
      <c r="AM1059" s="196">
        <f>+VLOOKUP(AF1059,'[2]CRP a 31 Agosto de 2018'!$J$8:$V$2956,13,0)</f>
        <v>21866900</v>
      </c>
      <c r="AN1059" s="196">
        <f>+AL1059-AM1059</f>
        <v>15522100</v>
      </c>
      <c r="AO1059" s="63"/>
      <c r="AP1059" s="63"/>
      <c r="AQ1059" s="63"/>
      <c r="AR1059" s="81">
        <v>43102</v>
      </c>
      <c r="AS1059" s="63" t="s">
        <v>2848</v>
      </c>
      <c r="AT1059" s="81">
        <v>43102</v>
      </c>
      <c r="AU1059" s="63" t="s">
        <v>2855</v>
      </c>
      <c r="AV1059" s="63"/>
      <c r="AW1059" s="63"/>
    </row>
    <row r="1060" spans="1:49" ht="409.6" thickTop="1" thickBot="1" x14ac:dyDescent="0.3">
      <c r="A1060" s="193">
        <v>12</v>
      </c>
      <c r="B1060" s="85" t="s">
        <v>2883</v>
      </c>
      <c r="C1060" s="105" t="s">
        <v>2834</v>
      </c>
      <c r="D1060" s="63" t="s">
        <v>714</v>
      </c>
      <c r="E1060" s="106" t="s">
        <v>2845</v>
      </c>
      <c r="F1060" s="63" t="s">
        <v>52</v>
      </c>
      <c r="G1060" s="63" t="s">
        <v>53</v>
      </c>
      <c r="H1060" s="111" t="s">
        <v>733</v>
      </c>
      <c r="I1060" s="63" t="s">
        <v>55</v>
      </c>
      <c r="J1060" s="106" t="s">
        <v>56</v>
      </c>
      <c r="K1060" s="106">
        <v>801116</v>
      </c>
      <c r="L1060" s="106" t="s">
        <v>2836</v>
      </c>
      <c r="M1060" s="106" t="s">
        <v>2837</v>
      </c>
      <c r="N1060" s="106" t="s">
        <v>2838</v>
      </c>
      <c r="O1060" s="106" t="s">
        <v>2839</v>
      </c>
      <c r="P1060" s="107" t="s">
        <v>2884</v>
      </c>
      <c r="Q1060" s="197">
        <v>3038500</v>
      </c>
      <c r="R1060" s="63">
        <v>1</v>
      </c>
      <c r="S1060" s="198">
        <v>33423500</v>
      </c>
      <c r="T1060" s="112" t="s">
        <v>888</v>
      </c>
      <c r="U1060" s="63" t="s">
        <v>445</v>
      </c>
      <c r="V1060" s="81">
        <v>43125</v>
      </c>
      <c r="W1060" s="199">
        <v>11</v>
      </c>
      <c r="X1060" s="85" t="s">
        <v>2885</v>
      </c>
      <c r="Y1060" s="81">
        <v>43103</v>
      </c>
      <c r="Z1060" s="196">
        <v>33423500</v>
      </c>
      <c r="AA1060" s="84"/>
      <c r="AB1060" s="63">
        <v>160</v>
      </c>
      <c r="AC1060" s="81">
        <v>43105</v>
      </c>
      <c r="AD1060" s="196">
        <v>33423500</v>
      </c>
      <c r="AE1060" s="63"/>
      <c r="AF1060" s="63">
        <v>31</v>
      </c>
      <c r="AG1060" s="81">
        <v>43116</v>
      </c>
      <c r="AH1060" s="196">
        <v>33423500</v>
      </c>
      <c r="AI1060" s="84" t="s">
        <v>2886</v>
      </c>
      <c r="AJ1060" s="63">
        <v>16</v>
      </c>
      <c r="AK1060" s="63"/>
      <c r="AL1060" s="196">
        <f t="shared" ref="AL1060:AL1069" si="116">AH1060</f>
        <v>33423500</v>
      </c>
      <c r="AM1060" s="196">
        <f>+VLOOKUP(AF1060,'[2]CRP a 31 Agosto de 2018'!$J$8:$V$2956,13,0)</f>
        <v>19750250</v>
      </c>
      <c r="AN1060" s="196">
        <f t="shared" ref="AN1060:AN1069" si="117">AL1060-AM1060</f>
        <v>13673250</v>
      </c>
      <c r="AO1060" s="63"/>
      <c r="AP1060" s="63"/>
      <c r="AQ1060" s="63"/>
      <c r="AR1060" s="81">
        <v>43102</v>
      </c>
      <c r="AS1060" s="63" t="s">
        <v>2848</v>
      </c>
      <c r="AT1060" s="81">
        <v>43102</v>
      </c>
      <c r="AU1060" s="63" t="s">
        <v>2855</v>
      </c>
      <c r="AV1060" s="63"/>
      <c r="AW1060" s="63"/>
    </row>
    <row r="1061" spans="1:49" ht="409.6" thickTop="1" thickBot="1" x14ac:dyDescent="0.3">
      <c r="A1061" s="193">
        <v>13</v>
      </c>
      <c r="B1061" s="85" t="s">
        <v>2887</v>
      </c>
      <c r="C1061" s="105" t="s">
        <v>2834</v>
      </c>
      <c r="D1061" s="63" t="s">
        <v>714</v>
      </c>
      <c r="E1061" s="106" t="s">
        <v>2845</v>
      </c>
      <c r="F1061" s="63" t="s">
        <v>52</v>
      </c>
      <c r="G1061" s="63" t="s">
        <v>53</v>
      </c>
      <c r="H1061" s="111" t="s">
        <v>733</v>
      </c>
      <c r="I1061" s="63" t="s">
        <v>55</v>
      </c>
      <c r="J1061" s="106" t="s">
        <v>56</v>
      </c>
      <c r="K1061" s="106">
        <v>801116</v>
      </c>
      <c r="L1061" s="106" t="s">
        <v>2836</v>
      </c>
      <c r="M1061" s="106" t="s">
        <v>2837</v>
      </c>
      <c r="N1061" s="106" t="s">
        <v>2838</v>
      </c>
      <c r="O1061" s="106" t="s">
        <v>2839</v>
      </c>
      <c r="P1061" s="107" t="s">
        <v>2888</v>
      </c>
      <c r="Q1061" s="197">
        <v>3038500</v>
      </c>
      <c r="R1061" s="63">
        <v>1</v>
      </c>
      <c r="S1061" s="198">
        <v>33423500</v>
      </c>
      <c r="T1061" s="112" t="s">
        <v>928</v>
      </c>
      <c r="U1061" s="63" t="s">
        <v>445</v>
      </c>
      <c r="V1061" s="81">
        <v>43125</v>
      </c>
      <c r="W1061" s="199">
        <v>11</v>
      </c>
      <c r="X1061" s="85" t="s">
        <v>2889</v>
      </c>
      <c r="Y1061" s="81">
        <v>43103</v>
      </c>
      <c r="Z1061" s="196">
        <v>33423500</v>
      </c>
      <c r="AA1061" s="84"/>
      <c r="AB1061" s="63">
        <v>161</v>
      </c>
      <c r="AC1061" s="81">
        <v>43105</v>
      </c>
      <c r="AD1061" s="196">
        <v>33423500</v>
      </c>
      <c r="AE1061" s="63"/>
      <c r="AF1061" s="63">
        <v>416</v>
      </c>
      <c r="AG1061" s="81">
        <v>43124</v>
      </c>
      <c r="AH1061" s="196">
        <v>33423500</v>
      </c>
      <c r="AI1061" s="84" t="s">
        <v>2890</v>
      </c>
      <c r="AJ1061" s="63">
        <v>337</v>
      </c>
      <c r="AK1061" s="63"/>
      <c r="AL1061" s="196">
        <f t="shared" si="116"/>
        <v>33423500</v>
      </c>
      <c r="AM1061" s="196">
        <f>+VLOOKUP(AF1061,'[2]CRP a 31 Agosto de 2018'!$J$8:$V$2956,13,0)</f>
        <v>18838700</v>
      </c>
      <c r="AN1061" s="196">
        <f t="shared" si="117"/>
        <v>14584800</v>
      </c>
      <c r="AO1061" s="63"/>
      <c r="AP1061" s="63"/>
      <c r="AQ1061" s="63"/>
      <c r="AR1061" s="81">
        <v>43102</v>
      </c>
      <c r="AS1061" s="63" t="s">
        <v>2848</v>
      </c>
      <c r="AT1061" s="81">
        <v>43102</v>
      </c>
      <c r="AU1061" s="63" t="s">
        <v>2855</v>
      </c>
      <c r="AV1061" s="63"/>
      <c r="AW1061" s="63"/>
    </row>
    <row r="1062" spans="1:49" ht="409.6" thickTop="1" thickBot="1" x14ac:dyDescent="0.3">
      <c r="A1062" s="193">
        <v>14</v>
      </c>
      <c r="B1062" s="85" t="s">
        <v>2891</v>
      </c>
      <c r="C1062" s="105" t="s">
        <v>2834</v>
      </c>
      <c r="D1062" s="63" t="s">
        <v>714</v>
      </c>
      <c r="E1062" s="106" t="s">
        <v>2845</v>
      </c>
      <c r="F1062" s="63" t="s">
        <v>52</v>
      </c>
      <c r="G1062" s="63" t="s">
        <v>53</v>
      </c>
      <c r="H1062" s="111" t="s">
        <v>733</v>
      </c>
      <c r="I1062" s="63" t="s">
        <v>55</v>
      </c>
      <c r="J1062" s="106" t="s">
        <v>56</v>
      </c>
      <c r="K1062" s="106">
        <v>801116</v>
      </c>
      <c r="L1062" s="106" t="s">
        <v>2836</v>
      </c>
      <c r="M1062" s="106" t="s">
        <v>2837</v>
      </c>
      <c r="N1062" s="106" t="s">
        <v>2838</v>
      </c>
      <c r="O1062" s="106" t="s">
        <v>2839</v>
      </c>
      <c r="P1062" s="107" t="s">
        <v>2888</v>
      </c>
      <c r="Q1062" s="197">
        <v>3038500</v>
      </c>
      <c r="R1062" s="63">
        <v>1</v>
      </c>
      <c r="S1062" s="198">
        <v>33423500</v>
      </c>
      <c r="T1062" s="112" t="s">
        <v>928</v>
      </c>
      <c r="U1062" s="63" t="s">
        <v>445</v>
      </c>
      <c r="V1062" s="81">
        <v>43125</v>
      </c>
      <c r="W1062" s="199">
        <v>11</v>
      </c>
      <c r="X1062" s="85" t="s">
        <v>2892</v>
      </c>
      <c r="Y1062" s="81">
        <v>43103</v>
      </c>
      <c r="Z1062" s="196">
        <v>33423500</v>
      </c>
      <c r="AA1062" s="84"/>
      <c r="AB1062" s="63">
        <v>162</v>
      </c>
      <c r="AC1062" s="81">
        <v>43105</v>
      </c>
      <c r="AD1062" s="196">
        <v>33423500</v>
      </c>
      <c r="AE1062" s="63"/>
      <c r="AF1062" s="63">
        <v>211</v>
      </c>
      <c r="AG1062" s="81">
        <v>43118</v>
      </c>
      <c r="AH1062" s="196">
        <v>33423500</v>
      </c>
      <c r="AI1062" s="84" t="s">
        <v>2893</v>
      </c>
      <c r="AJ1062" s="63">
        <v>188</v>
      </c>
      <c r="AK1062" s="63"/>
      <c r="AL1062" s="196">
        <f t="shared" si="116"/>
        <v>33423500</v>
      </c>
      <c r="AM1062" s="196">
        <f>+VLOOKUP(AF1062,'[2]CRP a 31 Agosto de 2018'!$J$8:$V$2956,13,0)</f>
        <v>19446400</v>
      </c>
      <c r="AN1062" s="196">
        <f t="shared" si="117"/>
        <v>13977100</v>
      </c>
      <c r="AO1062" s="63"/>
      <c r="AP1062" s="63"/>
      <c r="AQ1062" s="63"/>
      <c r="AR1062" s="81">
        <v>43102</v>
      </c>
      <c r="AS1062" s="63" t="s">
        <v>2848</v>
      </c>
      <c r="AT1062" s="81">
        <v>43102</v>
      </c>
      <c r="AU1062" s="63" t="s">
        <v>2855</v>
      </c>
      <c r="AV1062" s="63"/>
      <c r="AW1062" s="63"/>
    </row>
    <row r="1063" spans="1:49" ht="409.6" thickTop="1" thickBot="1" x14ac:dyDescent="0.3">
      <c r="A1063" s="193">
        <v>15</v>
      </c>
      <c r="B1063" s="85" t="s">
        <v>2894</v>
      </c>
      <c r="C1063" s="105" t="s">
        <v>2834</v>
      </c>
      <c r="D1063" s="63" t="s">
        <v>714</v>
      </c>
      <c r="E1063" s="106" t="s">
        <v>2845</v>
      </c>
      <c r="F1063" s="63" t="s">
        <v>52</v>
      </c>
      <c r="G1063" s="63" t="s">
        <v>53</v>
      </c>
      <c r="H1063" s="111" t="s">
        <v>733</v>
      </c>
      <c r="I1063" s="63" t="s">
        <v>55</v>
      </c>
      <c r="J1063" s="106" t="s">
        <v>56</v>
      </c>
      <c r="K1063" s="106">
        <v>801116</v>
      </c>
      <c r="L1063" s="106" t="s">
        <v>2836</v>
      </c>
      <c r="M1063" s="106" t="s">
        <v>2837</v>
      </c>
      <c r="N1063" s="106" t="s">
        <v>2838</v>
      </c>
      <c r="O1063" s="106" t="s">
        <v>2839</v>
      </c>
      <c r="P1063" s="107" t="s">
        <v>2895</v>
      </c>
      <c r="Q1063" s="197">
        <v>4120000</v>
      </c>
      <c r="R1063" s="63">
        <v>1</v>
      </c>
      <c r="S1063" s="198">
        <v>45320000</v>
      </c>
      <c r="T1063" s="112" t="s">
        <v>888</v>
      </c>
      <c r="U1063" s="63" t="s">
        <v>445</v>
      </c>
      <c r="V1063" s="81">
        <v>43125</v>
      </c>
      <c r="W1063" s="199">
        <v>11</v>
      </c>
      <c r="X1063" s="85" t="s">
        <v>2896</v>
      </c>
      <c r="Y1063" s="81">
        <v>43103</v>
      </c>
      <c r="Z1063" s="196">
        <v>45320000</v>
      </c>
      <c r="AA1063" s="84"/>
      <c r="AB1063" s="63">
        <v>163</v>
      </c>
      <c r="AC1063" s="81">
        <v>43105</v>
      </c>
      <c r="AD1063" s="196">
        <v>45320000</v>
      </c>
      <c r="AE1063" s="63"/>
      <c r="AF1063" s="63">
        <v>137</v>
      </c>
      <c r="AG1063" s="81">
        <v>43117</v>
      </c>
      <c r="AH1063" s="196">
        <v>45320000</v>
      </c>
      <c r="AI1063" s="84" t="s">
        <v>2897</v>
      </c>
      <c r="AJ1063" s="63">
        <v>145</v>
      </c>
      <c r="AK1063" s="63"/>
      <c r="AL1063" s="196">
        <f t="shared" si="116"/>
        <v>45320000</v>
      </c>
      <c r="AM1063" s="196">
        <f>+VLOOKUP(AF1063,'[2]CRP a 31 Agosto de 2018'!$J$8:$V$2956,13,0)</f>
        <v>26505333</v>
      </c>
      <c r="AN1063" s="196">
        <f t="shared" si="117"/>
        <v>18814667</v>
      </c>
      <c r="AO1063" s="63"/>
      <c r="AP1063" s="63"/>
      <c r="AQ1063" s="63"/>
      <c r="AR1063" s="81">
        <v>43102</v>
      </c>
      <c r="AS1063" s="63" t="s">
        <v>2848</v>
      </c>
      <c r="AT1063" s="81">
        <v>43102</v>
      </c>
      <c r="AU1063" s="63" t="s">
        <v>2855</v>
      </c>
      <c r="AV1063" s="63"/>
      <c r="AW1063" s="63"/>
    </row>
    <row r="1064" spans="1:49" ht="409.6" thickTop="1" thickBot="1" x14ac:dyDescent="0.3">
      <c r="A1064" s="193">
        <v>16</v>
      </c>
      <c r="B1064" s="85" t="s">
        <v>2898</v>
      </c>
      <c r="C1064" s="105" t="s">
        <v>2834</v>
      </c>
      <c r="D1064" s="63" t="s">
        <v>714</v>
      </c>
      <c r="E1064" s="106" t="s">
        <v>2845</v>
      </c>
      <c r="F1064" s="63" t="s">
        <v>52</v>
      </c>
      <c r="G1064" s="63" t="s">
        <v>53</v>
      </c>
      <c r="H1064" s="111" t="s">
        <v>733</v>
      </c>
      <c r="I1064" s="63" t="s">
        <v>55</v>
      </c>
      <c r="J1064" s="106" t="s">
        <v>56</v>
      </c>
      <c r="K1064" s="106">
        <v>801116</v>
      </c>
      <c r="L1064" s="106" t="s">
        <v>2836</v>
      </c>
      <c r="M1064" s="106" t="s">
        <v>2837</v>
      </c>
      <c r="N1064" s="106" t="s">
        <v>2838</v>
      </c>
      <c r="O1064" s="106" t="s">
        <v>2839</v>
      </c>
      <c r="P1064" s="107" t="s">
        <v>2899</v>
      </c>
      <c r="Q1064" s="197">
        <v>3399000</v>
      </c>
      <c r="R1064" s="63">
        <v>1</v>
      </c>
      <c r="S1064" s="198">
        <v>37389000</v>
      </c>
      <c r="T1064" s="112" t="s">
        <v>888</v>
      </c>
      <c r="U1064" s="63" t="s">
        <v>445</v>
      </c>
      <c r="V1064" s="81">
        <v>43125</v>
      </c>
      <c r="W1064" s="199">
        <v>11</v>
      </c>
      <c r="X1064" s="85" t="s">
        <v>2900</v>
      </c>
      <c r="Y1064" s="81">
        <v>43103</v>
      </c>
      <c r="Z1064" s="196">
        <v>37389000</v>
      </c>
      <c r="AA1064" s="84"/>
      <c r="AB1064" s="63">
        <v>164</v>
      </c>
      <c r="AC1064" s="81">
        <v>43105</v>
      </c>
      <c r="AD1064" s="196">
        <v>37389000</v>
      </c>
      <c r="AE1064" s="63"/>
      <c r="AF1064" s="63">
        <v>28</v>
      </c>
      <c r="AG1064" s="81">
        <v>43116</v>
      </c>
      <c r="AH1064" s="196">
        <v>37389000</v>
      </c>
      <c r="AI1064" s="84" t="s">
        <v>2901</v>
      </c>
      <c r="AJ1064" s="63">
        <v>15</v>
      </c>
      <c r="AK1064" s="63"/>
      <c r="AL1064" s="196">
        <f t="shared" si="116"/>
        <v>37389000</v>
      </c>
      <c r="AM1064" s="196">
        <f>+VLOOKUP(AF1064,'[2]CRP a 31 Agosto de 2018'!$J$8:$V$2956,13,0)</f>
        <v>22093500</v>
      </c>
      <c r="AN1064" s="196">
        <f t="shared" si="117"/>
        <v>15295500</v>
      </c>
      <c r="AO1064" s="63"/>
      <c r="AP1064" s="63"/>
      <c r="AQ1064" s="63"/>
      <c r="AR1064" s="81">
        <v>43102</v>
      </c>
      <c r="AS1064" s="63" t="s">
        <v>2848</v>
      </c>
      <c r="AT1064" s="81">
        <v>43102</v>
      </c>
      <c r="AU1064" s="63" t="s">
        <v>2855</v>
      </c>
      <c r="AV1064" s="63"/>
      <c r="AW1064" s="63"/>
    </row>
    <row r="1065" spans="1:49" ht="409.6" thickTop="1" thickBot="1" x14ac:dyDescent="0.3">
      <c r="A1065" s="193">
        <v>17</v>
      </c>
      <c r="B1065" s="85" t="s">
        <v>2902</v>
      </c>
      <c r="C1065" s="105" t="s">
        <v>2834</v>
      </c>
      <c r="D1065" s="63" t="s">
        <v>714</v>
      </c>
      <c r="E1065" s="106" t="s">
        <v>2845</v>
      </c>
      <c r="F1065" s="63" t="s">
        <v>52</v>
      </c>
      <c r="G1065" s="63" t="s">
        <v>53</v>
      </c>
      <c r="H1065" s="111" t="s">
        <v>733</v>
      </c>
      <c r="I1065" s="63" t="s">
        <v>55</v>
      </c>
      <c r="J1065" s="106" t="s">
        <v>56</v>
      </c>
      <c r="K1065" s="106">
        <v>801116</v>
      </c>
      <c r="L1065" s="106" t="s">
        <v>2836</v>
      </c>
      <c r="M1065" s="106" t="s">
        <v>2837</v>
      </c>
      <c r="N1065" s="106" t="s">
        <v>2838</v>
      </c>
      <c r="O1065" s="106" t="s">
        <v>2839</v>
      </c>
      <c r="P1065" s="107" t="s">
        <v>2895</v>
      </c>
      <c r="Q1065" s="197">
        <v>4120000</v>
      </c>
      <c r="R1065" s="63">
        <v>1</v>
      </c>
      <c r="S1065" s="198">
        <v>45320000</v>
      </c>
      <c r="T1065" s="112" t="s">
        <v>888</v>
      </c>
      <c r="U1065" s="63" t="s">
        <v>445</v>
      </c>
      <c r="V1065" s="81">
        <v>43125</v>
      </c>
      <c r="W1065" s="199">
        <v>11</v>
      </c>
      <c r="X1065" s="85" t="s">
        <v>2903</v>
      </c>
      <c r="Y1065" s="81">
        <v>43103</v>
      </c>
      <c r="Z1065" s="196">
        <v>45320000</v>
      </c>
      <c r="AA1065" s="84"/>
      <c r="AB1065" s="63">
        <v>165</v>
      </c>
      <c r="AC1065" s="81">
        <v>43105</v>
      </c>
      <c r="AD1065" s="196">
        <v>45320000</v>
      </c>
      <c r="AE1065" s="63"/>
      <c r="AF1065" s="63">
        <v>200</v>
      </c>
      <c r="AG1065" s="81">
        <v>43118</v>
      </c>
      <c r="AH1065" s="196">
        <v>45320000</v>
      </c>
      <c r="AI1065" s="84" t="s">
        <v>2904</v>
      </c>
      <c r="AJ1065" s="63">
        <v>189</v>
      </c>
      <c r="AK1065" s="63"/>
      <c r="AL1065" s="196">
        <f t="shared" si="116"/>
        <v>45320000</v>
      </c>
      <c r="AM1065" s="196">
        <f>+VLOOKUP(AF1065,'[2]CRP a 31 Agosto de 2018'!$J$8:$V$2956,13,0)</f>
        <v>26368000</v>
      </c>
      <c r="AN1065" s="196">
        <f t="shared" si="117"/>
        <v>18952000</v>
      </c>
      <c r="AO1065" s="63"/>
      <c r="AP1065" s="63"/>
      <c r="AQ1065" s="63"/>
      <c r="AR1065" s="81">
        <v>43102</v>
      </c>
      <c r="AS1065" s="63" t="s">
        <v>2848</v>
      </c>
      <c r="AT1065" s="81">
        <v>43102</v>
      </c>
      <c r="AU1065" s="63" t="s">
        <v>2855</v>
      </c>
      <c r="AV1065" s="63"/>
      <c r="AW1065" s="63"/>
    </row>
    <row r="1066" spans="1:49" ht="409.6" thickTop="1" thickBot="1" x14ac:dyDescent="0.3">
      <c r="A1066" s="193">
        <v>18</v>
      </c>
      <c r="B1066" s="85" t="s">
        <v>2905</v>
      </c>
      <c r="C1066" s="105" t="s">
        <v>2834</v>
      </c>
      <c r="D1066" s="63" t="s">
        <v>714</v>
      </c>
      <c r="E1066" s="106" t="s">
        <v>2845</v>
      </c>
      <c r="F1066" s="63" t="s">
        <v>52</v>
      </c>
      <c r="G1066" s="63" t="s">
        <v>53</v>
      </c>
      <c r="H1066" s="111" t="s">
        <v>733</v>
      </c>
      <c r="I1066" s="63" t="s">
        <v>55</v>
      </c>
      <c r="J1066" s="106" t="s">
        <v>56</v>
      </c>
      <c r="K1066" s="106">
        <v>801116</v>
      </c>
      <c r="L1066" s="106" t="s">
        <v>2836</v>
      </c>
      <c r="M1066" s="106" t="s">
        <v>2837</v>
      </c>
      <c r="N1066" s="106" t="s">
        <v>2838</v>
      </c>
      <c r="O1066" s="106" t="s">
        <v>2839</v>
      </c>
      <c r="P1066" s="107" t="s">
        <v>2906</v>
      </c>
      <c r="Q1066" s="197">
        <v>6180000</v>
      </c>
      <c r="R1066" s="63">
        <v>1</v>
      </c>
      <c r="S1066" s="198">
        <v>67980000</v>
      </c>
      <c r="T1066" s="112" t="s">
        <v>888</v>
      </c>
      <c r="U1066" s="63" t="s">
        <v>445</v>
      </c>
      <c r="V1066" s="81">
        <v>43125</v>
      </c>
      <c r="W1066" s="199">
        <v>11</v>
      </c>
      <c r="X1066" s="85" t="s">
        <v>2907</v>
      </c>
      <c r="Y1066" s="81">
        <v>43103</v>
      </c>
      <c r="Z1066" s="196">
        <v>67980000</v>
      </c>
      <c r="AA1066" s="84"/>
      <c r="AB1066" s="63">
        <v>166</v>
      </c>
      <c r="AC1066" s="81">
        <v>43105</v>
      </c>
      <c r="AD1066" s="196">
        <v>67980000</v>
      </c>
      <c r="AE1066" s="63"/>
      <c r="AF1066" s="63">
        <v>266</v>
      </c>
      <c r="AG1066" s="81">
        <v>43119</v>
      </c>
      <c r="AH1066" s="196">
        <v>67980000</v>
      </c>
      <c r="AI1066" s="84" t="s">
        <v>2908</v>
      </c>
      <c r="AJ1066" s="63">
        <v>236</v>
      </c>
      <c r="AK1066" s="63"/>
      <c r="AL1066" s="196">
        <f t="shared" si="116"/>
        <v>67980000</v>
      </c>
      <c r="AM1066" s="196">
        <f>+VLOOKUP(AF1066,'[2]CRP a 31 Agosto de 2018'!$J$8:$V$2956,13,0)</f>
        <v>38728000</v>
      </c>
      <c r="AN1066" s="196">
        <f t="shared" si="117"/>
        <v>29252000</v>
      </c>
      <c r="AO1066" s="63"/>
      <c r="AP1066" s="63"/>
      <c r="AQ1066" s="63"/>
      <c r="AR1066" s="81">
        <v>43102</v>
      </c>
      <c r="AS1066" s="63" t="s">
        <v>2848</v>
      </c>
      <c r="AT1066" s="81">
        <v>43102</v>
      </c>
      <c r="AU1066" s="63" t="s">
        <v>2855</v>
      </c>
      <c r="AV1066" s="63"/>
      <c r="AW1066" s="63"/>
    </row>
    <row r="1067" spans="1:49" ht="409.6" thickTop="1" thickBot="1" x14ac:dyDescent="0.3">
      <c r="A1067" s="193">
        <v>19</v>
      </c>
      <c r="B1067" s="85" t="s">
        <v>2909</v>
      </c>
      <c r="C1067" s="105" t="s">
        <v>2834</v>
      </c>
      <c r="D1067" s="63" t="s">
        <v>714</v>
      </c>
      <c r="E1067" s="106" t="s">
        <v>2845</v>
      </c>
      <c r="F1067" s="63" t="s">
        <v>52</v>
      </c>
      <c r="G1067" s="63" t="s">
        <v>53</v>
      </c>
      <c r="H1067" s="111" t="s">
        <v>733</v>
      </c>
      <c r="I1067" s="63" t="s">
        <v>55</v>
      </c>
      <c r="J1067" s="106" t="s">
        <v>56</v>
      </c>
      <c r="K1067" s="106">
        <v>801116</v>
      </c>
      <c r="L1067" s="106" t="s">
        <v>2836</v>
      </c>
      <c r="M1067" s="106" t="s">
        <v>2837</v>
      </c>
      <c r="N1067" s="106" t="s">
        <v>2838</v>
      </c>
      <c r="O1067" s="106" t="s">
        <v>2839</v>
      </c>
      <c r="P1067" s="107" t="s">
        <v>2910</v>
      </c>
      <c r="Q1067" s="197">
        <v>2472000</v>
      </c>
      <c r="R1067" s="63">
        <v>1</v>
      </c>
      <c r="S1067" s="198">
        <v>27192000</v>
      </c>
      <c r="T1067" s="112" t="s">
        <v>888</v>
      </c>
      <c r="U1067" s="63" t="s">
        <v>445</v>
      </c>
      <c r="V1067" s="81">
        <v>43125</v>
      </c>
      <c r="W1067" s="199">
        <v>11</v>
      </c>
      <c r="X1067" s="85" t="s">
        <v>2911</v>
      </c>
      <c r="Y1067" s="81">
        <v>43103</v>
      </c>
      <c r="Z1067" s="196">
        <v>27192000</v>
      </c>
      <c r="AA1067" s="84"/>
      <c r="AB1067" s="63">
        <v>167</v>
      </c>
      <c r="AC1067" s="81">
        <v>43105</v>
      </c>
      <c r="AD1067" s="196">
        <v>27192000</v>
      </c>
      <c r="AE1067" s="63"/>
      <c r="AF1067" s="63">
        <v>63</v>
      </c>
      <c r="AG1067" s="81">
        <v>43116</v>
      </c>
      <c r="AH1067" s="196">
        <v>27192000</v>
      </c>
      <c r="AI1067" s="84" t="s">
        <v>2912</v>
      </c>
      <c r="AJ1067" s="63">
        <v>28</v>
      </c>
      <c r="AK1067" s="63"/>
      <c r="AL1067" s="196">
        <f t="shared" si="116"/>
        <v>27192000</v>
      </c>
      <c r="AM1067" s="196">
        <f>+VLOOKUP(AF1067,'[2]CRP a 31 Agosto de 2018'!$J$8:$V$2956,13,0)</f>
        <v>16068000</v>
      </c>
      <c r="AN1067" s="196">
        <f t="shared" si="117"/>
        <v>11124000</v>
      </c>
      <c r="AO1067" s="63"/>
      <c r="AP1067" s="63"/>
      <c r="AQ1067" s="63"/>
      <c r="AR1067" s="81">
        <v>43102</v>
      </c>
      <c r="AS1067" s="63" t="s">
        <v>2848</v>
      </c>
      <c r="AT1067" s="81">
        <v>43102</v>
      </c>
      <c r="AU1067" s="63" t="s">
        <v>2855</v>
      </c>
      <c r="AV1067" s="63"/>
      <c r="AW1067" s="63"/>
    </row>
    <row r="1068" spans="1:49" ht="409.6" thickTop="1" thickBot="1" x14ac:dyDescent="0.3">
      <c r="A1068" s="193">
        <v>20</v>
      </c>
      <c r="B1068" s="85" t="s">
        <v>2913</v>
      </c>
      <c r="C1068" s="105" t="s">
        <v>2834</v>
      </c>
      <c r="D1068" s="63" t="s">
        <v>714</v>
      </c>
      <c r="E1068" s="106" t="s">
        <v>2845</v>
      </c>
      <c r="F1068" s="63" t="s">
        <v>52</v>
      </c>
      <c r="G1068" s="63" t="s">
        <v>53</v>
      </c>
      <c r="H1068" s="111" t="s">
        <v>733</v>
      </c>
      <c r="I1068" s="63" t="s">
        <v>55</v>
      </c>
      <c r="J1068" s="106" t="s">
        <v>56</v>
      </c>
      <c r="K1068" s="106">
        <v>801116</v>
      </c>
      <c r="L1068" s="106" t="s">
        <v>2836</v>
      </c>
      <c r="M1068" s="106" t="s">
        <v>2837</v>
      </c>
      <c r="N1068" s="106" t="s">
        <v>2838</v>
      </c>
      <c r="O1068" s="106" t="s">
        <v>2839</v>
      </c>
      <c r="P1068" s="107" t="s">
        <v>2914</v>
      </c>
      <c r="Q1068" s="197">
        <v>1545000</v>
      </c>
      <c r="R1068" s="63">
        <v>1</v>
      </c>
      <c r="S1068" s="198">
        <v>16995000</v>
      </c>
      <c r="T1068" s="112" t="s">
        <v>928</v>
      </c>
      <c r="U1068" s="63" t="s">
        <v>445</v>
      </c>
      <c r="V1068" s="81">
        <v>43125</v>
      </c>
      <c r="W1068" s="199">
        <v>11</v>
      </c>
      <c r="X1068" s="85" t="s">
        <v>2915</v>
      </c>
      <c r="Y1068" s="81">
        <v>43103</v>
      </c>
      <c r="Z1068" s="196">
        <v>16995000</v>
      </c>
      <c r="AA1068" s="84"/>
      <c r="AB1068" s="63">
        <v>168</v>
      </c>
      <c r="AC1068" s="81">
        <v>43105</v>
      </c>
      <c r="AD1068" s="196">
        <v>16995000</v>
      </c>
      <c r="AE1068" s="63"/>
      <c r="AF1068" s="63">
        <v>108</v>
      </c>
      <c r="AG1068" s="81">
        <v>43116</v>
      </c>
      <c r="AH1068" s="196">
        <v>16995000</v>
      </c>
      <c r="AI1068" s="84" t="s">
        <v>2916</v>
      </c>
      <c r="AJ1068" s="63">
        <v>71</v>
      </c>
      <c r="AK1068" s="63"/>
      <c r="AL1068" s="196">
        <f t="shared" si="116"/>
        <v>16995000</v>
      </c>
      <c r="AM1068" s="196">
        <f>+VLOOKUP(AF1068,'[2]CRP a 31 Agosto de 2018'!$J$8:$V$2956,13,0)</f>
        <v>8446000</v>
      </c>
      <c r="AN1068" s="196">
        <f t="shared" si="117"/>
        <v>8549000</v>
      </c>
      <c r="AO1068" s="63"/>
      <c r="AP1068" s="63"/>
      <c r="AQ1068" s="63"/>
      <c r="AR1068" s="81">
        <v>43102</v>
      </c>
      <c r="AS1068" s="63" t="s">
        <v>2848</v>
      </c>
      <c r="AT1068" s="81">
        <v>43102</v>
      </c>
      <c r="AU1068" s="63" t="s">
        <v>2855</v>
      </c>
      <c r="AV1068" s="63"/>
      <c r="AW1068" s="63"/>
    </row>
    <row r="1069" spans="1:49" ht="409.6" thickTop="1" thickBot="1" x14ac:dyDescent="0.3">
      <c r="A1069" s="193">
        <v>21</v>
      </c>
      <c r="B1069" s="85" t="s">
        <v>2917</v>
      </c>
      <c r="C1069" s="105" t="s">
        <v>2834</v>
      </c>
      <c r="D1069" s="63" t="s">
        <v>714</v>
      </c>
      <c r="E1069" s="106" t="s">
        <v>2845</v>
      </c>
      <c r="F1069" s="63" t="s">
        <v>52</v>
      </c>
      <c r="G1069" s="63" t="s">
        <v>53</v>
      </c>
      <c r="H1069" s="111" t="s">
        <v>733</v>
      </c>
      <c r="I1069" s="63" t="s">
        <v>55</v>
      </c>
      <c r="J1069" s="106" t="s">
        <v>56</v>
      </c>
      <c r="K1069" s="106">
        <v>801116</v>
      </c>
      <c r="L1069" s="106" t="s">
        <v>2836</v>
      </c>
      <c r="M1069" s="106" t="s">
        <v>2837</v>
      </c>
      <c r="N1069" s="106" t="s">
        <v>2838</v>
      </c>
      <c r="O1069" s="106" t="s">
        <v>2839</v>
      </c>
      <c r="P1069" s="107" t="s">
        <v>2914</v>
      </c>
      <c r="Q1069" s="197">
        <v>1545000</v>
      </c>
      <c r="R1069" s="63">
        <v>1</v>
      </c>
      <c r="S1069" s="198">
        <v>16995000</v>
      </c>
      <c r="T1069" s="112" t="s">
        <v>928</v>
      </c>
      <c r="U1069" s="63" t="s">
        <v>445</v>
      </c>
      <c r="V1069" s="81">
        <v>43125</v>
      </c>
      <c r="W1069" s="199">
        <v>11</v>
      </c>
      <c r="X1069" s="85" t="s">
        <v>2918</v>
      </c>
      <c r="Y1069" s="81">
        <v>43103</v>
      </c>
      <c r="Z1069" s="196">
        <v>16995000</v>
      </c>
      <c r="AA1069" s="84"/>
      <c r="AB1069" s="63">
        <v>169</v>
      </c>
      <c r="AC1069" s="81">
        <v>43105</v>
      </c>
      <c r="AD1069" s="196">
        <v>16995000</v>
      </c>
      <c r="AE1069" s="63"/>
      <c r="AF1069" s="63">
        <v>78</v>
      </c>
      <c r="AG1069" s="81">
        <v>43116</v>
      </c>
      <c r="AH1069" s="196">
        <v>16995000</v>
      </c>
      <c r="AI1069" s="84" t="s">
        <v>2919</v>
      </c>
      <c r="AJ1069" s="63">
        <v>67</v>
      </c>
      <c r="AK1069" s="63"/>
      <c r="AL1069" s="196">
        <f t="shared" si="116"/>
        <v>16995000</v>
      </c>
      <c r="AM1069" s="196">
        <f>+VLOOKUP(AF1069,'[2]CRP a 31 Agosto de 2018'!$J$8:$V$2956,13,0)</f>
        <v>6901000</v>
      </c>
      <c r="AN1069" s="196">
        <f t="shared" si="117"/>
        <v>10094000</v>
      </c>
      <c r="AO1069" s="63"/>
      <c r="AP1069" s="63"/>
      <c r="AQ1069" s="63"/>
      <c r="AR1069" s="81">
        <v>43102</v>
      </c>
      <c r="AS1069" s="63" t="s">
        <v>2848</v>
      </c>
      <c r="AT1069" s="81">
        <v>43102</v>
      </c>
      <c r="AU1069" s="63" t="s">
        <v>2855</v>
      </c>
      <c r="AV1069" s="63"/>
      <c r="AW1069" s="63"/>
    </row>
    <row r="1070" spans="1:49" ht="300.75" thickTop="1" thickBot="1" x14ac:dyDescent="0.3">
      <c r="A1070" s="193">
        <v>22</v>
      </c>
      <c r="B1070" s="85" t="s">
        <v>2920</v>
      </c>
      <c r="C1070" s="105" t="s">
        <v>2834</v>
      </c>
      <c r="D1070" s="63" t="s">
        <v>714</v>
      </c>
      <c r="E1070" s="106" t="s">
        <v>2843</v>
      </c>
      <c r="F1070" s="63" t="s">
        <v>52</v>
      </c>
      <c r="G1070" s="63" t="s">
        <v>53</v>
      </c>
      <c r="H1070" s="111" t="s">
        <v>733</v>
      </c>
      <c r="I1070" s="63" t="s">
        <v>55</v>
      </c>
      <c r="J1070" s="106" t="s">
        <v>56</v>
      </c>
      <c r="K1070" s="106">
        <v>801116</v>
      </c>
      <c r="L1070" s="106" t="s">
        <v>2836</v>
      </c>
      <c r="M1070" s="106" t="s">
        <v>2837</v>
      </c>
      <c r="N1070" s="106" t="s">
        <v>2838</v>
      </c>
      <c r="O1070" s="106" t="s">
        <v>2839</v>
      </c>
      <c r="P1070" s="107" t="s">
        <v>2921</v>
      </c>
      <c r="Q1070" s="197">
        <v>1500000</v>
      </c>
      <c r="R1070" s="63">
        <v>1</v>
      </c>
      <c r="S1070" s="198">
        <v>3000000</v>
      </c>
      <c r="T1070" s="112" t="s">
        <v>928</v>
      </c>
      <c r="U1070" s="63" t="s">
        <v>445</v>
      </c>
      <c r="V1070" s="81">
        <v>43125</v>
      </c>
      <c r="W1070" s="199">
        <v>2</v>
      </c>
      <c r="X1070" s="85" t="s">
        <v>2922</v>
      </c>
      <c r="Y1070" s="81">
        <v>43103</v>
      </c>
      <c r="Z1070" s="196">
        <v>3000000</v>
      </c>
      <c r="AA1070" s="84"/>
      <c r="AB1070" s="63">
        <v>170</v>
      </c>
      <c r="AC1070" s="81">
        <v>43105</v>
      </c>
      <c r="AD1070" s="196">
        <v>3000000</v>
      </c>
      <c r="AE1070" s="63"/>
      <c r="AF1070" s="63">
        <v>1776</v>
      </c>
      <c r="AG1070" s="81">
        <v>43202</v>
      </c>
      <c r="AH1070" s="196">
        <v>3000000</v>
      </c>
      <c r="AI1070" s="84" t="s">
        <v>2923</v>
      </c>
      <c r="AJ1070" s="63">
        <v>145</v>
      </c>
      <c r="AK1070" s="63"/>
      <c r="AL1070" s="196">
        <v>3000000</v>
      </c>
      <c r="AM1070" s="196">
        <f>+VLOOKUP(AF1070,'[2]CRP a 31 Agosto de 2018'!$J$8:$V$2956,13,0)</f>
        <v>3000000</v>
      </c>
      <c r="AN1070" s="196">
        <f>+AL1070-AM1070</f>
        <v>0</v>
      </c>
      <c r="AO1070" s="63"/>
      <c r="AP1070" s="63"/>
      <c r="AQ1070" s="63"/>
      <c r="AR1070" s="81">
        <v>43102</v>
      </c>
      <c r="AS1070" s="63" t="s">
        <v>2848</v>
      </c>
      <c r="AT1070" s="81">
        <v>43102</v>
      </c>
      <c r="AU1070" s="63" t="s">
        <v>2924</v>
      </c>
      <c r="AV1070" s="63"/>
      <c r="AW1070" s="63"/>
    </row>
    <row r="1071" spans="1:49" ht="300.75" thickTop="1" thickBot="1" x14ac:dyDescent="0.3">
      <c r="A1071" s="193">
        <v>23</v>
      </c>
      <c r="B1071" s="85" t="s">
        <v>2925</v>
      </c>
      <c r="C1071" s="105" t="s">
        <v>2834</v>
      </c>
      <c r="D1071" s="63" t="s">
        <v>714</v>
      </c>
      <c r="E1071" s="106" t="s">
        <v>2843</v>
      </c>
      <c r="F1071" s="63" t="s">
        <v>52</v>
      </c>
      <c r="G1071" s="63" t="s">
        <v>53</v>
      </c>
      <c r="H1071" s="111" t="s">
        <v>733</v>
      </c>
      <c r="I1071" s="63" t="s">
        <v>55</v>
      </c>
      <c r="J1071" s="106" t="s">
        <v>56</v>
      </c>
      <c r="K1071" s="106">
        <v>801116</v>
      </c>
      <c r="L1071" s="106" t="s">
        <v>2836</v>
      </c>
      <c r="M1071" s="106" t="s">
        <v>2837</v>
      </c>
      <c r="N1071" s="106" t="s">
        <v>2838</v>
      </c>
      <c r="O1071" s="106" t="s">
        <v>2839</v>
      </c>
      <c r="P1071" s="107" t="s">
        <v>2914</v>
      </c>
      <c r="Q1071" s="197">
        <v>1545000</v>
      </c>
      <c r="R1071" s="63">
        <v>1</v>
      </c>
      <c r="S1071" s="198">
        <f>9270000-1545000</f>
        <v>7725000</v>
      </c>
      <c r="T1071" s="112" t="s">
        <v>928</v>
      </c>
      <c r="U1071" s="63" t="s">
        <v>445</v>
      </c>
      <c r="V1071" s="81">
        <v>43125</v>
      </c>
      <c r="W1071" s="199">
        <v>5</v>
      </c>
      <c r="X1071" s="85" t="s">
        <v>2926</v>
      </c>
      <c r="Y1071" s="81">
        <v>43277</v>
      </c>
      <c r="Z1071" s="196">
        <v>7725000</v>
      </c>
      <c r="AA1071" s="84"/>
      <c r="AB1071" s="63">
        <v>929</v>
      </c>
      <c r="AC1071" s="81">
        <v>43279</v>
      </c>
      <c r="AD1071" s="196">
        <v>7725000</v>
      </c>
      <c r="AE1071" s="63"/>
      <c r="AF1071" s="63">
        <v>2512</v>
      </c>
      <c r="AG1071" s="81">
        <v>43300</v>
      </c>
      <c r="AH1071" s="196">
        <v>7725000</v>
      </c>
      <c r="AI1071" s="84" t="s">
        <v>2927</v>
      </c>
      <c r="AJ1071" s="63">
        <v>449</v>
      </c>
      <c r="AK1071" s="63"/>
      <c r="AL1071" s="196">
        <v>7725000</v>
      </c>
      <c r="AM1071" s="196">
        <f>+VLOOKUP(AF1071,'[2]CRP a 31 Agosto de 2018'!$J$8:$V$2956,13,0)</f>
        <v>618000</v>
      </c>
      <c r="AN1071" s="196">
        <f>+AL1071-AM1071</f>
        <v>7107000</v>
      </c>
      <c r="AO1071" s="63"/>
      <c r="AP1071" s="63"/>
      <c r="AQ1071" s="63"/>
      <c r="AR1071" s="63"/>
      <c r="AS1071" s="63"/>
      <c r="AT1071" s="63"/>
      <c r="AU1071" s="63"/>
      <c r="AV1071" s="63"/>
      <c r="AW1071" s="63"/>
    </row>
    <row r="1072" spans="1:49" ht="409.6" thickTop="1" thickBot="1" x14ac:dyDescent="0.3">
      <c r="A1072" s="193">
        <v>24</v>
      </c>
      <c r="B1072" s="85" t="s">
        <v>2928</v>
      </c>
      <c r="C1072" s="105" t="s">
        <v>2834</v>
      </c>
      <c r="D1072" s="63" t="s">
        <v>714</v>
      </c>
      <c r="E1072" s="106" t="s">
        <v>2845</v>
      </c>
      <c r="F1072" s="63" t="s">
        <v>52</v>
      </c>
      <c r="G1072" s="63" t="s">
        <v>53</v>
      </c>
      <c r="H1072" s="111" t="s">
        <v>733</v>
      </c>
      <c r="I1072" s="63" t="s">
        <v>55</v>
      </c>
      <c r="J1072" s="106" t="s">
        <v>56</v>
      </c>
      <c r="K1072" s="106">
        <v>801116</v>
      </c>
      <c r="L1072" s="106" t="s">
        <v>2836</v>
      </c>
      <c r="M1072" s="106" t="s">
        <v>2837</v>
      </c>
      <c r="N1072" s="106" t="s">
        <v>2838</v>
      </c>
      <c r="O1072" s="106" t="s">
        <v>2839</v>
      </c>
      <c r="P1072" s="107" t="s">
        <v>2910</v>
      </c>
      <c r="Q1072" s="197">
        <v>3038500</v>
      </c>
      <c r="R1072" s="63">
        <v>1</v>
      </c>
      <c r="S1072" s="198">
        <v>33423500</v>
      </c>
      <c r="T1072" s="112" t="s">
        <v>928</v>
      </c>
      <c r="U1072" s="63" t="s">
        <v>445</v>
      </c>
      <c r="V1072" s="81">
        <v>43125</v>
      </c>
      <c r="W1072" s="199">
        <v>11</v>
      </c>
      <c r="X1072" s="85" t="s">
        <v>2929</v>
      </c>
      <c r="Y1072" s="81">
        <v>43103</v>
      </c>
      <c r="Z1072" s="196">
        <v>33423500</v>
      </c>
      <c r="AA1072" s="84"/>
      <c r="AB1072" s="63">
        <v>171</v>
      </c>
      <c r="AC1072" s="81">
        <v>43105</v>
      </c>
      <c r="AD1072" s="196">
        <v>33423500</v>
      </c>
      <c r="AE1072" s="63"/>
      <c r="AF1072" s="63">
        <v>7</v>
      </c>
      <c r="AG1072" s="81">
        <v>43112</v>
      </c>
      <c r="AH1072" s="196">
        <v>33423500</v>
      </c>
      <c r="AI1072" s="84" t="s">
        <v>2930</v>
      </c>
      <c r="AJ1072" s="63">
        <v>3</v>
      </c>
      <c r="AK1072" s="63"/>
      <c r="AL1072" s="196">
        <f>AH1072</f>
        <v>33423500</v>
      </c>
      <c r="AM1072" s="196">
        <f>+VLOOKUP(AF1072,'[2]CRP a 31 Agosto de 2018'!$J$8:$V$2956,13,0)</f>
        <v>20155383</v>
      </c>
      <c r="AN1072" s="196">
        <f>AL1072-AM1072</f>
        <v>13268117</v>
      </c>
      <c r="AO1072" s="63"/>
      <c r="AP1072" s="63"/>
      <c r="AQ1072" s="63"/>
      <c r="AR1072" s="81">
        <v>43102</v>
      </c>
      <c r="AS1072" s="63" t="s">
        <v>2848</v>
      </c>
      <c r="AT1072" s="81">
        <v>43102</v>
      </c>
      <c r="AU1072" s="63" t="s">
        <v>2855</v>
      </c>
      <c r="AV1072" s="63"/>
      <c r="AW1072" s="63"/>
    </row>
    <row r="1073" spans="1:49" ht="409.6" thickTop="1" thickBot="1" x14ac:dyDescent="0.3">
      <c r="A1073" s="193">
        <v>25</v>
      </c>
      <c r="B1073" s="85" t="s">
        <v>2931</v>
      </c>
      <c r="C1073" s="105" t="s">
        <v>2834</v>
      </c>
      <c r="D1073" s="63" t="s">
        <v>714</v>
      </c>
      <c r="E1073" s="106" t="s">
        <v>2845</v>
      </c>
      <c r="F1073" s="63" t="s">
        <v>52</v>
      </c>
      <c r="G1073" s="63" t="s">
        <v>53</v>
      </c>
      <c r="H1073" s="111" t="s">
        <v>733</v>
      </c>
      <c r="I1073" s="63" t="s">
        <v>55</v>
      </c>
      <c r="J1073" s="106" t="s">
        <v>56</v>
      </c>
      <c r="K1073" s="106">
        <v>801116</v>
      </c>
      <c r="L1073" s="106" t="s">
        <v>2836</v>
      </c>
      <c r="M1073" s="106" t="s">
        <v>2837</v>
      </c>
      <c r="N1073" s="106" t="s">
        <v>2838</v>
      </c>
      <c r="O1073" s="106" t="s">
        <v>2839</v>
      </c>
      <c r="P1073" s="107" t="s">
        <v>2910</v>
      </c>
      <c r="Q1073" s="197">
        <v>2472000</v>
      </c>
      <c r="R1073" s="63">
        <v>1</v>
      </c>
      <c r="S1073" s="198">
        <v>27192000</v>
      </c>
      <c r="T1073" s="112" t="s">
        <v>928</v>
      </c>
      <c r="U1073" s="63" t="s">
        <v>445</v>
      </c>
      <c r="V1073" s="81">
        <v>43125</v>
      </c>
      <c r="W1073" s="199">
        <v>11</v>
      </c>
      <c r="X1073" s="85" t="s">
        <v>2932</v>
      </c>
      <c r="Y1073" s="81">
        <v>43103</v>
      </c>
      <c r="Z1073" s="196">
        <v>27192000</v>
      </c>
      <c r="AA1073" s="84"/>
      <c r="AB1073" s="63">
        <v>172</v>
      </c>
      <c r="AC1073" s="81">
        <v>43105</v>
      </c>
      <c r="AD1073" s="196">
        <v>27192000</v>
      </c>
      <c r="AE1073" s="63"/>
      <c r="AF1073" s="63">
        <v>399</v>
      </c>
      <c r="AG1073" s="81">
        <v>43124</v>
      </c>
      <c r="AH1073" s="196">
        <v>27192000</v>
      </c>
      <c r="AI1073" s="84" t="s">
        <v>2933</v>
      </c>
      <c r="AJ1073" s="63">
        <v>320</v>
      </c>
      <c r="AK1073" s="63"/>
      <c r="AL1073" s="196">
        <f t="shared" ref="AL1073:AL1082" si="118">AH1073</f>
        <v>27192000</v>
      </c>
      <c r="AM1073" s="196">
        <f>+VLOOKUP(AF1073,'[2]CRP a 31 Agosto de 2018'!$J$8:$V$2956,13,0)</f>
        <v>15408800</v>
      </c>
      <c r="AN1073" s="196">
        <f>AL1073-AM1073</f>
        <v>11783200</v>
      </c>
      <c r="AO1073" s="63"/>
      <c r="AP1073" s="63"/>
      <c r="AQ1073" s="63"/>
      <c r="AR1073" s="81">
        <v>43102</v>
      </c>
      <c r="AS1073" s="63" t="s">
        <v>2848</v>
      </c>
      <c r="AT1073" s="81">
        <v>43102</v>
      </c>
      <c r="AU1073" s="63" t="s">
        <v>2855</v>
      </c>
      <c r="AV1073" s="63"/>
      <c r="AW1073" s="63"/>
    </row>
    <row r="1074" spans="1:49" ht="357.75" thickTop="1" thickBot="1" x14ac:dyDescent="0.3">
      <c r="A1074" s="193">
        <v>26</v>
      </c>
      <c r="B1074" s="85" t="s">
        <v>2934</v>
      </c>
      <c r="C1074" s="105" t="s">
        <v>2834</v>
      </c>
      <c r="D1074" s="63" t="s">
        <v>714</v>
      </c>
      <c r="E1074" s="106" t="s">
        <v>2835</v>
      </c>
      <c r="F1074" s="63" t="s">
        <v>52</v>
      </c>
      <c r="G1074" s="63" t="s">
        <v>53</v>
      </c>
      <c r="H1074" s="111" t="s">
        <v>733</v>
      </c>
      <c r="I1074" s="63" t="s">
        <v>55</v>
      </c>
      <c r="J1074" s="106" t="s">
        <v>56</v>
      </c>
      <c r="K1074" s="106">
        <v>801116</v>
      </c>
      <c r="L1074" s="106" t="s">
        <v>2836</v>
      </c>
      <c r="M1074" s="106" t="s">
        <v>2837</v>
      </c>
      <c r="N1074" s="106" t="s">
        <v>2838</v>
      </c>
      <c r="O1074" s="106" t="s">
        <v>2839</v>
      </c>
      <c r="P1074" s="107" t="s">
        <v>2914</v>
      </c>
      <c r="Q1074" s="197">
        <v>1545000</v>
      </c>
      <c r="R1074" s="63">
        <v>1</v>
      </c>
      <c r="S1074" s="198">
        <v>16995000</v>
      </c>
      <c r="T1074" s="112" t="s">
        <v>888</v>
      </c>
      <c r="U1074" s="63" t="s">
        <v>445</v>
      </c>
      <c r="V1074" s="81">
        <v>43125</v>
      </c>
      <c r="W1074" s="199">
        <v>11</v>
      </c>
      <c r="X1074" s="85" t="s">
        <v>2935</v>
      </c>
      <c r="Y1074" s="81">
        <v>43103</v>
      </c>
      <c r="Z1074" s="196">
        <v>16995000</v>
      </c>
      <c r="AA1074" s="84"/>
      <c r="AB1074" s="63">
        <v>173</v>
      </c>
      <c r="AC1074" s="81">
        <v>43105</v>
      </c>
      <c r="AD1074" s="196">
        <v>16995000</v>
      </c>
      <c r="AE1074" s="63"/>
      <c r="AF1074" s="63">
        <v>66</v>
      </c>
      <c r="AG1074" s="81">
        <v>43116</v>
      </c>
      <c r="AH1074" s="196">
        <v>16995000</v>
      </c>
      <c r="AI1074" s="84" t="s">
        <v>2936</v>
      </c>
      <c r="AJ1074" s="63">
        <v>31</v>
      </c>
      <c r="AK1074" s="63"/>
      <c r="AL1074" s="196">
        <f t="shared" si="118"/>
        <v>16995000</v>
      </c>
      <c r="AM1074" s="196">
        <f>+VLOOKUP(AF1074,'[2]CRP a 31 Agosto de 2018'!$J$8:$V$2956,13,0)</f>
        <v>10042500</v>
      </c>
      <c r="AN1074" s="196">
        <f>AL1074-AM1074</f>
        <v>6952500</v>
      </c>
      <c r="AO1074" s="63"/>
      <c r="AP1074" s="63"/>
      <c r="AQ1074" s="63"/>
      <c r="AR1074" s="81">
        <v>43102</v>
      </c>
      <c r="AS1074" s="63" t="s">
        <v>2848</v>
      </c>
      <c r="AT1074" s="81">
        <v>43102</v>
      </c>
      <c r="AU1074" s="63" t="s">
        <v>2855</v>
      </c>
      <c r="AV1074" s="63"/>
      <c r="AW1074" s="63"/>
    </row>
    <row r="1075" spans="1:49" ht="409.6" thickTop="1" thickBot="1" x14ac:dyDescent="0.3">
      <c r="A1075" s="193">
        <v>27</v>
      </c>
      <c r="B1075" s="85" t="s">
        <v>2937</v>
      </c>
      <c r="C1075" s="105" t="s">
        <v>2834</v>
      </c>
      <c r="D1075" s="63" t="s">
        <v>714</v>
      </c>
      <c r="E1075" s="106" t="s">
        <v>2845</v>
      </c>
      <c r="F1075" s="63" t="s">
        <v>52</v>
      </c>
      <c r="G1075" s="63" t="s">
        <v>53</v>
      </c>
      <c r="H1075" s="111" t="s">
        <v>733</v>
      </c>
      <c r="I1075" s="63" t="s">
        <v>55</v>
      </c>
      <c r="J1075" s="106" t="s">
        <v>56</v>
      </c>
      <c r="K1075" s="106">
        <v>801116</v>
      </c>
      <c r="L1075" s="106" t="s">
        <v>2836</v>
      </c>
      <c r="M1075" s="106" t="s">
        <v>2837</v>
      </c>
      <c r="N1075" s="106" t="s">
        <v>2838</v>
      </c>
      <c r="O1075" s="106" t="s">
        <v>2839</v>
      </c>
      <c r="P1075" s="107" t="s">
        <v>2938</v>
      </c>
      <c r="Q1075" s="197">
        <v>1545000</v>
      </c>
      <c r="R1075" s="63">
        <v>1</v>
      </c>
      <c r="S1075" s="198">
        <v>16995000</v>
      </c>
      <c r="T1075" s="112" t="s">
        <v>888</v>
      </c>
      <c r="U1075" s="63" t="s">
        <v>445</v>
      </c>
      <c r="V1075" s="81">
        <v>43125</v>
      </c>
      <c r="W1075" s="199">
        <v>11</v>
      </c>
      <c r="X1075" s="85" t="s">
        <v>2939</v>
      </c>
      <c r="Y1075" s="81">
        <v>43103</v>
      </c>
      <c r="Z1075" s="196">
        <v>16995000</v>
      </c>
      <c r="AA1075" s="84"/>
      <c r="AB1075" s="63">
        <v>174</v>
      </c>
      <c r="AC1075" s="81">
        <v>43105</v>
      </c>
      <c r="AD1075" s="196">
        <v>16995000</v>
      </c>
      <c r="AE1075" s="63"/>
      <c r="AF1075" s="63">
        <v>169</v>
      </c>
      <c r="AG1075" s="81">
        <v>43118</v>
      </c>
      <c r="AH1075" s="196">
        <v>16995000</v>
      </c>
      <c r="AI1075" s="84" t="s">
        <v>2940</v>
      </c>
      <c r="AJ1075" s="63">
        <v>140</v>
      </c>
      <c r="AK1075" s="63"/>
      <c r="AL1075" s="196">
        <f t="shared" si="118"/>
        <v>16995000</v>
      </c>
      <c r="AM1075" s="196">
        <f>+VLOOKUP(AF1075,'[2]CRP a 31 Agosto de 2018'!$J$8:$V$2956,13,0)</f>
        <v>9888000</v>
      </c>
      <c r="AN1075" s="196">
        <f>AL1075-AM1075</f>
        <v>7107000</v>
      </c>
      <c r="AO1075" s="63"/>
      <c r="AP1075" s="63"/>
      <c r="AQ1075" s="63"/>
      <c r="AR1075" s="81">
        <v>43102</v>
      </c>
      <c r="AS1075" s="63" t="s">
        <v>2848</v>
      </c>
      <c r="AT1075" s="81">
        <v>43102</v>
      </c>
      <c r="AU1075" s="63" t="s">
        <v>2855</v>
      </c>
      <c r="AV1075" s="63"/>
      <c r="AW1075" s="63"/>
    </row>
    <row r="1076" spans="1:49" ht="409.6" thickTop="1" thickBot="1" x14ac:dyDescent="0.3">
      <c r="A1076" s="193">
        <v>28</v>
      </c>
      <c r="B1076" s="85" t="s">
        <v>2941</v>
      </c>
      <c r="C1076" s="105" t="s">
        <v>2834</v>
      </c>
      <c r="D1076" s="63" t="s">
        <v>714</v>
      </c>
      <c r="E1076" s="106" t="s">
        <v>2845</v>
      </c>
      <c r="F1076" s="63" t="s">
        <v>52</v>
      </c>
      <c r="G1076" s="63" t="s">
        <v>53</v>
      </c>
      <c r="H1076" s="111" t="s">
        <v>733</v>
      </c>
      <c r="I1076" s="63" t="s">
        <v>55</v>
      </c>
      <c r="J1076" s="106" t="s">
        <v>56</v>
      </c>
      <c r="K1076" s="106">
        <v>801116</v>
      </c>
      <c r="L1076" s="106" t="s">
        <v>2836</v>
      </c>
      <c r="M1076" s="106" t="s">
        <v>2837</v>
      </c>
      <c r="N1076" s="106" t="s">
        <v>2838</v>
      </c>
      <c r="O1076" s="106" t="s">
        <v>2839</v>
      </c>
      <c r="P1076" s="107" t="s">
        <v>2942</v>
      </c>
      <c r="Q1076" s="197">
        <v>7210000</v>
      </c>
      <c r="R1076" s="63">
        <v>1</v>
      </c>
      <c r="S1076" s="198">
        <v>79310000</v>
      </c>
      <c r="T1076" s="112" t="s">
        <v>888</v>
      </c>
      <c r="U1076" s="63" t="s">
        <v>445</v>
      </c>
      <c r="V1076" s="81">
        <v>43125</v>
      </c>
      <c r="W1076" s="199">
        <v>11</v>
      </c>
      <c r="X1076" s="85" t="s">
        <v>2943</v>
      </c>
      <c r="Y1076" s="81">
        <v>43103</v>
      </c>
      <c r="Z1076" s="196">
        <v>79310000</v>
      </c>
      <c r="AA1076" s="84"/>
      <c r="AB1076" s="63">
        <v>175</v>
      </c>
      <c r="AC1076" s="81">
        <v>43105</v>
      </c>
      <c r="AD1076" s="196">
        <v>79310000</v>
      </c>
      <c r="AE1076" s="63"/>
      <c r="AF1076" s="63">
        <v>64</v>
      </c>
      <c r="AG1076" s="81">
        <v>43116</v>
      </c>
      <c r="AH1076" s="196">
        <v>79310000</v>
      </c>
      <c r="AI1076" s="84" t="s">
        <v>2944</v>
      </c>
      <c r="AJ1076" s="63">
        <v>29</v>
      </c>
      <c r="AK1076" s="63"/>
      <c r="AL1076" s="196">
        <f t="shared" si="118"/>
        <v>79310000</v>
      </c>
      <c r="AM1076" s="196">
        <f>+VLOOKUP(AF1076,'[2]CRP a 31 Agosto de 2018'!$J$8:$V$2956,13,0)</f>
        <v>43019667</v>
      </c>
      <c r="AN1076" s="196">
        <f>AL1076-AM1076</f>
        <v>36290333</v>
      </c>
      <c r="AO1076" s="63"/>
      <c r="AP1076" s="63"/>
      <c r="AQ1076" s="63"/>
      <c r="AR1076" s="81">
        <v>43102</v>
      </c>
      <c r="AS1076" s="63" t="s">
        <v>2848</v>
      </c>
      <c r="AT1076" s="81">
        <v>43102</v>
      </c>
      <c r="AU1076" s="63" t="s">
        <v>2855</v>
      </c>
      <c r="AV1076" s="63"/>
      <c r="AW1076" s="63"/>
    </row>
    <row r="1077" spans="1:49" ht="357.75" thickTop="1" thickBot="1" x14ac:dyDescent="0.3">
      <c r="A1077" s="193">
        <v>29</v>
      </c>
      <c r="B1077" s="85" t="s">
        <v>2945</v>
      </c>
      <c r="C1077" s="105" t="s">
        <v>2834</v>
      </c>
      <c r="D1077" s="63" t="s">
        <v>714</v>
      </c>
      <c r="E1077" s="106" t="s">
        <v>2835</v>
      </c>
      <c r="F1077" s="63" t="s">
        <v>52</v>
      </c>
      <c r="G1077" s="63" t="s">
        <v>53</v>
      </c>
      <c r="H1077" s="111" t="s">
        <v>733</v>
      </c>
      <c r="I1077" s="63" t="s">
        <v>55</v>
      </c>
      <c r="J1077" s="106" t="s">
        <v>56</v>
      </c>
      <c r="K1077" s="106">
        <v>801116</v>
      </c>
      <c r="L1077" s="106" t="s">
        <v>2836</v>
      </c>
      <c r="M1077" s="106" t="s">
        <v>2837</v>
      </c>
      <c r="N1077" s="106" t="s">
        <v>2838</v>
      </c>
      <c r="O1077" s="106" t="s">
        <v>2839</v>
      </c>
      <c r="P1077" s="107" t="s">
        <v>2946</v>
      </c>
      <c r="Q1077" s="197">
        <v>5665000</v>
      </c>
      <c r="R1077" s="63">
        <v>1</v>
      </c>
      <c r="S1077" s="198">
        <v>62315000</v>
      </c>
      <c r="T1077" s="112" t="s">
        <v>888</v>
      </c>
      <c r="U1077" s="63" t="s">
        <v>445</v>
      </c>
      <c r="V1077" s="81">
        <v>43125</v>
      </c>
      <c r="W1077" s="199">
        <v>11</v>
      </c>
      <c r="X1077" s="85" t="s">
        <v>2947</v>
      </c>
      <c r="Y1077" s="81">
        <v>43103</v>
      </c>
      <c r="Z1077" s="196">
        <v>62315000</v>
      </c>
      <c r="AA1077" s="84"/>
      <c r="AB1077" s="63">
        <v>176</v>
      </c>
      <c r="AC1077" s="81">
        <v>43105</v>
      </c>
      <c r="AD1077" s="196">
        <v>62315000</v>
      </c>
      <c r="AE1077" s="63"/>
      <c r="AF1077" s="63">
        <v>285</v>
      </c>
      <c r="AG1077" s="81">
        <v>43122</v>
      </c>
      <c r="AH1077" s="196">
        <v>62315000</v>
      </c>
      <c r="AI1077" s="84" t="s">
        <v>2948</v>
      </c>
      <c r="AJ1077" s="63">
        <v>255</v>
      </c>
      <c r="AK1077" s="63"/>
      <c r="AL1077" s="196">
        <f t="shared" si="118"/>
        <v>62315000</v>
      </c>
      <c r="AM1077" s="196">
        <f>+VLOOKUP(AF1077,'[2]CRP a 31 Agosto de 2018'!$J$8:$V$2956,13,0)</f>
        <v>35689500</v>
      </c>
      <c r="AN1077" s="196">
        <f t="shared" ref="AN1077:AN1078" si="119">AL1077-AM1077</f>
        <v>26625500</v>
      </c>
      <c r="AO1077" s="63"/>
      <c r="AP1077" s="63"/>
      <c r="AQ1077" s="63"/>
      <c r="AR1077" s="81">
        <v>43102</v>
      </c>
      <c r="AS1077" s="63" t="s">
        <v>2848</v>
      </c>
      <c r="AT1077" s="81">
        <v>43102</v>
      </c>
      <c r="AU1077" s="63" t="s">
        <v>2855</v>
      </c>
      <c r="AV1077" s="63"/>
      <c r="AW1077" s="63"/>
    </row>
    <row r="1078" spans="1:49" ht="357.75" thickTop="1" thickBot="1" x14ac:dyDescent="0.3">
      <c r="A1078" s="193">
        <v>30</v>
      </c>
      <c r="B1078" s="85" t="s">
        <v>2949</v>
      </c>
      <c r="C1078" s="105" t="s">
        <v>2834</v>
      </c>
      <c r="D1078" s="63" t="s">
        <v>714</v>
      </c>
      <c r="E1078" s="106" t="s">
        <v>2835</v>
      </c>
      <c r="F1078" s="63" t="s">
        <v>52</v>
      </c>
      <c r="G1078" s="63" t="s">
        <v>53</v>
      </c>
      <c r="H1078" s="111" t="s">
        <v>733</v>
      </c>
      <c r="I1078" s="63" t="s">
        <v>55</v>
      </c>
      <c r="J1078" s="106" t="s">
        <v>56</v>
      </c>
      <c r="K1078" s="106">
        <v>801116</v>
      </c>
      <c r="L1078" s="106" t="s">
        <v>2836</v>
      </c>
      <c r="M1078" s="106" t="s">
        <v>2837</v>
      </c>
      <c r="N1078" s="106" t="s">
        <v>2838</v>
      </c>
      <c r="O1078" s="106" t="s">
        <v>2839</v>
      </c>
      <c r="P1078" s="107" t="s">
        <v>2950</v>
      </c>
      <c r="Q1078" s="197">
        <v>3038500</v>
      </c>
      <c r="R1078" s="63">
        <v>1</v>
      </c>
      <c r="S1078" s="198">
        <v>21269500</v>
      </c>
      <c r="T1078" s="112" t="s">
        <v>928</v>
      </c>
      <c r="U1078" s="63" t="s">
        <v>445</v>
      </c>
      <c r="V1078" s="81">
        <v>43125</v>
      </c>
      <c r="W1078" s="199">
        <v>7</v>
      </c>
      <c r="X1078" s="85" t="s">
        <v>2951</v>
      </c>
      <c r="Y1078" s="81">
        <v>43103</v>
      </c>
      <c r="Z1078" s="196">
        <v>21269500</v>
      </c>
      <c r="AA1078" s="84"/>
      <c r="AB1078" s="63">
        <v>178</v>
      </c>
      <c r="AC1078" s="81">
        <v>43105</v>
      </c>
      <c r="AD1078" s="196">
        <v>21269500</v>
      </c>
      <c r="AE1078" s="63"/>
      <c r="AF1078" s="63">
        <v>279</v>
      </c>
      <c r="AG1078" s="81">
        <v>43122</v>
      </c>
      <c r="AH1078" s="196">
        <v>21269500</v>
      </c>
      <c r="AI1078" s="84" t="s">
        <v>2952</v>
      </c>
      <c r="AJ1078" s="63">
        <v>249</v>
      </c>
      <c r="AK1078" s="63"/>
      <c r="AL1078" s="196">
        <f t="shared" si="118"/>
        <v>21269500</v>
      </c>
      <c r="AM1078" s="196">
        <f>+VLOOKUP(AF1078,'[2]CRP a 31 Agosto de 2018'!$J$8:$V$2956,13,0)</f>
        <v>18939983</v>
      </c>
      <c r="AN1078" s="196">
        <f t="shared" si="119"/>
        <v>2329517</v>
      </c>
      <c r="AO1078" s="63"/>
      <c r="AP1078" s="63"/>
      <c r="AQ1078" s="63"/>
      <c r="AR1078" s="81">
        <v>43102</v>
      </c>
      <c r="AS1078" s="63" t="s">
        <v>2848</v>
      </c>
      <c r="AT1078" s="81">
        <v>43102</v>
      </c>
      <c r="AU1078" s="63" t="s">
        <v>2855</v>
      </c>
      <c r="AV1078" s="63"/>
      <c r="AW1078" s="63"/>
    </row>
    <row r="1079" spans="1:49" ht="357.75" thickTop="1" thickBot="1" x14ac:dyDescent="0.3">
      <c r="A1079" s="193">
        <v>31</v>
      </c>
      <c r="B1079" s="85" t="s">
        <v>2953</v>
      </c>
      <c r="C1079" s="105" t="s">
        <v>2834</v>
      </c>
      <c r="D1079" s="63" t="s">
        <v>714</v>
      </c>
      <c r="E1079" s="106" t="s">
        <v>2835</v>
      </c>
      <c r="F1079" s="63" t="s">
        <v>52</v>
      </c>
      <c r="G1079" s="63" t="s">
        <v>53</v>
      </c>
      <c r="H1079" s="111" t="s">
        <v>733</v>
      </c>
      <c r="I1079" s="63" t="s">
        <v>55</v>
      </c>
      <c r="J1079" s="106" t="s">
        <v>56</v>
      </c>
      <c r="K1079" s="106">
        <v>801116</v>
      </c>
      <c r="L1079" s="106" t="s">
        <v>2836</v>
      </c>
      <c r="M1079" s="106" t="s">
        <v>2837</v>
      </c>
      <c r="N1079" s="106" t="s">
        <v>2838</v>
      </c>
      <c r="O1079" s="106" t="s">
        <v>2839</v>
      </c>
      <c r="P1079" s="107" t="s">
        <v>2954</v>
      </c>
      <c r="Q1079" s="197">
        <v>4532000</v>
      </c>
      <c r="R1079" s="63">
        <v>1</v>
      </c>
      <c r="S1079" s="198">
        <v>49852000</v>
      </c>
      <c r="T1079" s="112" t="s">
        <v>888</v>
      </c>
      <c r="U1079" s="63" t="s">
        <v>445</v>
      </c>
      <c r="V1079" s="81">
        <v>43125</v>
      </c>
      <c r="W1079" s="199">
        <v>11</v>
      </c>
      <c r="X1079" s="85" t="s">
        <v>2955</v>
      </c>
      <c r="Y1079" s="81">
        <v>43103</v>
      </c>
      <c r="Z1079" s="196">
        <v>49852000</v>
      </c>
      <c r="AA1079" s="84"/>
      <c r="AB1079" s="63">
        <v>179</v>
      </c>
      <c r="AC1079" s="81">
        <v>43105</v>
      </c>
      <c r="AD1079" s="196">
        <v>49852000</v>
      </c>
      <c r="AE1079" s="63"/>
      <c r="AF1079" s="63">
        <v>8</v>
      </c>
      <c r="AG1079" s="81">
        <v>43112</v>
      </c>
      <c r="AH1079" s="196">
        <v>49852000</v>
      </c>
      <c r="AI1079" s="84" t="s">
        <v>2956</v>
      </c>
      <c r="AJ1079" s="63">
        <v>4</v>
      </c>
      <c r="AK1079" s="63"/>
      <c r="AL1079" s="196">
        <f t="shared" si="118"/>
        <v>49852000</v>
      </c>
      <c r="AM1079" s="196">
        <f>+VLOOKUP(AF1079,'[2]CRP a 31 Agosto de 2018'!$J$8:$V$2956,13,0)</f>
        <v>30062267</v>
      </c>
      <c r="AN1079" s="196">
        <f>AL1079-AM1079</f>
        <v>19789733</v>
      </c>
      <c r="AO1079" s="63"/>
      <c r="AP1079" s="63"/>
      <c r="AQ1079" s="63"/>
      <c r="AR1079" s="81">
        <v>43102</v>
      </c>
      <c r="AS1079" s="63" t="s">
        <v>2848</v>
      </c>
      <c r="AT1079" s="81">
        <v>43102</v>
      </c>
      <c r="AU1079" s="63" t="s">
        <v>2855</v>
      </c>
      <c r="AV1079" s="63"/>
      <c r="AW1079" s="63"/>
    </row>
    <row r="1080" spans="1:49" ht="409.6" thickTop="1" thickBot="1" x14ac:dyDescent="0.3">
      <c r="A1080" s="193">
        <v>32</v>
      </c>
      <c r="B1080" s="85" t="s">
        <v>2957</v>
      </c>
      <c r="C1080" s="105" t="s">
        <v>2834</v>
      </c>
      <c r="D1080" s="63" t="s">
        <v>714</v>
      </c>
      <c r="E1080" s="106" t="s">
        <v>2845</v>
      </c>
      <c r="F1080" s="63" t="s">
        <v>52</v>
      </c>
      <c r="G1080" s="63" t="s">
        <v>53</v>
      </c>
      <c r="H1080" s="111" t="s">
        <v>733</v>
      </c>
      <c r="I1080" s="63" t="s">
        <v>55</v>
      </c>
      <c r="J1080" s="106" t="s">
        <v>56</v>
      </c>
      <c r="K1080" s="106">
        <v>801116</v>
      </c>
      <c r="L1080" s="106" t="s">
        <v>2836</v>
      </c>
      <c r="M1080" s="106" t="s">
        <v>2837</v>
      </c>
      <c r="N1080" s="106" t="s">
        <v>2838</v>
      </c>
      <c r="O1080" s="106" t="s">
        <v>2839</v>
      </c>
      <c r="P1080" s="107" t="s">
        <v>2958</v>
      </c>
      <c r="Q1080" s="197">
        <v>5253000</v>
      </c>
      <c r="R1080" s="63">
        <v>1</v>
      </c>
      <c r="S1080" s="198">
        <v>57783000</v>
      </c>
      <c r="T1080" s="112" t="s">
        <v>888</v>
      </c>
      <c r="U1080" s="63" t="s">
        <v>445</v>
      </c>
      <c r="V1080" s="81">
        <v>43125</v>
      </c>
      <c r="W1080" s="199">
        <v>11</v>
      </c>
      <c r="X1080" s="85" t="s">
        <v>2959</v>
      </c>
      <c r="Y1080" s="81">
        <v>43103</v>
      </c>
      <c r="Z1080" s="196">
        <v>57783000</v>
      </c>
      <c r="AA1080" s="84"/>
      <c r="AB1080" s="63">
        <v>181</v>
      </c>
      <c r="AC1080" s="81">
        <v>43105</v>
      </c>
      <c r="AD1080" s="196">
        <v>57783000</v>
      </c>
      <c r="AE1080" s="63"/>
      <c r="AF1080" s="63">
        <v>196</v>
      </c>
      <c r="AG1080" s="81">
        <v>43118</v>
      </c>
      <c r="AH1080" s="196">
        <v>57783000</v>
      </c>
      <c r="AI1080" s="84" t="s">
        <v>2960</v>
      </c>
      <c r="AJ1080" s="63">
        <v>182</v>
      </c>
      <c r="AK1080" s="63"/>
      <c r="AL1080" s="196">
        <f t="shared" si="118"/>
        <v>57783000</v>
      </c>
      <c r="AM1080" s="196">
        <f>+VLOOKUP(AF1080,'[2]CRP a 31 Agosto de 2018'!$J$8:$V$2956,13,0)</f>
        <v>33619200</v>
      </c>
      <c r="AN1080" s="196">
        <f>AL1080-AM1080</f>
        <v>24163800</v>
      </c>
      <c r="AO1080" s="63"/>
      <c r="AP1080" s="63"/>
      <c r="AQ1080" s="63"/>
      <c r="AR1080" s="81">
        <v>43102</v>
      </c>
      <c r="AS1080" s="63" t="s">
        <v>2848</v>
      </c>
      <c r="AT1080" s="81">
        <v>43102</v>
      </c>
      <c r="AU1080" s="63" t="s">
        <v>2855</v>
      </c>
      <c r="AV1080" s="63"/>
      <c r="AW1080" s="63"/>
    </row>
    <row r="1081" spans="1:49" ht="409.6" thickTop="1" thickBot="1" x14ac:dyDescent="0.3">
      <c r="A1081" s="193">
        <v>33</v>
      </c>
      <c r="B1081" s="85" t="s">
        <v>2961</v>
      </c>
      <c r="C1081" s="105" t="s">
        <v>2834</v>
      </c>
      <c r="D1081" s="63" t="s">
        <v>714</v>
      </c>
      <c r="E1081" s="106" t="s">
        <v>2845</v>
      </c>
      <c r="F1081" s="63" t="s">
        <v>52</v>
      </c>
      <c r="G1081" s="63" t="s">
        <v>53</v>
      </c>
      <c r="H1081" s="111" t="s">
        <v>733</v>
      </c>
      <c r="I1081" s="63" t="s">
        <v>55</v>
      </c>
      <c r="J1081" s="106" t="s">
        <v>56</v>
      </c>
      <c r="K1081" s="106">
        <v>801116</v>
      </c>
      <c r="L1081" s="106" t="s">
        <v>2836</v>
      </c>
      <c r="M1081" s="106" t="s">
        <v>2837</v>
      </c>
      <c r="N1081" s="106" t="s">
        <v>2838</v>
      </c>
      <c r="O1081" s="106" t="s">
        <v>2839</v>
      </c>
      <c r="P1081" s="107" t="s">
        <v>2962</v>
      </c>
      <c r="Q1081" s="197">
        <v>5665000</v>
      </c>
      <c r="R1081" s="63">
        <v>1</v>
      </c>
      <c r="S1081" s="198">
        <v>62315000</v>
      </c>
      <c r="T1081" s="112" t="s">
        <v>888</v>
      </c>
      <c r="U1081" s="63" t="s">
        <v>445</v>
      </c>
      <c r="V1081" s="81">
        <v>43125</v>
      </c>
      <c r="W1081" s="199">
        <v>11</v>
      </c>
      <c r="X1081" s="85" t="s">
        <v>2963</v>
      </c>
      <c r="Y1081" s="81">
        <v>43103</v>
      </c>
      <c r="Z1081" s="196">
        <v>62315000</v>
      </c>
      <c r="AA1081" s="84"/>
      <c r="AB1081" s="63">
        <v>182</v>
      </c>
      <c r="AC1081" s="81">
        <v>43105</v>
      </c>
      <c r="AD1081" s="196">
        <v>62315000</v>
      </c>
      <c r="AE1081" s="63"/>
      <c r="AF1081" s="63">
        <v>27</v>
      </c>
      <c r="AG1081" s="81">
        <v>43115</v>
      </c>
      <c r="AH1081" s="196">
        <v>62315000</v>
      </c>
      <c r="AI1081" s="84" t="s">
        <v>2964</v>
      </c>
      <c r="AJ1081" s="63">
        <v>19</v>
      </c>
      <c r="AK1081" s="63"/>
      <c r="AL1081" s="196">
        <f t="shared" si="118"/>
        <v>62315000</v>
      </c>
      <c r="AM1081" s="196">
        <f>+VLOOKUP(AF1081,'[2]CRP a 31 Agosto de 2018'!$J$8:$V$2956,13,0)</f>
        <v>37011333</v>
      </c>
      <c r="AN1081" s="196">
        <f>AL1081-AM1081</f>
        <v>25303667</v>
      </c>
      <c r="AO1081" s="63"/>
      <c r="AP1081" s="63"/>
      <c r="AQ1081" s="63"/>
      <c r="AR1081" s="81">
        <v>43102</v>
      </c>
      <c r="AS1081" s="63" t="s">
        <v>2848</v>
      </c>
      <c r="AT1081" s="81">
        <v>43102</v>
      </c>
      <c r="AU1081" s="63" t="s">
        <v>2855</v>
      </c>
      <c r="AV1081" s="63"/>
      <c r="AW1081" s="63"/>
    </row>
    <row r="1082" spans="1:49" ht="343.5" thickTop="1" thickBot="1" x14ac:dyDescent="0.3">
      <c r="A1082" s="193">
        <v>34</v>
      </c>
      <c r="B1082" s="85" t="s">
        <v>2965</v>
      </c>
      <c r="C1082" s="105" t="s">
        <v>2834</v>
      </c>
      <c r="D1082" s="63" t="s">
        <v>714</v>
      </c>
      <c r="E1082" s="106" t="s">
        <v>2843</v>
      </c>
      <c r="F1082" s="63" t="s">
        <v>52</v>
      </c>
      <c r="G1082" s="63" t="s">
        <v>53</v>
      </c>
      <c r="H1082" s="111" t="s">
        <v>733</v>
      </c>
      <c r="I1082" s="63" t="s">
        <v>55</v>
      </c>
      <c r="J1082" s="106" t="s">
        <v>56</v>
      </c>
      <c r="K1082" s="106">
        <v>801116</v>
      </c>
      <c r="L1082" s="106" t="s">
        <v>2836</v>
      </c>
      <c r="M1082" s="106" t="s">
        <v>2837</v>
      </c>
      <c r="N1082" s="106" t="s">
        <v>2838</v>
      </c>
      <c r="O1082" s="106" t="s">
        <v>2839</v>
      </c>
      <c r="P1082" s="107" t="s">
        <v>2966</v>
      </c>
      <c r="Q1082" s="197">
        <v>9520000</v>
      </c>
      <c r="R1082" s="63">
        <v>1</v>
      </c>
      <c r="S1082" s="198">
        <v>47600000</v>
      </c>
      <c r="T1082" s="112" t="s">
        <v>888</v>
      </c>
      <c r="U1082" s="63" t="s">
        <v>445</v>
      </c>
      <c r="V1082" s="81">
        <v>43125</v>
      </c>
      <c r="W1082" s="199">
        <v>5</v>
      </c>
      <c r="X1082" s="85" t="s">
        <v>2967</v>
      </c>
      <c r="Y1082" s="81">
        <v>43103</v>
      </c>
      <c r="Z1082" s="196">
        <v>47600000</v>
      </c>
      <c r="AA1082" s="84"/>
      <c r="AB1082" s="63">
        <v>183</v>
      </c>
      <c r="AC1082" s="81">
        <v>43105</v>
      </c>
      <c r="AD1082" s="196">
        <v>47600000</v>
      </c>
      <c r="AE1082" s="63"/>
      <c r="AF1082" s="63">
        <v>434</v>
      </c>
      <c r="AG1082" s="81">
        <v>43124</v>
      </c>
      <c r="AH1082" s="196">
        <v>47600000</v>
      </c>
      <c r="AI1082" s="84" t="s">
        <v>2968</v>
      </c>
      <c r="AJ1082" s="63">
        <v>317</v>
      </c>
      <c r="AK1082" s="63"/>
      <c r="AL1082" s="196">
        <f t="shared" si="118"/>
        <v>47600000</v>
      </c>
      <c r="AM1082" s="196">
        <f>+VLOOKUP(AF1082,'[2]CRP a 31 Agosto de 2018'!$J$8:$V$2956,13,0)</f>
        <v>47600000</v>
      </c>
      <c r="AN1082" s="196">
        <f>AL1082-AM1082</f>
        <v>0</v>
      </c>
      <c r="AO1082" s="63"/>
      <c r="AP1082" s="63"/>
      <c r="AQ1082" s="63"/>
      <c r="AR1082" s="63" t="s">
        <v>2967</v>
      </c>
      <c r="AS1082" s="63" t="s">
        <v>2848</v>
      </c>
      <c r="AT1082" s="63" t="s">
        <v>2967</v>
      </c>
      <c r="AU1082" s="63" t="s">
        <v>2855</v>
      </c>
      <c r="AV1082" s="63"/>
      <c r="AW1082" s="63"/>
    </row>
    <row r="1083" spans="1:49" ht="300.75" thickTop="1" thickBot="1" x14ac:dyDescent="0.3">
      <c r="A1083" s="193">
        <v>35</v>
      </c>
      <c r="B1083" s="85" t="s">
        <v>2969</v>
      </c>
      <c r="C1083" s="105" t="s">
        <v>2834</v>
      </c>
      <c r="D1083" s="63" t="s">
        <v>714</v>
      </c>
      <c r="E1083" s="106" t="s">
        <v>2843</v>
      </c>
      <c r="F1083" s="63" t="s">
        <v>52</v>
      </c>
      <c r="G1083" s="63" t="s">
        <v>53</v>
      </c>
      <c r="H1083" s="111" t="s">
        <v>733</v>
      </c>
      <c r="I1083" s="63" t="s">
        <v>55</v>
      </c>
      <c r="J1083" s="106" t="s">
        <v>56</v>
      </c>
      <c r="K1083" s="106">
        <v>801116</v>
      </c>
      <c r="L1083" s="106" t="s">
        <v>2836</v>
      </c>
      <c r="M1083" s="106" t="s">
        <v>2837</v>
      </c>
      <c r="N1083" s="106" t="s">
        <v>2838</v>
      </c>
      <c r="O1083" s="106" t="s">
        <v>2839</v>
      </c>
      <c r="P1083" s="107" t="s">
        <v>2970</v>
      </c>
      <c r="Q1083" s="197">
        <v>9805600</v>
      </c>
      <c r="R1083" s="63">
        <v>1</v>
      </c>
      <c r="S1083" s="198">
        <f>58833600-49000000-9167000-666600</f>
        <v>0</v>
      </c>
      <c r="T1083" s="112" t="s">
        <v>888</v>
      </c>
      <c r="U1083" s="63" t="s">
        <v>445</v>
      </c>
      <c r="V1083" s="81">
        <v>43125</v>
      </c>
      <c r="W1083" s="199">
        <v>6</v>
      </c>
      <c r="X1083" s="85" t="s">
        <v>2971</v>
      </c>
      <c r="Y1083" s="81">
        <v>43276</v>
      </c>
      <c r="Z1083" s="198">
        <v>29416800</v>
      </c>
      <c r="AA1083" s="84"/>
      <c r="AB1083" s="63"/>
      <c r="AC1083" s="63"/>
      <c r="AD1083" s="63"/>
      <c r="AE1083" s="63"/>
      <c r="AF1083" s="63"/>
      <c r="AG1083" s="63"/>
      <c r="AH1083" s="196"/>
      <c r="AI1083" s="84" t="s">
        <v>2968</v>
      </c>
      <c r="AJ1083" s="63"/>
      <c r="AK1083" s="63"/>
      <c r="AL1083" s="196"/>
      <c r="AM1083" s="196">
        <v>0</v>
      </c>
      <c r="AN1083" s="63"/>
      <c r="AO1083" s="63"/>
      <c r="AP1083" s="63"/>
      <c r="AQ1083" s="63" t="s">
        <v>2972</v>
      </c>
      <c r="AR1083" s="63"/>
      <c r="AS1083" s="63"/>
      <c r="AT1083" s="63"/>
      <c r="AU1083" s="63"/>
      <c r="AV1083" s="63"/>
      <c r="AW1083" s="63"/>
    </row>
    <row r="1084" spans="1:49" ht="357.75" thickTop="1" thickBot="1" x14ac:dyDescent="0.3">
      <c r="A1084" s="193">
        <v>36</v>
      </c>
      <c r="B1084" s="85" t="s">
        <v>2973</v>
      </c>
      <c r="C1084" s="105" t="s">
        <v>2834</v>
      </c>
      <c r="D1084" s="63" t="s">
        <v>714</v>
      </c>
      <c r="E1084" s="106" t="s">
        <v>2835</v>
      </c>
      <c r="F1084" s="63" t="s">
        <v>52</v>
      </c>
      <c r="G1084" s="63" t="s">
        <v>53</v>
      </c>
      <c r="H1084" s="111" t="s">
        <v>733</v>
      </c>
      <c r="I1084" s="63" t="s">
        <v>55</v>
      </c>
      <c r="J1084" s="106" t="s">
        <v>56</v>
      </c>
      <c r="K1084" s="106">
        <v>801116</v>
      </c>
      <c r="L1084" s="106" t="s">
        <v>2836</v>
      </c>
      <c r="M1084" s="106" t="s">
        <v>2837</v>
      </c>
      <c r="N1084" s="106" t="s">
        <v>2838</v>
      </c>
      <c r="O1084" s="106" t="s">
        <v>2839</v>
      </c>
      <c r="P1084" s="107" t="s">
        <v>2851</v>
      </c>
      <c r="Q1084" s="197">
        <v>6695000</v>
      </c>
      <c r="R1084" s="63">
        <v>1</v>
      </c>
      <c r="S1084" s="198">
        <v>73645000</v>
      </c>
      <c r="T1084" s="112" t="s">
        <v>888</v>
      </c>
      <c r="U1084" s="63" t="s">
        <v>445</v>
      </c>
      <c r="V1084" s="81">
        <v>43125</v>
      </c>
      <c r="W1084" s="199">
        <v>11</v>
      </c>
      <c r="X1084" s="85" t="s">
        <v>2974</v>
      </c>
      <c r="Y1084" s="81">
        <v>43103</v>
      </c>
      <c r="Z1084" s="196">
        <v>73645000</v>
      </c>
      <c r="AA1084" s="84"/>
      <c r="AB1084" s="63">
        <v>185</v>
      </c>
      <c r="AC1084" s="81">
        <v>43105</v>
      </c>
      <c r="AD1084" s="196">
        <v>73645000</v>
      </c>
      <c r="AE1084" s="84"/>
      <c r="AF1084" s="63">
        <v>240</v>
      </c>
      <c r="AG1084" s="81">
        <v>43119</v>
      </c>
      <c r="AH1084" s="196">
        <v>73645000</v>
      </c>
      <c r="AI1084" s="84" t="s">
        <v>2975</v>
      </c>
      <c r="AJ1084" s="63">
        <v>221</v>
      </c>
      <c r="AK1084" s="63"/>
      <c r="AL1084" s="196">
        <f t="shared" ref="AL1084:AL1096" si="120">AH1084</f>
        <v>73645000</v>
      </c>
      <c r="AM1084" s="196">
        <f>+VLOOKUP(AF1084,'[2]CRP a 31 Agosto de 2018'!$J$8:$V$2956,13,0)</f>
        <v>42178500</v>
      </c>
      <c r="AN1084" s="196">
        <f>AL1084-AM1084</f>
        <v>31466500</v>
      </c>
      <c r="AO1084" s="63"/>
      <c r="AP1084" s="63"/>
      <c r="AQ1084" s="63"/>
      <c r="AR1084" s="81">
        <v>43102</v>
      </c>
      <c r="AS1084" s="63" t="s">
        <v>2848</v>
      </c>
      <c r="AT1084" s="81">
        <v>43102</v>
      </c>
      <c r="AU1084" s="63" t="s">
        <v>2855</v>
      </c>
      <c r="AV1084" s="63"/>
      <c r="AW1084" s="63"/>
    </row>
    <row r="1085" spans="1:49" ht="300.75" thickTop="1" thickBot="1" x14ac:dyDescent="0.3">
      <c r="A1085" s="193">
        <v>37</v>
      </c>
      <c r="B1085" s="85" t="s">
        <v>2976</v>
      </c>
      <c r="C1085" s="105" t="s">
        <v>2834</v>
      </c>
      <c r="D1085" s="63" t="s">
        <v>714</v>
      </c>
      <c r="E1085" s="106" t="s">
        <v>2843</v>
      </c>
      <c r="F1085" s="63" t="s">
        <v>52</v>
      </c>
      <c r="G1085" s="63" t="s">
        <v>53</v>
      </c>
      <c r="H1085" s="111" t="s">
        <v>733</v>
      </c>
      <c r="I1085" s="63" t="s">
        <v>55</v>
      </c>
      <c r="J1085" s="106" t="s">
        <v>56</v>
      </c>
      <c r="K1085" s="106">
        <v>801116</v>
      </c>
      <c r="L1085" s="106" t="s">
        <v>2836</v>
      </c>
      <c r="M1085" s="106" t="s">
        <v>2837</v>
      </c>
      <c r="N1085" s="106" t="s">
        <v>2838</v>
      </c>
      <c r="O1085" s="106" t="s">
        <v>2839</v>
      </c>
      <c r="P1085" s="107" t="s">
        <v>2851</v>
      </c>
      <c r="Q1085" s="197">
        <v>6695000</v>
      </c>
      <c r="R1085" s="63">
        <v>1</v>
      </c>
      <c r="S1085" s="198">
        <v>73645000</v>
      </c>
      <c r="T1085" s="112" t="s">
        <v>888</v>
      </c>
      <c r="U1085" s="63" t="s">
        <v>445</v>
      </c>
      <c r="V1085" s="81">
        <v>43125</v>
      </c>
      <c r="W1085" s="199">
        <v>11</v>
      </c>
      <c r="X1085" s="85" t="s">
        <v>2977</v>
      </c>
      <c r="Y1085" s="81">
        <v>43103</v>
      </c>
      <c r="Z1085" s="196">
        <v>73645000</v>
      </c>
      <c r="AA1085" s="84"/>
      <c r="AB1085" s="63">
        <v>186</v>
      </c>
      <c r="AC1085" s="81">
        <v>43105</v>
      </c>
      <c r="AD1085" s="196">
        <v>73645000</v>
      </c>
      <c r="AE1085" s="63"/>
      <c r="AF1085" s="63">
        <v>5</v>
      </c>
      <c r="AG1085" s="81">
        <v>43112</v>
      </c>
      <c r="AH1085" s="196">
        <v>73645000</v>
      </c>
      <c r="AI1085" s="84" t="s">
        <v>2978</v>
      </c>
      <c r="AJ1085" s="63">
        <v>5</v>
      </c>
      <c r="AK1085" s="63"/>
      <c r="AL1085" s="196">
        <f t="shared" si="120"/>
        <v>73645000</v>
      </c>
      <c r="AM1085" s="196">
        <f>+VLOOKUP(AF1085,'[2]CRP a 31 Agosto de 2018'!$J$8:$V$2956,13,0)</f>
        <v>44410167</v>
      </c>
      <c r="AN1085" s="196">
        <f>AL1085-AM1085</f>
        <v>29234833</v>
      </c>
      <c r="AO1085" s="63"/>
      <c r="AP1085" s="63"/>
      <c r="AQ1085" s="63"/>
      <c r="AR1085" s="81">
        <v>43102</v>
      </c>
      <c r="AS1085" s="63" t="s">
        <v>2848</v>
      </c>
      <c r="AT1085" s="81">
        <v>43102</v>
      </c>
      <c r="AU1085" s="63" t="s">
        <v>2855</v>
      </c>
      <c r="AV1085" s="63"/>
      <c r="AW1085" s="63"/>
    </row>
    <row r="1086" spans="1:49" ht="357.75" thickTop="1" thickBot="1" x14ac:dyDescent="0.3">
      <c r="A1086" s="193">
        <v>38</v>
      </c>
      <c r="B1086" s="85" t="s">
        <v>2979</v>
      </c>
      <c r="C1086" s="105" t="s">
        <v>2834</v>
      </c>
      <c r="D1086" s="63" t="s">
        <v>714</v>
      </c>
      <c r="E1086" s="106" t="s">
        <v>2835</v>
      </c>
      <c r="F1086" s="63" t="s">
        <v>52</v>
      </c>
      <c r="G1086" s="63" t="s">
        <v>53</v>
      </c>
      <c r="H1086" s="111" t="s">
        <v>733</v>
      </c>
      <c r="I1086" s="63" t="s">
        <v>55</v>
      </c>
      <c r="J1086" s="106" t="s">
        <v>56</v>
      </c>
      <c r="K1086" s="106">
        <v>801116</v>
      </c>
      <c r="L1086" s="106" t="s">
        <v>2836</v>
      </c>
      <c r="M1086" s="106" t="s">
        <v>2837</v>
      </c>
      <c r="N1086" s="106" t="s">
        <v>2838</v>
      </c>
      <c r="O1086" s="106" t="s">
        <v>2839</v>
      </c>
      <c r="P1086" s="107" t="s">
        <v>2851</v>
      </c>
      <c r="Q1086" s="197">
        <v>6695000</v>
      </c>
      <c r="R1086" s="63">
        <v>1</v>
      </c>
      <c r="S1086" s="198">
        <v>46865000</v>
      </c>
      <c r="T1086" s="112" t="s">
        <v>888</v>
      </c>
      <c r="U1086" s="63" t="s">
        <v>445</v>
      </c>
      <c r="V1086" s="81">
        <v>43125</v>
      </c>
      <c r="W1086" s="199">
        <v>7</v>
      </c>
      <c r="X1086" s="85" t="s">
        <v>2980</v>
      </c>
      <c r="Y1086" s="81">
        <v>43103</v>
      </c>
      <c r="Z1086" s="196">
        <v>46865000</v>
      </c>
      <c r="AA1086" s="84"/>
      <c r="AB1086" s="63">
        <v>188</v>
      </c>
      <c r="AC1086" s="81">
        <v>43105</v>
      </c>
      <c r="AD1086" s="196">
        <v>46865000</v>
      </c>
      <c r="AE1086" s="63"/>
      <c r="AF1086" s="63">
        <v>143</v>
      </c>
      <c r="AG1086" s="81">
        <v>43117</v>
      </c>
      <c r="AH1086" s="196">
        <v>46865000</v>
      </c>
      <c r="AI1086" s="84" t="s">
        <v>2981</v>
      </c>
      <c r="AJ1086" s="63">
        <v>152</v>
      </c>
      <c r="AK1086" s="63"/>
      <c r="AL1086" s="196">
        <f t="shared" si="120"/>
        <v>46865000</v>
      </c>
      <c r="AM1086" s="196">
        <f>+VLOOKUP(AF1086,'[2]CRP a 31 Agosto de 2018'!$J$8:$V$2956,13,0)</f>
        <v>43071167</v>
      </c>
      <c r="AN1086" s="196">
        <f>AL1086-AM1086</f>
        <v>3793833</v>
      </c>
      <c r="AO1086" s="63"/>
      <c r="AP1086" s="63"/>
      <c r="AQ1086" s="63"/>
      <c r="AR1086" s="81">
        <v>43102</v>
      </c>
      <c r="AS1086" s="63" t="s">
        <v>2848</v>
      </c>
      <c r="AT1086" s="81">
        <v>43102</v>
      </c>
      <c r="AU1086" s="63" t="s">
        <v>2855</v>
      </c>
      <c r="AV1086" s="63"/>
      <c r="AW1086" s="63"/>
    </row>
    <row r="1087" spans="1:49" ht="357.75" thickTop="1" thickBot="1" x14ac:dyDescent="0.3">
      <c r="A1087" s="193">
        <v>39</v>
      </c>
      <c r="B1087" s="85" t="s">
        <v>2982</v>
      </c>
      <c r="C1087" s="105" t="s">
        <v>2834</v>
      </c>
      <c r="D1087" s="63" t="s">
        <v>714</v>
      </c>
      <c r="E1087" s="106" t="s">
        <v>2835</v>
      </c>
      <c r="F1087" s="63" t="s">
        <v>52</v>
      </c>
      <c r="G1087" s="63" t="s">
        <v>53</v>
      </c>
      <c r="H1087" s="111" t="s">
        <v>733</v>
      </c>
      <c r="I1087" s="63" t="s">
        <v>55</v>
      </c>
      <c r="J1087" s="106" t="s">
        <v>56</v>
      </c>
      <c r="K1087" s="106">
        <v>801116</v>
      </c>
      <c r="L1087" s="106" t="s">
        <v>2836</v>
      </c>
      <c r="M1087" s="106" t="s">
        <v>2837</v>
      </c>
      <c r="N1087" s="106" t="s">
        <v>2838</v>
      </c>
      <c r="O1087" s="106" t="s">
        <v>2839</v>
      </c>
      <c r="P1087" s="107" t="s">
        <v>2851</v>
      </c>
      <c r="Q1087" s="197">
        <v>6695000</v>
      </c>
      <c r="R1087" s="63">
        <v>1</v>
      </c>
      <c r="S1087" s="198">
        <v>46865000</v>
      </c>
      <c r="T1087" s="112" t="s">
        <v>888</v>
      </c>
      <c r="U1087" s="63" t="s">
        <v>445</v>
      </c>
      <c r="V1087" s="81">
        <v>43125</v>
      </c>
      <c r="W1087" s="199">
        <v>7</v>
      </c>
      <c r="X1087" s="85" t="s">
        <v>2983</v>
      </c>
      <c r="Y1087" s="81">
        <v>43103</v>
      </c>
      <c r="Z1087" s="196">
        <v>46865000</v>
      </c>
      <c r="AA1087" s="84"/>
      <c r="AB1087" s="63">
        <v>189</v>
      </c>
      <c r="AC1087" s="81">
        <v>43105</v>
      </c>
      <c r="AD1087" s="196">
        <v>46865000</v>
      </c>
      <c r="AE1087" s="63"/>
      <c r="AF1087" s="63">
        <v>32</v>
      </c>
      <c r="AG1087" s="81">
        <v>43116</v>
      </c>
      <c r="AH1087" s="196">
        <v>46865000</v>
      </c>
      <c r="AI1087" s="84" t="s">
        <v>2984</v>
      </c>
      <c r="AJ1087" s="63">
        <v>20</v>
      </c>
      <c r="AK1087" s="63"/>
      <c r="AL1087" s="196">
        <f t="shared" si="120"/>
        <v>46865000</v>
      </c>
      <c r="AM1087" s="196">
        <f>+VLOOKUP(AF1087,'[2]CRP a 31 Agosto de 2018'!$J$8:$V$2956,13,0)</f>
        <v>43517500</v>
      </c>
      <c r="AN1087" s="196">
        <f t="shared" ref="AN1087:AN1088" si="121">AL1087-AM1087</f>
        <v>3347500</v>
      </c>
      <c r="AO1087" s="63"/>
      <c r="AP1087" s="63"/>
      <c r="AQ1087" s="63"/>
      <c r="AR1087" s="81">
        <v>43102</v>
      </c>
      <c r="AS1087" s="63" t="s">
        <v>2848</v>
      </c>
      <c r="AT1087" s="81">
        <v>43102</v>
      </c>
      <c r="AU1087" s="63" t="s">
        <v>2855</v>
      </c>
      <c r="AV1087" s="63"/>
      <c r="AW1087" s="63"/>
    </row>
    <row r="1088" spans="1:49" ht="357.75" thickTop="1" thickBot="1" x14ac:dyDescent="0.3">
      <c r="A1088" s="193">
        <v>40</v>
      </c>
      <c r="B1088" s="85" t="s">
        <v>2985</v>
      </c>
      <c r="C1088" s="105" t="s">
        <v>2834</v>
      </c>
      <c r="D1088" s="63" t="s">
        <v>714</v>
      </c>
      <c r="E1088" s="106" t="s">
        <v>2835</v>
      </c>
      <c r="F1088" s="63" t="s">
        <v>52</v>
      </c>
      <c r="G1088" s="63" t="s">
        <v>53</v>
      </c>
      <c r="H1088" s="111" t="s">
        <v>733</v>
      </c>
      <c r="I1088" s="63" t="s">
        <v>55</v>
      </c>
      <c r="J1088" s="106" t="s">
        <v>56</v>
      </c>
      <c r="K1088" s="106">
        <v>801116</v>
      </c>
      <c r="L1088" s="106" t="s">
        <v>2836</v>
      </c>
      <c r="M1088" s="106" t="s">
        <v>2837</v>
      </c>
      <c r="N1088" s="106" t="s">
        <v>2838</v>
      </c>
      <c r="O1088" s="106" t="s">
        <v>2839</v>
      </c>
      <c r="P1088" s="107" t="s">
        <v>2851</v>
      </c>
      <c r="Q1088" s="197">
        <v>5036700</v>
      </c>
      <c r="R1088" s="63">
        <v>1</v>
      </c>
      <c r="S1088" s="198">
        <v>35256900</v>
      </c>
      <c r="T1088" s="112" t="s">
        <v>888</v>
      </c>
      <c r="U1088" s="63" t="s">
        <v>445</v>
      </c>
      <c r="V1088" s="81">
        <v>43125</v>
      </c>
      <c r="W1088" s="199">
        <v>7</v>
      </c>
      <c r="X1088" s="85" t="s">
        <v>2986</v>
      </c>
      <c r="Y1088" s="81">
        <v>43103</v>
      </c>
      <c r="Z1088" s="196">
        <v>35256900</v>
      </c>
      <c r="AA1088" s="84"/>
      <c r="AB1088" s="63">
        <v>190</v>
      </c>
      <c r="AC1088" s="81">
        <v>43105</v>
      </c>
      <c r="AD1088" s="196">
        <v>35256900</v>
      </c>
      <c r="AE1088" s="63"/>
      <c r="AF1088" s="63">
        <v>33</v>
      </c>
      <c r="AG1088" s="81">
        <v>43116</v>
      </c>
      <c r="AH1088" s="196">
        <v>35256900</v>
      </c>
      <c r="AI1088" s="84" t="s">
        <v>2987</v>
      </c>
      <c r="AJ1088" s="63">
        <v>23</v>
      </c>
      <c r="AK1088" s="63"/>
      <c r="AL1088" s="196">
        <f t="shared" si="120"/>
        <v>35256900</v>
      </c>
      <c r="AM1088" s="196">
        <f>+VLOOKUP(AF1088,'[2]CRP a 31 Agosto de 2018'!$J$8:$V$2956,13,0)</f>
        <v>32738550</v>
      </c>
      <c r="AN1088" s="196">
        <f t="shared" si="121"/>
        <v>2518350</v>
      </c>
      <c r="AO1088" s="63"/>
      <c r="AP1088" s="63"/>
      <c r="AQ1088" s="63"/>
      <c r="AR1088" s="81">
        <v>43102</v>
      </c>
      <c r="AS1088" s="63" t="s">
        <v>2848</v>
      </c>
      <c r="AT1088" s="81">
        <v>43102</v>
      </c>
      <c r="AU1088" s="63" t="s">
        <v>2855</v>
      </c>
      <c r="AV1088" s="63"/>
      <c r="AW1088" s="63"/>
    </row>
    <row r="1089" spans="1:49" ht="357.75" thickTop="1" thickBot="1" x14ac:dyDescent="0.3">
      <c r="A1089" s="193">
        <v>41</v>
      </c>
      <c r="B1089" s="85" t="s">
        <v>2988</v>
      </c>
      <c r="C1089" s="105" t="s">
        <v>2834</v>
      </c>
      <c r="D1089" s="63" t="s">
        <v>714</v>
      </c>
      <c r="E1089" s="106" t="s">
        <v>2835</v>
      </c>
      <c r="F1089" s="63" t="s">
        <v>52</v>
      </c>
      <c r="G1089" s="63" t="s">
        <v>53</v>
      </c>
      <c r="H1089" s="111" t="s">
        <v>733</v>
      </c>
      <c r="I1089" s="63" t="s">
        <v>55</v>
      </c>
      <c r="J1089" s="106" t="s">
        <v>56</v>
      </c>
      <c r="K1089" s="106">
        <v>801116</v>
      </c>
      <c r="L1089" s="106" t="s">
        <v>2836</v>
      </c>
      <c r="M1089" s="106" t="s">
        <v>2837</v>
      </c>
      <c r="N1089" s="106" t="s">
        <v>2838</v>
      </c>
      <c r="O1089" s="106" t="s">
        <v>2839</v>
      </c>
      <c r="P1089" s="107" t="s">
        <v>2989</v>
      </c>
      <c r="Q1089" s="197">
        <v>4120000</v>
      </c>
      <c r="R1089" s="63">
        <v>1</v>
      </c>
      <c r="S1089" s="198">
        <v>28840000</v>
      </c>
      <c r="T1089" s="112" t="s">
        <v>888</v>
      </c>
      <c r="U1089" s="63" t="s">
        <v>445</v>
      </c>
      <c r="V1089" s="81">
        <v>43125</v>
      </c>
      <c r="W1089" s="199">
        <v>7</v>
      </c>
      <c r="X1089" s="85" t="s">
        <v>2990</v>
      </c>
      <c r="Y1089" s="81">
        <v>43103</v>
      </c>
      <c r="Z1089" s="196">
        <v>28840000</v>
      </c>
      <c r="AA1089" s="84"/>
      <c r="AB1089" s="63">
        <v>191</v>
      </c>
      <c r="AC1089" s="81">
        <v>43105</v>
      </c>
      <c r="AD1089" s="196">
        <v>28840000</v>
      </c>
      <c r="AE1089" s="63"/>
      <c r="AF1089" s="63">
        <v>141</v>
      </c>
      <c r="AG1089" s="81">
        <v>43117</v>
      </c>
      <c r="AH1089" s="196">
        <v>28840000</v>
      </c>
      <c r="AI1089" s="84" t="s">
        <v>2991</v>
      </c>
      <c r="AJ1089" s="63">
        <v>151</v>
      </c>
      <c r="AK1089" s="63"/>
      <c r="AL1089" s="196">
        <f t="shared" si="120"/>
        <v>28840000</v>
      </c>
      <c r="AM1089" s="196">
        <f>+VLOOKUP(AF1089,'[2]CRP a 31 Agosto de 2018'!$J$8:$V$2956,13,0)</f>
        <v>26505333</v>
      </c>
      <c r="AN1089" s="196">
        <f>+AL1089-AM1089</f>
        <v>2334667</v>
      </c>
      <c r="AO1089" s="63"/>
      <c r="AP1089" s="63"/>
      <c r="AQ1089" s="63"/>
      <c r="AR1089" s="81">
        <v>43102</v>
      </c>
      <c r="AS1089" s="63" t="s">
        <v>2848</v>
      </c>
      <c r="AT1089" s="81">
        <v>43102</v>
      </c>
      <c r="AU1089" s="63" t="s">
        <v>2855</v>
      </c>
      <c r="AV1089" s="63"/>
      <c r="AW1089" s="63"/>
    </row>
    <row r="1090" spans="1:49" ht="300.75" thickTop="1" thickBot="1" x14ac:dyDescent="0.3">
      <c r="A1090" s="193">
        <v>42</v>
      </c>
      <c r="B1090" s="85" t="s">
        <v>2992</v>
      </c>
      <c r="C1090" s="105" t="s">
        <v>2834</v>
      </c>
      <c r="D1090" s="63" t="s">
        <v>714</v>
      </c>
      <c r="E1090" s="106" t="s">
        <v>2843</v>
      </c>
      <c r="F1090" s="63" t="s">
        <v>52</v>
      </c>
      <c r="G1090" s="63" t="s">
        <v>53</v>
      </c>
      <c r="H1090" s="111" t="s">
        <v>733</v>
      </c>
      <c r="I1090" s="63" t="s">
        <v>55</v>
      </c>
      <c r="J1090" s="106" t="s">
        <v>56</v>
      </c>
      <c r="K1090" s="106">
        <v>801116</v>
      </c>
      <c r="L1090" s="106" t="s">
        <v>2836</v>
      </c>
      <c r="M1090" s="106" t="s">
        <v>2837</v>
      </c>
      <c r="N1090" s="106" t="s">
        <v>2838</v>
      </c>
      <c r="O1090" s="106" t="s">
        <v>2839</v>
      </c>
      <c r="P1090" s="107" t="s">
        <v>2993</v>
      </c>
      <c r="Q1090" s="197">
        <v>4120000</v>
      </c>
      <c r="R1090" s="63">
        <v>1</v>
      </c>
      <c r="S1090" s="198">
        <v>28840000</v>
      </c>
      <c r="T1090" s="112" t="s">
        <v>888</v>
      </c>
      <c r="U1090" s="63" t="s">
        <v>445</v>
      </c>
      <c r="V1090" s="81">
        <v>43125</v>
      </c>
      <c r="W1090" s="199">
        <v>7</v>
      </c>
      <c r="X1090" s="85" t="s">
        <v>2994</v>
      </c>
      <c r="Y1090" s="81">
        <v>43103</v>
      </c>
      <c r="Z1090" s="196">
        <v>28840000</v>
      </c>
      <c r="AA1090" s="84"/>
      <c r="AB1090" s="63">
        <v>192</v>
      </c>
      <c r="AC1090" s="81">
        <v>43105</v>
      </c>
      <c r="AD1090" s="196">
        <v>28840000</v>
      </c>
      <c r="AE1090" s="63"/>
      <c r="AF1090" s="63">
        <v>34</v>
      </c>
      <c r="AG1090" s="81">
        <v>43115</v>
      </c>
      <c r="AH1090" s="196">
        <v>28840000</v>
      </c>
      <c r="AI1090" s="84" t="s">
        <v>2995</v>
      </c>
      <c r="AJ1090" s="63">
        <v>21</v>
      </c>
      <c r="AK1090" s="63"/>
      <c r="AL1090" s="196">
        <f t="shared" si="120"/>
        <v>28840000</v>
      </c>
      <c r="AM1090" s="196">
        <f>+VLOOKUP(AF1090,'[2]CRP a 31 Agosto de 2018'!$J$8:$V$2956,13,0)</f>
        <v>26780000</v>
      </c>
      <c r="AN1090" s="196">
        <f>AL1090-AM1090</f>
        <v>2060000</v>
      </c>
      <c r="AO1090" s="63"/>
      <c r="AP1090" s="63"/>
      <c r="AQ1090" s="63"/>
      <c r="AR1090" s="81">
        <v>43102</v>
      </c>
      <c r="AS1090" s="63" t="s">
        <v>2848</v>
      </c>
      <c r="AT1090" s="81">
        <v>43102</v>
      </c>
      <c r="AU1090" s="63" t="s">
        <v>2855</v>
      </c>
      <c r="AV1090" s="63"/>
      <c r="AW1090" s="63"/>
    </row>
    <row r="1091" spans="1:49" ht="300.75" thickTop="1" thickBot="1" x14ac:dyDescent="0.3">
      <c r="A1091" s="193">
        <v>43</v>
      </c>
      <c r="B1091" s="85" t="s">
        <v>2996</v>
      </c>
      <c r="C1091" s="105" t="s">
        <v>2834</v>
      </c>
      <c r="D1091" s="63" t="s">
        <v>714</v>
      </c>
      <c r="E1091" s="106" t="s">
        <v>2843</v>
      </c>
      <c r="F1091" s="63" t="s">
        <v>52</v>
      </c>
      <c r="G1091" s="63" t="s">
        <v>53</v>
      </c>
      <c r="H1091" s="111" t="s">
        <v>733</v>
      </c>
      <c r="I1091" s="63" t="s">
        <v>55</v>
      </c>
      <c r="J1091" s="106" t="s">
        <v>56</v>
      </c>
      <c r="K1091" s="106">
        <v>801116</v>
      </c>
      <c r="L1091" s="106" t="s">
        <v>2836</v>
      </c>
      <c r="M1091" s="106" t="s">
        <v>2837</v>
      </c>
      <c r="N1091" s="106" t="s">
        <v>2838</v>
      </c>
      <c r="O1091" s="106" t="s">
        <v>2839</v>
      </c>
      <c r="P1091" s="107" t="s">
        <v>2851</v>
      </c>
      <c r="Q1091" s="197">
        <v>9805600</v>
      </c>
      <c r="R1091" s="63">
        <v>1</v>
      </c>
      <c r="S1091" s="198">
        <f>107861600-17221600</f>
        <v>90640000</v>
      </c>
      <c r="T1091" s="112" t="s">
        <v>888</v>
      </c>
      <c r="U1091" s="63" t="s">
        <v>445</v>
      </c>
      <c r="V1091" s="81">
        <v>43125</v>
      </c>
      <c r="W1091" s="199">
        <v>11</v>
      </c>
      <c r="X1091" s="85" t="s">
        <v>2997</v>
      </c>
      <c r="Y1091" s="81">
        <v>43103</v>
      </c>
      <c r="Z1091" s="196">
        <v>107861600</v>
      </c>
      <c r="AA1091" s="84"/>
      <c r="AB1091" s="63">
        <v>193</v>
      </c>
      <c r="AC1091" s="81">
        <v>43105</v>
      </c>
      <c r="AD1091" s="196">
        <v>107861600</v>
      </c>
      <c r="AE1091" s="63"/>
      <c r="AF1091" s="63">
        <v>306</v>
      </c>
      <c r="AG1091" s="81">
        <v>43122</v>
      </c>
      <c r="AH1091" s="196">
        <v>90640000</v>
      </c>
      <c r="AI1091" s="84" t="s">
        <v>2998</v>
      </c>
      <c r="AJ1091" s="63">
        <v>279</v>
      </c>
      <c r="AK1091" s="63"/>
      <c r="AL1091" s="196">
        <f t="shared" si="120"/>
        <v>90640000</v>
      </c>
      <c r="AM1091" s="196">
        <f>+VLOOKUP(AF1091,'[2]CRP a 31 Agosto de 2018'!$J$8:$V$2956,13,0)</f>
        <v>51637333</v>
      </c>
      <c r="AN1091" s="196">
        <f>AL1091-AM1091</f>
        <v>39002667</v>
      </c>
      <c r="AO1091" s="63"/>
      <c r="AP1091" s="63"/>
      <c r="AQ1091" s="63"/>
      <c r="AR1091" s="81">
        <v>43102</v>
      </c>
      <c r="AS1091" s="63" t="s">
        <v>2848</v>
      </c>
      <c r="AT1091" s="81">
        <v>43102</v>
      </c>
      <c r="AU1091" s="63" t="s">
        <v>2855</v>
      </c>
      <c r="AV1091" s="63"/>
      <c r="AW1091" s="63"/>
    </row>
    <row r="1092" spans="1:49" ht="357.75" thickTop="1" thickBot="1" x14ac:dyDescent="0.3">
      <c r="A1092" s="193">
        <v>44</v>
      </c>
      <c r="B1092" s="85" t="s">
        <v>2999</v>
      </c>
      <c r="C1092" s="105" t="s">
        <v>2834</v>
      </c>
      <c r="D1092" s="63" t="s">
        <v>714</v>
      </c>
      <c r="E1092" s="106" t="s">
        <v>2835</v>
      </c>
      <c r="F1092" s="63" t="s">
        <v>52</v>
      </c>
      <c r="G1092" s="63" t="s">
        <v>53</v>
      </c>
      <c r="H1092" s="111" t="s">
        <v>733</v>
      </c>
      <c r="I1092" s="63" t="s">
        <v>55</v>
      </c>
      <c r="J1092" s="106" t="s">
        <v>56</v>
      </c>
      <c r="K1092" s="106">
        <v>801116</v>
      </c>
      <c r="L1092" s="106" t="s">
        <v>2836</v>
      </c>
      <c r="M1092" s="106" t="s">
        <v>2837</v>
      </c>
      <c r="N1092" s="106" t="s">
        <v>2838</v>
      </c>
      <c r="O1092" s="106" t="s">
        <v>2839</v>
      </c>
      <c r="P1092" s="107" t="s">
        <v>2851</v>
      </c>
      <c r="Q1092" s="197">
        <v>5253000</v>
      </c>
      <c r="R1092" s="63">
        <v>1</v>
      </c>
      <c r="S1092" s="198">
        <v>42024000</v>
      </c>
      <c r="T1092" s="112" t="s">
        <v>888</v>
      </c>
      <c r="U1092" s="63" t="s">
        <v>445</v>
      </c>
      <c r="V1092" s="81">
        <v>43125</v>
      </c>
      <c r="W1092" s="199">
        <v>8</v>
      </c>
      <c r="X1092" s="85" t="s">
        <v>3000</v>
      </c>
      <c r="Y1092" s="81">
        <v>43103</v>
      </c>
      <c r="Z1092" s="196">
        <v>42024000</v>
      </c>
      <c r="AA1092" s="84"/>
      <c r="AB1092" s="63">
        <v>194</v>
      </c>
      <c r="AC1092" s="81">
        <v>43105</v>
      </c>
      <c r="AD1092" s="196">
        <v>42024000</v>
      </c>
      <c r="AE1092" s="63"/>
      <c r="AF1092" s="63">
        <v>62</v>
      </c>
      <c r="AG1092" s="81">
        <v>43116</v>
      </c>
      <c r="AH1092" s="196">
        <v>42024000</v>
      </c>
      <c r="AI1092" s="84" t="s">
        <v>3001</v>
      </c>
      <c r="AJ1092" s="63">
        <v>27</v>
      </c>
      <c r="AK1092" s="63"/>
      <c r="AL1092" s="196">
        <f t="shared" si="120"/>
        <v>42024000</v>
      </c>
      <c r="AM1092" s="196">
        <f>+VLOOKUP(AF1092,'[2]CRP a 31 Agosto de 2018'!$J$8:$V$2956,13,0)</f>
        <v>34144500</v>
      </c>
      <c r="AN1092" s="196">
        <f>AL1092-AM1092</f>
        <v>7879500</v>
      </c>
      <c r="AO1092" s="63"/>
      <c r="AP1092" s="63"/>
      <c r="AQ1092" s="63"/>
      <c r="AR1092" s="81">
        <v>43102</v>
      </c>
      <c r="AS1092" s="63" t="s">
        <v>2848</v>
      </c>
      <c r="AT1092" s="81">
        <v>43102</v>
      </c>
      <c r="AU1092" s="63" t="s">
        <v>2855</v>
      </c>
      <c r="AV1092" s="63"/>
      <c r="AW1092" s="63"/>
    </row>
    <row r="1093" spans="1:49" ht="300.75" thickTop="1" thickBot="1" x14ac:dyDescent="0.3">
      <c r="A1093" s="193">
        <v>45</v>
      </c>
      <c r="B1093" s="85" t="s">
        <v>3002</v>
      </c>
      <c r="C1093" s="105" t="s">
        <v>2834</v>
      </c>
      <c r="D1093" s="63" t="s">
        <v>714</v>
      </c>
      <c r="E1093" s="106" t="s">
        <v>2843</v>
      </c>
      <c r="F1093" s="63" t="s">
        <v>52</v>
      </c>
      <c r="G1093" s="63" t="s">
        <v>53</v>
      </c>
      <c r="H1093" s="111" t="s">
        <v>733</v>
      </c>
      <c r="I1093" s="63" t="s">
        <v>55</v>
      </c>
      <c r="J1093" s="106" t="s">
        <v>56</v>
      </c>
      <c r="K1093" s="106">
        <v>801116</v>
      </c>
      <c r="L1093" s="106" t="s">
        <v>2836</v>
      </c>
      <c r="M1093" s="106" t="s">
        <v>2837</v>
      </c>
      <c r="N1093" s="106" t="s">
        <v>2838</v>
      </c>
      <c r="O1093" s="106" t="s">
        <v>2839</v>
      </c>
      <c r="P1093" s="107" t="s">
        <v>2851</v>
      </c>
      <c r="Q1093" s="197">
        <v>5253000</v>
      </c>
      <c r="R1093" s="63">
        <v>1</v>
      </c>
      <c r="S1093" s="198">
        <v>57783000</v>
      </c>
      <c r="T1093" s="112" t="s">
        <v>888</v>
      </c>
      <c r="U1093" s="63" t="s">
        <v>445</v>
      </c>
      <c r="V1093" s="81">
        <v>43125</v>
      </c>
      <c r="W1093" s="199">
        <v>11</v>
      </c>
      <c r="X1093" s="85" t="s">
        <v>3003</v>
      </c>
      <c r="Y1093" s="81">
        <v>43103</v>
      </c>
      <c r="Z1093" s="196">
        <v>57783000</v>
      </c>
      <c r="AA1093" s="84"/>
      <c r="AB1093" s="63">
        <v>195</v>
      </c>
      <c r="AC1093" s="81">
        <v>43105</v>
      </c>
      <c r="AD1093" s="196">
        <v>57783000</v>
      </c>
      <c r="AE1093" s="63"/>
      <c r="AF1093" s="63">
        <v>65</v>
      </c>
      <c r="AG1093" s="81">
        <v>43116</v>
      </c>
      <c r="AH1093" s="196">
        <v>57783000</v>
      </c>
      <c r="AI1093" s="84" t="s">
        <v>3004</v>
      </c>
      <c r="AJ1093" s="63">
        <v>30</v>
      </c>
      <c r="AK1093" s="63"/>
      <c r="AL1093" s="196">
        <f t="shared" si="120"/>
        <v>57783000</v>
      </c>
      <c r="AM1093" s="196">
        <f>+VLOOKUP(AF1093,'[2]CRP a 31 Agosto de 2018'!$J$8:$V$2956,13,0)</f>
        <v>34144500</v>
      </c>
      <c r="AN1093" s="196">
        <f t="shared" ref="AN1093:AN1094" si="122">AL1093-AM1093</f>
        <v>23638500</v>
      </c>
      <c r="AO1093" s="63"/>
      <c r="AP1093" s="63"/>
      <c r="AQ1093" s="63"/>
      <c r="AR1093" s="81">
        <v>43102</v>
      </c>
      <c r="AS1093" s="63" t="s">
        <v>2848</v>
      </c>
      <c r="AT1093" s="81">
        <v>43102</v>
      </c>
      <c r="AU1093" s="63" t="s">
        <v>2855</v>
      </c>
      <c r="AV1093" s="63"/>
      <c r="AW1093" s="63"/>
    </row>
    <row r="1094" spans="1:49" ht="357.75" thickTop="1" thickBot="1" x14ac:dyDescent="0.3">
      <c r="A1094" s="193">
        <v>46</v>
      </c>
      <c r="B1094" s="85" t="s">
        <v>3005</v>
      </c>
      <c r="C1094" s="105" t="s">
        <v>2834</v>
      </c>
      <c r="D1094" s="63" t="s">
        <v>714</v>
      </c>
      <c r="E1094" s="106" t="s">
        <v>2835</v>
      </c>
      <c r="F1094" s="63" t="s">
        <v>52</v>
      </c>
      <c r="G1094" s="63" t="s">
        <v>53</v>
      </c>
      <c r="H1094" s="111" t="s">
        <v>733</v>
      </c>
      <c r="I1094" s="63" t="s">
        <v>55</v>
      </c>
      <c r="J1094" s="106" t="s">
        <v>56</v>
      </c>
      <c r="K1094" s="106">
        <v>801116</v>
      </c>
      <c r="L1094" s="106" t="s">
        <v>2836</v>
      </c>
      <c r="M1094" s="106" t="s">
        <v>2837</v>
      </c>
      <c r="N1094" s="106" t="s">
        <v>2838</v>
      </c>
      <c r="O1094" s="106" t="s">
        <v>2839</v>
      </c>
      <c r="P1094" s="107" t="s">
        <v>2851</v>
      </c>
      <c r="Q1094" s="197">
        <v>5665000</v>
      </c>
      <c r="R1094" s="63">
        <v>1</v>
      </c>
      <c r="S1094" s="198">
        <v>62315000</v>
      </c>
      <c r="T1094" s="112" t="s">
        <v>888</v>
      </c>
      <c r="U1094" s="63" t="s">
        <v>445</v>
      </c>
      <c r="V1094" s="81">
        <v>43125</v>
      </c>
      <c r="W1094" s="199">
        <v>11</v>
      </c>
      <c r="X1094" s="85" t="s">
        <v>3006</v>
      </c>
      <c r="Y1094" s="81">
        <v>43103</v>
      </c>
      <c r="Z1094" s="196">
        <v>62315000</v>
      </c>
      <c r="AA1094" s="84"/>
      <c r="AB1094" s="63">
        <v>196</v>
      </c>
      <c r="AC1094" s="81">
        <v>43105</v>
      </c>
      <c r="AD1094" s="196">
        <v>62315000</v>
      </c>
      <c r="AE1094" s="63"/>
      <c r="AF1094" s="63">
        <v>77</v>
      </c>
      <c r="AG1094" s="81">
        <v>43116</v>
      </c>
      <c r="AH1094" s="196">
        <v>62315000</v>
      </c>
      <c r="AI1094" s="84" t="s">
        <v>3007</v>
      </c>
      <c r="AJ1094" s="63">
        <v>69</v>
      </c>
      <c r="AK1094" s="63"/>
      <c r="AL1094" s="196">
        <f t="shared" si="120"/>
        <v>62315000</v>
      </c>
      <c r="AM1094" s="196">
        <f>+VLOOKUP(AF1094,'[2]CRP a 31 Agosto de 2018'!$J$8:$V$2956,13,0)</f>
        <v>36633667</v>
      </c>
      <c r="AN1094" s="196">
        <f t="shared" si="122"/>
        <v>25681333</v>
      </c>
      <c r="AO1094" s="63"/>
      <c r="AP1094" s="63"/>
      <c r="AQ1094" s="63"/>
      <c r="AR1094" s="81">
        <v>43102</v>
      </c>
      <c r="AS1094" s="63" t="s">
        <v>2848</v>
      </c>
      <c r="AT1094" s="81">
        <v>43102</v>
      </c>
      <c r="AU1094" s="63" t="s">
        <v>2855</v>
      </c>
      <c r="AV1094" s="63"/>
      <c r="AW1094" s="63"/>
    </row>
    <row r="1095" spans="1:49" ht="409.6" thickTop="1" thickBot="1" x14ac:dyDescent="0.3">
      <c r="A1095" s="193">
        <v>47</v>
      </c>
      <c r="B1095" s="85" t="s">
        <v>3008</v>
      </c>
      <c r="C1095" s="105" t="s">
        <v>2834</v>
      </c>
      <c r="D1095" s="63" t="s">
        <v>714</v>
      </c>
      <c r="E1095" s="106" t="s">
        <v>2845</v>
      </c>
      <c r="F1095" s="63" t="s">
        <v>52</v>
      </c>
      <c r="G1095" s="63" t="s">
        <v>53</v>
      </c>
      <c r="H1095" s="111" t="s">
        <v>733</v>
      </c>
      <c r="I1095" s="63" t="s">
        <v>55</v>
      </c>
      <c r="J1095" s="106" t="s">
        <v>56</v>
      </c>
      <c r="K1095" s="106">
        <v>801116</v>
      </c>
      <c r="L1095" s="106" t="s">
        <v>2836</v>
      </c>
      <c r="M1095" s="106" t="s">
        <v>2837</v>
      </c>
      <c r="N1095" s="106" t="s">
        <v>2838</v>
      </c>
      <c r="O1095" s="106" t="s">
        <v>2839</v>
      </c>
      <c r="P1095" s="107" t="s">
        <v>3009</v>
      </c>
      <c r="Q1095" s="197">
        <v>7210000</v>
      </c>
      <c r="R1095" s="63">
        <v>1</v>
      </c>
      <c r="S1095" s="198">
        <v>79310000</v>
      </c>
      <c r="T1095" s="112" t="s">
        <v>888</v>
      </c>
      <c r="U1095" s="63" t="s">
        <v>445</v>
      </c>
      <c r="V1095" s="81">
        <v>43125</v>
      </c>
      <c r="W1095" s="199">
        <v>11</v>
      </c>
      <c r="X1095" s="85" t="s">
        <v>3010</v>
      </c>
      <c r="Y1095" s="81">
        <v>43103</v>
      </c>
      <c r="Z1095" s="196">
        <v>79310000</v>
      </c>
      <c r="AA1095" s="84"/>
      <c r="AB1095" s="63">
        <v>197</v>
      </c>
      <c r="AC1095" s="81">
        <v>43105</v>
      </c>
      <c r="AD1095" s="196">
        <v>79310000</v>
      </c>
      <c r="AE1095" s="63"/>
      <c r="AF1095" s="63">
        <v>174</v>
      </c>
      <c r="AG1095" s="81">
        <v>43118</v>
      </c>
      <c r="AH1095" s="196">
        <v>79310000</v>
      </c>
      <c r="AI1095" s="84" t="s">
        <v>3011</v>
      </c>
      <c r="AJ1095" s="63">
        <v>100</v>
      </c>
      <c r="AK1095" s="63"/>
      <c r="AL1095" s="196">
        <f t="shared" si="120"/>
        <v>79310000</v>
      </c>
      <c r="AM1095" s="196">
        <f>+VLOOKUP(AF1095,'[2]CRP a 31 Agosto de 2018'!$J$8:$V$2956,13,0)</f>
        <v>46384333</v>
      </c>
      <c r="AN1095" s="196">
        <f>AL1095-AM1095</f>
        <v>32925667</v>
      </c>
      <c r="AO1095" s="63"/>
      <c r="AP1095" s="63"/>
      <c r="AQ1095" s="63"/>
      <c r="AR1095" s="81">
        <v>43102</v>
      </c>
      <c r="AS1095" s="63" t="s">
        <v>2848</v>
      </c>
      <c r="AT1095" s="81">
        <v>43102</v>
      </c>
      <c r="AU1095" s="63" t="s">
        <v>2855</v>
      </c>
      <c r="AV1095" s="63"/>
      <c r="AW1095" s="63"/>
    </row>
    <row r="1096" spans="1:49" ht="409.6" thickTop="1" thickBot="1" x14ac:dyDescent="0.3">
      <c r="A1096" s="193">
        <v>48</v>
      </c>
      <c r="B1096" s="85" t="s">
        <v>3012</v>
      </c>
      <c r="C1096" s="105" t="s">
        <v>2834</v>
      </c>
      <c r="D1096" s="63" t="s">
        <v>714</v>
      </c>
      <c r="E1096" s="106" t="s">
        <v>2835</v>
      </c>
      <c r="F1096" s="63" t="s">
        <v>52</v>
      </c>
      <c r="G1096" s="63" t="s">
        <v>53</v>
      </c>
      <c r="H1096" s="111" t="s">
        <v>733</v>
      </c>
      <c r="I1096" s="63" t="s">
        <v>55</v>
      </c>
      <c r="J1096" s="106" t="s">
        <v>56</v>
      </c>
      <c r="K1096" s="106">
        <v>801116</v>
      </c>
      <c r="L1096" s="106" t="s">
        <v>2836</v>
      </c>
      <c r="M1096" s="106" t="s">
        <v>2837</v>
      </c>
      <c r="N1096" s="106" t="s">
        <v>2838</v>
      </c>
      <c r="O1096" s="106" t="s">
        <v>2839</v>
      </c>
      <c r="P1096" s="107" t="s">
        <v>2888</v>
      </c>
      <c r="Q1096" s="197">
        <v>3038500</v>
      </c>
      <c r="R1096" s="63">
        <v>1</v>
      </c>
      <c r="S1096" s="198">
        <v>21269500</v>
      </c>
      <c r="T1096" s="112" t="s">
        <v>928</v>
      </c>
      <c r="U1096" s="63" t="s">
        <v>445</v>
      </c>
      <c r="V1096" s="81">
        <v>43125</v>
      </c>
      <c r="W1096" s="199">
        <v>7</v>
      </c>
      <c r="X1096" s="85" t="s">
        <v>3013</v>
      </c>
      <c r="Y1096" s="81">
        <v>43103</v>
      </c>
      <c r="Z1096" s="196">
        <v>21269500</v>
      </c>
      <c r="AA1096" s="84"/>
      <c r="AB1096" s="63">
        <v>198</v>
      </c>
      <c r="AC1096" s="81">
        <v>43105</v>
      </c>
      <c r="AD1096" s="196">
        <v>21269500</v>
      </c>
      <c r="AE1096" s="63"/>
      <c r="AF1096" s="63">
        <v>472</v>
      </c>
      <c r="AG1096" s="203">
        <v>43126</v>
      </c>
      <c r="AH1096" s="196">
        <v>21269500</v>
      </c>
      <c r="AI1096" s="84" t="s">
        <v>3014</v>
      </c>
      <c r="AJ1096" s="63">
        <v>398</v>
      </c>
      <c r="AK1096" s="63"/>
      <c r="AL1096" s="196">
        <f t="shared" si="120"/>
        <v>21269500</v>
      </c>
      <c r="AM1096" s="196">
        <f>+VLOOKUP(AF1096,'[2]CRP a 31 Agosto de 2018'!$J$8:$V$2956,13,0)</f>
        <v>18737417</v>
      </c>
      <c r="AN1096" s="196">
        <f>+AL1096-AM1096</f>
        <v>2532083</v>
      </c>
      <c r="AO1096" s="63"/>
      <c r="AP1096" s="63"/>
      <c r="AQ1096" s="63"/>
      <c r="AR1096" s="81">
        <v>43102</v>
      </c>
      <c r="AS1096" s="63" t="s">
        <v>2848</v>
      </c>
      <c r="AT1096" s="81">
        <v>43102</v>
      </c>
      <c r="AU1096" s="63" t="s">
        <v>2855</v>
      </c>
      <c r="AV1096" s="63"/>
      <c r="AW1096" s="63"/>
    </row>
    <row r="1097" spans="1:49" ht="409.6" thickTop="1" thickBot="1" x14ac:dyDescent="0.3">
      <c r="A1097" s="193">
        <v>49</v>
      </c>
      <c r="B1097" s="85" t="s">
        <v>3015</v>
      </c>
      <c r="C1097" s="105" t="s">
        <v>2834</v>
      </c>
      <c r="D1097" s="63" t="s">
        <v>714</v>
      </c>
      <c r="E1097" s="106" t="s">
        <v>2835</v>
      </c>
      <c r="F1097" s="63" t="s">
        <v>52</v>
      </c>
      <c r="G1097" s="63" t="s">
        <v>53</v>
      </c>
      <c r="H1097" s="111" t="s">
        <v>733</v>
      </c>
      <c r="I1097" s="63" t="s">
        <v>55</v>
      </c>
      <c r="J1097" s="106" t="s">
        <v>56</v>
      </c>
      <c r="K1097" s="106">
        <v>801116</v>
      </c>
      <c r="L1097" s="106" t="s">
        <v>2836</v>
      </c>
      <c r="M1097" s="106" t="s">
        <v>2837</v>
      </c>
      <c r="N1097" s="106" t="s">
        <v>2838</v>
      </c>
      <c r="O1097" s="106" t="s">
        <v>2839</v>
      </c>
      <c r="P1097" s="107" t="s">
        <v>3016</v>
      </c>
      <c r="Q1097" s="197">
        <v>3399000</v>
      </c>
      <c r="R1097" s="63">
        <v>1</v>
      </c>
      <c r="S1097" s="198">
        <v>37389000</v>
      </c>
      <c r="T1097" s="112" t="s">
        <v>928</v>
      </c>
      <c r="U1097" s="63" t="s">
        <v>445</v>
      </c>
      <c r="V1097" s="81">
        <v>43125</v>
      </c>
      <c r="W1097" s="199">
        <v>11</v>
      </c>
      <c r="X1097" s="85" t="s">
        <v>3017</v>
      </c>
      <c r="Y1097" s="81">
        <v>43103</v>
      </c>
      <c r="Z1097" s="196">
        <v>37389000</v>
      </c>
      <c r="AA1097" s="84"/>
      <c r="AB1097" s="63">
        <v>209</v>
      </c>
      <c r="AC1097" s="81">
        <v>43105</v>
      </c>
      <c r="AD1097" s="196">
        <v>37389000</v>
      </c>
      <c r="AE1097" s="63"/>
      <c r="AF1097" s="63">
        <v>135</v>
      </c>
      <c r="AG1097" s="81">
        <v>43117</v>
      </c>
      <c r="AH1097" s="196">
        <v>37389000</v>
      </c>
      <c r="AI1097" s="84" t="s">
        <v>3018</v>
      </c>
      <c r="AJ1097" s="63">
        <v>144</v>
      </c>
      <c r="AK1097" s="63"/>
      <c r="AL1097" s="196">
        <v>37389000</v>
      </c>
      <c r="AM1097" s="196">
        <f>+VLOOKUP(AF1097,'[2]CRP a 31 Agosto de 2018'!$J$8:$V$2956,13,0)</f>
        <v>21866900</v>
      </c>
      <c r="AN1097" s="196">
        <f>AL1097-AM1097</f>
        <v>15522100</v>
      </c>
      <c r="AO1097" s="63"/>
      <c r="AP1097" s="63"/>
      <c r="AQ1097" s="63"/>
      <c r="AR1097" s="81">
        <v>43103</v>
      </c>
      <c r="AS1097" s="63" t="s">
        <v>2848</v>
      </c>
      <c r="AT1097" s="81">
        <v>43103</v>
      </c>
      <c r="AU1097" s="63" t="s">
        <v>2855</v>
      </c>
      <c r="AV1097" s="63"/>
      <c r="AW1097" s="63"/>
    </row>
    <row r="1098" spans="1:49" ht="409.6" thickTop="1" thickBot="1" x14ac:dyDescent="0.3">
      <c r="A1098" s="193">
        <v>51</v>
      </c>
      <c r="B1098" s="85" t="s">
        <v>3019</v>
      </c>
      <c r="C1098" s="105" t="s">
        <v>2834</v>
      </c>
      <c r="D1098" s="63" t="s">
        <v>714</v>
      </c>
      <c r="E1098" s="106" t="s">
        <v>2845</v>
      </c>
      <c r="F1098" s="63" t="s">
        <v>52</v>
      </c>
      <c r="G1098" s="63" t="s">
        <v>53</v>
      </c>
      <c r="H1098" s="111" t="s">
        <v>733</v>
      </c>
      <c r="I1098" s="63" t="s">
        <v>55</v>
      </c>
      <c r="J1098" s="106" t="s">
        <v>56</v>
      </c>
      <c r="K1098" s="106">
        <v>801116</v>
      </c>
      <c r="L1098" s="106" t="s">
        <v>2836</v>
      </c>
      <c r="M1098" s="106" t="s">
        <v>2837</v>
      </c>
      <c r="N1098" s="106" t="s">
        <v>2838</v>
      </c>
      <c r="O1098" s="106" t="s">
        <v>2839</v>
      </c>
      <c r="P1098" s="107" t="s">
        <v>2899</v>
      </c>
      <c r="Q1098" s="197">
        <v>4120000</v>
      </c>
      <c r="R1098" s="63">
        <v>1</v>
      </c>
      <c r="S1098" s="198">
        <v>45320000</v>
      </c>
      <c r="T1098" s="112" t="s">
        <v>888</v>
      </c>
      <c r="U1098" s="63" t="s">
        <v>445</v>
      </c>
      <c r="V1098" s="81">
        <v>43125</v>
      </c>
      <c r="W1098" s="199">
        <v>11</v>
      </c>
      <c r="X1098" s="85" t="s">
        <v>3020</v>
      </c>
      <c r="Y1098" s="81">
        <v>43103</v>
      </c>
      <c r="Z1098" s="196">
        <v>45320000</v>
      </c>
      <c r="AA1098" s="84"/>
      <c r="AB1098" s="63">
        <v>203</v>
      </c>
      <c r="AC1098" s="81">
        <v>43105</v>
      </c>
      <c r="AD1098" s="198">
        <v>45320000</v>
      </c>
      <c r="AE1098" s="63"/>
      <c r="AF1098" s="63">
        <v>67</v>
      </c>
      <c r="AG1098" s="81">
        <v>43116</v>
      </c>
      <c r="AH1098" s="196">
        <v>45320000</v>
      </c>
      <c r="AI1098" s="84" t="s">
        <v>3021</v>
      </c>
      <c r="AJ1098" s="63">
        <v>32</v>
      </c>
      <c r="AK1098" s="63"/>
      <c r="AL1098" s="196">
        <f t="shared" ref="AL1098:AL1099" si="123">AH1098</f>
        <v>45320000</v>
      </c>
      <c r="AM1098" s="196">
        <f>+VLOOKUP(AF1098,'[2]CRP a 31 Agosto de 2018'!$J$8:$V$2956,13,0)</f>
        <v>26780000</v>
      </c>
      <c r="AN1098" s="196">
        <f>AL1098-AM1098</f>
        <v>18540000</v>
      </c>
      <c r="AO1098" s="63"/>
      <c r="AP1098" s="63"/>
      <c r="AQ1098" s="63"/>
      <c r="AR1098" s="81">
        <v>43102</v>
      </c>
      <c r="AS1098" s="63" t="s">
        <v>2848</v>
      </c>
      <c r="AT1098" s="81">
        <v>43102</v>
      </c>
      <c r="AU1098" s="63" t="s">
        <v>2855</v>
      </c>
      <c r="AV1098" s="63"/>
      <c r="AW1098" s="63"/>
    </row>
    <row r="1099" spans="1:49" ht="409.6" thickTop="1" thickBot="1" x14ac:dyDescent="0.3">
      <c r="A1099" s="193">
        <v>52</v>
      </c>
      <c r="B1099" s="85" t="s">
        <v>3022</v>
      </c>
      <c r="C1099" s="105" t="s">
        <v>2834</v>
      </c>
      <c r="D1099" s="63" t="s">
        <v>714</v>
      </c>
      <c r="E1099" s="106" t="s">
        <v>2845</v>
      </c>
      <c r="F1099" s="63" t="s">
        <v>52</v>
      </c>
      <c r="G1099" s="63" t="s">
        <v>53</v>
      </c>
      <c r="H1099" s="111" t="s">
        <v>733</v>
      </c>
      <c r="I1099" s="63" t="s">
        <v>55</v>
      </c>
      <c r="J1099" s="106" t="s">
        <v>56</v>
      </c>
      <c r="K1099" s="106">
        <v>801116</v>
      </c>
      <c r="L1099" s="106" t="s">
        <v>2836</v>
      </c>
      <c r="M1099" s="106" t="s">
        <v>2837</v>
      </c>
      <c r="N1099" s="106" t="s">
        <v>2838</v>
      </c>
      <c r="O1099" s="106" t="s">
        <v>2839</v>
      </c>
      <c r="P1099" s="107" t="s">
        <v>3023</v>
      </c>
      <c r="Q1099" s="197">
        <v>4120000</v>
      </c>
      <c r="R1099" s="63">
        <v>1</v>
      </c>
      <c r="S1099" s="198">
        <v>45320000</v>
      </c>
      <c r="T1099" s="112" t="s">
        <v>888</v>
      </c>
      <c r="U1099" s="63" t="s">
        <v>445</v>
      </c>
      <c r="V1099" s="81">
        <v>43125</v>
      </c>
      <c r="W1099" s="199">
        <v>11</v>
      </c>
      <c r="X1099" s="85" t="s">
        <v>3024</v>
      </c>
      <c r="Y1099" s="81">
        <v>43103</v>
      </c>
      <c r="Z1099" s="196">
        <v>45320000</v>
      </c>
      <c r="AA1099" s="84"/>
      <c r="AB1099" s="63">
        <v>205</v>
      </c>
      <c r="AC1099" s="81">
        <v>43105</v>
      </c>
      <c r="AD1099" s="198">
        <v>45320000</v>
      </c>
      <c r="AE1099" s="63"/>
      <c r="AF1099" s="63">
        <v>284</v>
      </c>
      <c r="AG1099" s="81">
        <v>43122</v>
      </c>
      <c r="AH1099" s="196">
        <v>45320000</v>
      </c>
      <c r="AI1099" s="84" t="s">
        <v>3025</v>
      </c>
      <c r="AJ1099" s="63">
        <v>254</v>
      </c>
      <c r="AK1099" s="63"/>
      <c r="AL1099" s="196">
        <f t="shared" si="123"/>
        <v>45320000</v>
      </c>
      <c r="AM1099" s="196">
        <f>+VLOOKUP(AF1099,'[2]CRP a 31 Agosto de 2018'!$J$8:$V$2956,13,0)</f>
        <v>25956000</v>
      </c>
      <c r="AN1099" s="196">
        <f>AL1099-AM1099</f>
        <v>19364000</v>
      </c>
      <c r="AO1099" s="63"/>
      <c r="AP1099" s="63"/>
      <c r="AQ1099" s="63"/>
      <c r="AR1099" s="81">
        <v>43102</v>
      </c>
      <c r="AS1099" s="63" t="s">
        <v>2848</v>
      </c>
      <c r="AT1099" s="81">
        <v>43102</v>
      </c>
      <c r="AU1099" s="63" t="s">
        <v>2855</v>
      </c>
      <c r="AV1099" s="63"/>
      <c r="AW1099" s="63"/>
    </row>
    <row r="1100" spans="1:49" ht="409.6" thickTop="1" thickBot="1" x14ac:dyDescent="0.3">
      <c r="A1100" s="193">
        <v>53</v>
      </c>
      <c r="B1100" s="85" t="s">
        <v>3026</v>
      </c>
      <c r="C1100" s="105" t="s">
        <v>2834</v>
      </c>
      <c r="D1100" s="63" t="s">
        <v>714</v>
      </c>
      <c r="E1100" s="106" t="s">
        <v>2845</v>
      </c>
      <c r="F1100" s="63" t="s">
        <v>52</v>
      </c>
      <c r="G1100" s="63" t="s">
        <v>53</v>
      </c>
      <c r="H1100" s="111" t="s">
        <v>733</v>
      </c>
      <c r="I1100" s="63" t="s">
        <v>55</v>
      </c>
      <c r="J1100" s="106" t="s">
        <v>56</v>
      </c>
      <c r="K1100" s="106">
        <v>801116</v>
      </c>
      <c r="L1100" s="106" t="s">
        <v>2836</v>
      </c>
      <c r="M1100" s="106" t="s">
        <v>2837</v>
      </c>
      <c r="N1100" s="106" t="s">
        <v>2838</v>
      </c>
      <c r="O1100" s="106" t="s">
        <v>2839</v>
      </c>
      <c r="P1100" s="107" t="s">
        <v>3027</v>
      </c>
      <c r="Q1100" s="197">
        <v>1259175</v>
      </c>
      <c r="R1100" s="63">
        <v>1</v>
      </c>
      <c r="S1100" s="198">
        <v>0</v>
      </c>
      <c r="T1100" s="112" t="s">
        <v>888</v>
      </c>
      <c r="U1100" s="63" t="s">
        <v>445</v>
      </c>
      <c r="V1100" s="81">
        <v>43125</v>
      </c>
      <c r="W1100" s="199">
        <v>11</v>
      </c>
      <c r="X1100" s="200" t="s">
        <v>3028</v>
      </c>
      <c r="Y1100" s="81">
        <v>43109</v>
      </c>
      <c r="Z1100" s="201" t="s">
        <v>2853</v>
      </c>
      <c r="AA1100" s="201" t="s">
        <v>2853</v>
      </c>
      <c r="AB1100" s="201" t="s">
        <v>2853</v>
      </c>
      <c r="AC1100" s="201" t="s">
        <v>2853</v>
      </c>
      <c r="AD1100" s="198" t="s">
        <v>2853</v>
      </c>
      <c r="AE1100" s="201" t="s">
        <v>2853</v>
      </c>
      <c r="AF1100" s="201" t="s">
        <v>2853</v>
      </c>
      <c r="AG1100" s="201" t="s">
        <v>2853</v>
      </c>
      <c r="AH1100" s="196" t="s">
        <v>2853</v>
      </c>
      <c r="AI1100" s="201" t="s">
        <v>2853</v>
      </c>
      <c r="AJ1100" s="201" t="s">
        <v>2853</v>
      </c>
      <c r="AK1100" s="201" t="s">
        <v>2853</v>
      </c>
      <c r="AL1100" s="196"/>
      <c r="AM1100" s="196">
        <v>0</v>
      </c>
      <c r="AN1100" s="201" t="s">
        <v>2853</v>
      </c>
      <c r="AO1100" s="201" t="s">
        <v>2853</v>
      </c>
      <c r="AP1100" s="201" t="s">
        <v>2853</v>
      </c>
      <c r="AQ1100" s="113" t="s">
        <v>3029</v>
      </c>
      <c r="AR1100" s="114">
        <v>43109</v>
      </c>
      <c r="AS1100" s="113" t="s">
        <v>2848</v>
      </c>
      <c r="AT1100" s="114">
        <v>43109</v>
      </c>
      <c r="AU1100" s="113" t="s">
        <v>2855</v>
      </c>
      <c r="AV1100" s="201" t="s">
        <v>2853</v>
      </c>
      <c r="AW1100" s="204" t="s">
        <v>2853</v>
      </c>
    </row>
    <row r="1101" spans="1:49" ht="357.75" thickTop="1" thickBot="1" x14ac:dyDescent="0.3">
      <c r="A1101" s="193">
        <v>54</v>
      </c>
      <c r="B1101" s="85" t="s">
        <v>3030</v>
      </c>
      <c r="C1101" s="105" t="s">
        <v>2834</v>
      </c>
      <c r="D1101" s="63" t="s">
        <v>714</v>
      </c>
      <c r="E1101" s="106" t="s">
        <v>2835</v>
      </c>
      <c r="F1101" s="63" t="s">
        <v>52</v>
      </c>
      <c r="G1101" s="63" t="s">
        <v>53</v>
      </c>
      <c r="H1101" s="111" t="s">
        <v>733</v>
      </c>
      <c r="I1101" s="63" t="s">
        <v>55</v>
      </c>
      <c r="J1101" s="106" t="s">
        <v>56</v>
      </c>
      <c r="K1101" s="106">
        <v>801116</v>
      </c>
      <c r="L1101" s="106" t="s">
        <v>2836</v>
      </c>
      <c r="M1101" s="106" t="s">
        <v>2837</v>
      </c>
      <c r="N1101" s="106" t="s">
        <v>2838</v>
      </c>
      <c r="O1101" s="106" t="s">
        <v>2839</v>
      </c>
      <c r="P1101" s="107" t="s">
        <v>3031</v>
      </c>
      <c r="Q1101" s="197">
        <v>1030000</v>
      </c>
      <c r="R1101" s="63">
        <v>1</v>
      </c>
      <c r="S1101" s="198">
        <v>0</v>
      </c>
      <c r="T1101" s="112" t="s">
        <v>888</v>
      </c>
      <c r="U1101" s="63" t="s">
        <v>445</v>
      </c>
      <c r="V1101" s="81">
        <v>43125</v>
      </c>
      <c r="W1101" s="199">
        <v>11</v>
      </c>
      <c r="X1101" s="200" t="s">
        <v>3032</v>
      </c>
      <c r="Y1101" s="81">
        <v>43109</v>
      </c>
      <c r="Z1101" s="201" t="s">
        <v>2853</v>
      </c>
      <c r="AA1101" s="201" t="s">
        <v>2853</v>
      </c>
      <c r="AB1101" s="201" t="s">
        <v>2853</v>
      </c>
      <c r="AC1101" s="201" t="s">
        <v>2853</v>
      </c>
      <c r="AD1101" s="198" t="s">
        <v>2853</v>
      </c>
      <c r="AE1101" s="201" t="s">
        <v>2853</v>
      </c>
      <c r="AF1101" s="201" t="s">
        <v>2853</v>
      </c>
      <c r="AG1101" s="201" t="s">
        <v>2853</v>
      </c>
      <c r="AH1101" s="196" t="s">
        <v>2853</v>
      </c>
      <c r="AI1101" s="201" t="s">
        <v>2853</v>
      </c>
      <c r="AJ1101" s="201" t="s">
        <v>2853</v>
      </c>
      <c r="AK1101" s="201" t="s">
        <v>2853</v>
      </c>
      <c r="AL1101" s="196"/>
      <c r="AM1101" s="196">
        <v>0</v>
      </c>
      <c r="AN1101" s="201" t="s">
        <v>2853</v>
      </c>
      <c r="AO1101" s="201" t="s">
        <v>2853</v>
      </c>
      <c r="AP1101" s="201" t="s">
        <v>2853</v>
      </c>
      <c r="AQ1101" s="113" t="s">
        <v>3033</v>
      </c>
      <c r="AR1101" s="114">
        <v>43109</v>
      </c>
      <c r="AS1101" s="113" t="s">
        <v>2848</v>
      </c>
      <c r="AT1101" s="114">
        <v>43109</v>
      </c>
      <c r="AU1101" s="113" t="s">
        <v>2855</v>
      </c>
      <c r="AV1101" s="201" t="s">
        <v>2853</v>
      </c>
      <c r="AW1101" s="204" t="s">
        <v>2853</v>
      </c>
    </row>
    <row r="1102" spans="1:49" ht="409.6" thickTop="1" thickBot="1" x14ac:dyDescent="0.3">
      <c r="A1102" s="193">
        <v>55</v>
      </c>
      <c r="B1102" s="85" t="s">
        <v>3034</v>
      </c>
      <c r="C1102" s="105" t="s">
        <v>2834</v>
      </c>
      <c r="D1102" s="63" t="s">
        <v>714</v>
      </c>
      <c r="E1102" s="106" t="s">
        <v>2845</v>
      </c>
      <c r="F1102" s="63" t="s">
        <v>52</v>
      </c>
      <c r="G1102" s="63" t="s">
        <v>53</v>
      </c>
      <c r="H1102" s="111" t="s">
        <v>733</v>
      </c>
      <c r="I1102" s="63" t="s">
        <v>55</v>
      </c>
      <c r="J1102" s="106" t="s">
        <v>56</v>
      </c>
      <c r="K1102" s="106">
        <v>801116</v>
      </c>
      <c r="L1102" s="106" t="s">
        <v>2836</v>
      </c>
      <c r="M1102" s="106" t="s">
        <v>2837</v>
      </c>
      <c r="N1102" s="106" t="s">
        <v>2838</v>
      </c>
      <c r="O1102" s="106" t="s">
        <v>2839</v>
      </c>
      <c r="P1102" s="107" t="s">
        <v>81</v>
      </c>
      <c r="Q1102" s="197">
        <v>2060000</v>
      </c>
      <c r="R1102" s="63">
        <v>1</v>
      </c>
      <c r="S1102" s="198">
        <v>22660000</v>
      </c>
      <c r="T1102" s="112" t="s">
        <v>888</v>
      </c>
      <c r="U1102" s="63" t="s">
        <v>445</v>
      </c>
      <c r="V1102" s="81">
        <v>43125</v>
      </c>
      <c r="W1102" s="199">
        <v>11</v>
      </c>
      <c r="X1102" s="85" t="s">
        <v>3035</v>
      </c>
      <c r="Y1102" s="81">
        <v>43103</v>
      </c>
      <c r="Z1102" s="196">
        <v>22660000</v>
      </c>
      <c r="AA1102" s="84"/>
      <c r="AB1102" s="63">
        <v>207</v>
      </c>
      <c r="AC1102" s="81">
        <v>43105</v>
      </c>
      <c r="AD1102" s="198">
        <v>22660000</v>
      </c>
      <c r="AE1102" s="63"/>
      <c r="AF1102" s="63">
        <v>45</v>
      </c>
      <c r="AG1102" s="205">
        <v>43116</v>
      </c>
      <c r="AH1102" s="196">
        <v>22660000</v>
      </c>
      <c r="AI1102" s="84" t="s">
        <v>83</v>
      </c>
      <c r="AJ1102" s="63">
        <v>36</v>
      </c>
      <c r="AK1102" s="63"/>
      <c r="AL1102" s="196">
        <v>22660000</v>
      </c>
      <c r="AM1102" s="196">
        <f>+VLOOKUP(AF1102,'[2]CRP a 31 Agosto de 2018'!$J$8:$V$2956,13,0)</f>
        <v>12360000</v>
      </c>
      <c r="AN1102" s="196">
        <f>+AL1102-AM1102</f>
        <v>10300000</v>
      </c>
      <c r="AO1102" s="63"/>
      <c r="AP1102" s="63"/>
      <c r="AQ1102" s="63"/>
      <c r="AR1102" s="81">
        <v>43102</v>
      </c>
      <c r="AS1102" s="63" t="s">
        <v>2848</v>
      </c>
      <c r="AT1102" s="81">
        <v>43102</v>
      </c>
      <c r="AU1102" s="63" t="s">
        <v>2855</v>
      </c>
      <c r="AV1102" s="63"/>
      <c r="AW1102" s="63"/>
    </row>
    <row r="1103" spans="1:49" ht="409.6" thickTop="1" thickBot="1" x14ac:dyDescent="0.3">
      <c r="A1103" s="193">
        <v>56</v>
      </c>
      <c r="B1103" s="85" t="s">
        <v>3036</v>
      </c>
      <c r="C1103" s="105" t="s">
        <v>2834</v>
      </c>
      <c r="D1103" s="63" t="s">
        <v>714</v>
      </c>
      <c r="E1103" s="106" t="s">
        <v>2845</v>
      </c>
      <c r="F1103" s="63" t="s">
        <v>52</v>
      </c>
      <c r="G1103" s="63" t="s">
        <v>53</v>
      </c>
      <c r="H1103" s="111" t="s">
        <v>733</v>
      </c>
      <c r="I1103" s="63" t="s">
        <v>55</v>
      </c>
      <c r="J1103" s="106" t="s">
        <v>56</v>
      </c>
      <c r="K1103" s="106">
        <v>801116</v>
      </c>
      <c r="L1103" s="106" t="s">
        <v>2836</v>
      </c>
      <c r="M1103" s="106" t="s">
        <v>2837</v>
      </c>
      <c r="N1103" s="106" t="s">
        <v>2838</v>
      </c>
      <c r="O1103" s="106" t="s">
        <v>2839</v>
      </c>
      <c r="P1103" s="107" t="s">
        <v>3037</v>
      </c>
      <c r="Q1103" s="197">
        <v>2060000</v>
      </c>
      <c r="R1103" s="63">
        <v>1</v>
      </c>
      <c r="S1103" s="198">
        <v>22591333</v>
      </c>
      <c r="T1103" s="112" t="s">
        <v>888</v>
      </c>
      <c r="U1103" s="63" t="s">
        <v>445</v>
      </c>
      <c r="V1103" s="81">
        <v>43125</v>
      </c>
      <c r="W1103" s="199">
        <v>11</v>
      </c>
      <c r="X1103" s="85" t="s">
        <v>3038</v>
      </c>
      <c r="Y1103" s="81">
        <v>43110</v>
      </c>
      <c r="Z1103" s="196">
        <v>22591333</v>
      </c>
      <c r="AA1103" s="84"/>
      <c r="AB1103" s="63">
        <v>340</v>
      </c>
      <c r="AC1103" s="81">
        <v>43110</v>
      </c>
      <c r="AD1103" s="198">
        <v>22660000</v>
      </c>
      <c r="AE1103" s="63"/>
      <c r="AF1103" s="63">
        <v>153</v>
      </c>
      <c r="AG1103" s="81">
        <v>43117</v>
      </c>
      <c r="AH1103" s="196">
        <v>22591333</v>
      </c>
      <c r="AI1103" s="84" t="s">
        <v>324</v>
      </c>
      <c r="AJ1103" s="63">
        <v>155</v>
      </c>
      <c r="AK1103" s="63"/>
      <c r="AL1103" s="196">
        <v>22591333</v>
      </c>
      <c r="AM1103" s="196">
        <f>+VLOOKUP(AF1103,'[2]CRP a 31 Agosto de 2018'!$J$8:$V$2956,13,0)</f>
        <v>13252666</v>
      </c>
      <c r="AN1103" s="196">
        <f>AL1103-AM1103</f>
        <v>9338667</v>
      </c>
      <c r="AO1103" s="63"/>
      <c r="AP1103" s="63"/>
      <c r="AQ1103" s="63"/>
      <c r="AR1103" s="81">
        <v>43109</v>
      </c>
      <c r="AS1103" s="63" t="s">
        <v>2848</v>
      </c>
      <c r="AT1103" s="81">
        <v>43109</v>
      </c>
      <c r="AU1103" s="63" t="s">
        <v>2855</v>
      </c>
      <c r="AV1103" s="63"/>
      <c r="AW1103" s="63"/>
    </row>
    <row r="1104" spans="1:49" ht="409.6" thickTop="1" thickBot="1" x14ac:dyDescent="0.3">
      <c r="A1104" s="193">
        <v>57</v>
      </c>
      <c r="B1104" s="85" t="s">
        <v>3039</v>
      </c>
      <c r="C1104" s="105" t="s">
        <v>2834</v>
      </c>
      <c r="D1104" s="63" t="s">
        <v>714</v>
      </c>
      <c r="E1104" s="106" t="s">
        <v>2845</v>
      </c>
      <c r="F1104" s="63" t="s">
        <v>52</v>
      </c>
      <c r="G1104" s="63" t="s">
        <v>53</v>
      </c>
      <c r="H1104" s="111" t="s">
        <v>733</v>
      </c>
      <c r="I1104" s="63" t="s">
        <v>55</v>
      </c>
      <c r="J1104" s="106" t="s">
        <v>56</v>
      </c>
      <c r="K1104" s="106">
        <v>801116</v>
      </c>
      <c r="L1104" s="106" t="s">
        <v>2836</v>
      </c>
      <c r="M1104" s="106" t="s">
        <v>2837</v>
      </c>
      <c r="N1104" s="106" t="s">
        <v>2838</v>
      </c>
      <c r="O1104" s="106" t="s">
        <v>2839</v>
      </c>
      <c r="P1104" s="107" t="s">
        <v>386</v>
      </c>
      <c r="Q1104" s="197">
        <v>915026</v>
      </c>
      <c r="R1104" s="63">
        <v>1</v>
      </c>
      <c r="S1104" s="198">
        <f>10065286-293161</f>
        <v>9772125</v>
      </c>
      <c r="T1104" s="112" t="s">
        <v>888</v>
      </c>
      <c r="U1104" s="63" t="s">
        <v>445</v>
      </c>
      <c r="V1104" s="81">
        <v>43125</v>
      </c>
      <c r="W1104" s="199">
        <v>11</v>
      </c>
      <c r="X1104" s="85" t="s">
        <v>3040</v>
      </c>
      <c r="Y1104" s="81">
        <v>43110</v>
      </c>
      <c r="Z1104" s="196">
        <v>9772125</v>
      </c>
      <c r="AA1104" s="84"/>
      <c r="AB1104" s="63">
        <v>324</v>
      </c>
      <c r="AC1104" s="81">
        <v>43110</v>
      </c>
      <c r="AD1104" s="198">
        <v>10065286</v>
      </c>
      <c r="AE1104" s="63"/>
      <c r="AF1104" s="63">
        <v>292</v>
      </c>
      <c r="AG1104" s="81">
        <v>43122</v>
      </c>
      <c r="AH1104" s="196">
        <v>9772125</v>
      </c>
      <c r="AI1104" s="84" t="s">
        <v>388</v>
      </c>
      <c r="AJ1104" s="63">
        <v>261</v>
      </c>
      <c r="AK1104" s="63"/>
      <c r="AL1104" s="196">
        <f t="shared" ref="AL1104" si="124">AH1104</f>
        <v>9772125</v>
      </c>
      <c r="AM1104" s="196">
        <f>+VLOOKUP(AF1104,'[2]CRP a 31 Agosto de 2018'!$J$8:$V$2956,13,0)</f>
        <v>5596787</v>
      </c>
      <c r="AN1104" s="196">
        <f>+AL1104-AM1104</f>
        <v>4175338</v>
      </c>
      <c r="AO1104" s="63"/>
      <c r="AP1104" s="63"/>
      <c r="AQ1104" s="63"/>
      <c r="AR1104" s="81">
        <v>43109</v>
      </c>
      <c r="AS1104" s="63" t="s">
        <v>2848</v>
      </c>
      <c r="AT1104" s="81">
        <v>43109</v>
      </c>
      <c r="AU1104" s="63" t="s">
        <v>2855</v>
      </c>
      <c r="AV1104" s="63"/>
      <c r="AW1104" s="63"/>
    </row>
    <row r="1105" spans="1:49" ht="409.6" thickTop="1" thickBot="1" x14ac:dyDescent="0.3">
      <c r="A1105" s="193">
        <v>58</v>
      </c>
      <c r="B1105" s="85" t="s">
        <v>3041</v>
      </c>
      <c r="C1105" s="105" t="s">
        <v>2834</v>
      </c>
      <c r="D1105" s="63" t="s">
        <v>714</v>
      </c>
      <c r="E1105" s="106" t="s">
        <v>2845</v>
      </c>
      <c r="F1105" s="63" t="s">
        <v>52</v>
      </c>
      <c r="G1105" s="63" t="s">
        <v>53</v>
      </c>
      <c r="H1105" s="111" t="s">
        <v>733</v>
      </c>
      <c r="I1105" s="63" t="s">
        <v>55</v>
      </c>
      <c r="J1105" s="106" t="s">
        <v>56</v>
      </c>
      <c r="K1105" s="106">
        <v>801116</v>
      </c>
      <c r="L1105" s="106" t="s">
        <v>2836</v>
      </c>
      <c r="M1105" s="106" t="s">
        <v>2837</v>
      </c>
      <c r="N1105" s="106" t="s">
        <v>2838</v>
      </c>
      <c r="O1105" s="106" t="s">
        <v>2839</v>
      </c>
      <c r="P1105" s="107" t="s">
        <v>3042</v>
      </c>
      <c r="Q1105" s="197">
        <v>2343635</v>
      </c>
      <c r="R1105" s="63">
        <v>1</v>
      </c>
      <c r="S1105" s="198">
        <v>9660489</v>
      </c>
      <c r="T1105" s="112" t="s">
        <v>3043</v>
      </c>
      <c r="U1105" s="63" t="s">
        <v>445</v>
      </c>
      <c r="V1105" s="81">
        <v>43115</v>
      </c>
      <c r="W1105" s="199">
        <v>11</v>
      </c>
      <c r="X1105" s="85" t="s">
        <v>3044</v>
      </c>
      <c r="Y1105" s="81">
        <v>43115</v>
      </c>
      <c r="Z1105" s="196">
        <v>9660489</v>
      </c>
      <c r="AA1105" s="84"/>
      <c r="AB1105" s="63">
        <v>536</v>
      </c>
      <c r="AC1105" s="81">
        <v>43118</v>
      </c>
      <c r="AD1105" s="198">
        <v>9660489</v>
      </c>
      <c r="AE1105" s="63"/>
      <c r="AF1105" s="63" t="s">
        <v>3045</v>
      </c>
      <c r="AG1105" s="81">
        <v>43136</v>
      </c>
      <c r="AH1105" s="196">
        <v>5521300</v>
      </c>
      <c r="AI1105" s="84" t="s">
        <v>3046</v>
      </c>
      <c r="AJ1105" s="63">
        <v>2</v>
      </c>
      <c r="AK1105" s="63"/>
      <c r="AL1105" s="196">
        <v>5521300</v>
      </c>
      <c r="AM1105" s="196">
        <v>5521300</v>
      </c>
      <c r="AN1105" s="196"/>
      <c r="AO1105" s="63"/>
      <c r="AP1105" s="63"/>
      <c r="AQ1105" s="63"/>
      <c r="AR1105" s="81">
        <v>43115</v>
      </c>
      <c r="AS1105" s="63" t="s">
        <v>2848</v>
      </c>
      <c r="AT1105" s="81">
        <v>43115</v>
      </c>
      <c r="AU1105" s="63" t="s">
        <v>2855</v>
      </c>
      <c r="AV1105" s="63"/>
      <c r="AW1105" s="63"/>
    </row>
    <row r="1106" spans="1:49" ht="357.75" thickTop="1" thickBot="1" x14ac:dyDescent="0.3">
      <c r="A1106" s="193">
        <v>59</v>
      </c>
      <c r="B1106" s="85" t="s">
        <v>3047</v>
      </c>
      <c r="C1106" s="105" t="s">
        <v>2834</v>
      </c>
      <c r="D1106" s="63" t="s">
        <v>714</v>
      </c>
      <c r="E1106" s="106" t="s">
        <v>2835</v>
      </c>
      <c r="F1106" s="63" t="s">
        <v>52</v>
      </c>
      <c r="G1106" s="63" t="s">
        <v>53</v>
      </c>
      <c r="H1106" s="111" t="s">
        <v>733</v>
      </c>
      <c r="I1106" s="63" t="s">
        <v>55</v>
      </c>
      <c r="J1106" s="106" t="s">
        <v>56</v>
      </c>
      <c r="K1106" s="106">
        <v>801116</v>
      </c>
      <c r="L1106" s="63" t="s">
        <v>2836</v>
      </c>
      <c r="M1106" s="63" t="s">
        <v>58</v>
      </c>
      <c r="N1106" s="63" t="s">
        <v>59</v>
      </c>
      <c r="O1106" s="63" t="s">
        <v>3048</v>
      </c>
      <c r="P1106" s="107" t="s">
        <v>3049</v>
      </c>
      <c r="Q1106" s="197">
        <v>3636363.6363636362</v>
      </c>
      <c r="R1106" s="63">
        <v>1</v>
      </c>
      <c r="S1106" s="198">
        <f>40000000-40000000</f>
        <v>0</v>
      </c>
      <c r="T1106" s="112" t="s">
        <v>3050</v>
      </c>
      <c r="U1106" s="63" t="s">
        <v>723</v>
      </c>
      <c r="V1106" s="81">
        <v>43348</v>
      </c>
      <c r="W1106" s="199">
        <v>11</v>
      </c>
      <c r="X1106" s="85"/>
      <c r="Y1106" s="81"/>
      <c r="Z1106" s="84"/>
      <c r="AA1106" s="84"/>
      <c r="AB1106" s="63"/>
      <c r="AC1106" s="63"/>
      <c r="AD1106" s="198"/>
      <c r="AE1106" s="63"/>
      <c r="AF1106" s="63"/>
      <c r="AG1106" s="63"/>
      <c r="AH1106" s="196"/>
      <c r="AI1106" s="84" t="s">
        <v>3051</v>
      </c>
      <c r="AJ1106" s="63"/>
      <c r="AK1106" s="63"/>
      <c r="AL1106" s="196"/>
      <c r="AM1106" s="196">
        <v>0</v>
      </c>
      <c r="AN1106" s="63"/>
      <c r="AO1106" s="63"/>
      <c r="AP1106" s="63"/>
      <c r="AQ1106" s="63"/>
      <c r="AR1106" s="63"/>
      <c r="AS1106" s="63"/>
      <c r="AT1106" s="63"/>
      <c r="AU1106" s="63"/>
      <c r="AV1106" s="63"/>
      <c r="AW1106" s="63"/>
    </row>
    <row r="1107" spans="1:49" ht="300.75" thickTop="1" thickBot="1" x14ac:dyDescent="0.3">
      <c r="A1107" s="193">
        <v>60</v>
      </c>
      <c r="B1107" s="85" t="s">
        <v>3052</v>
      </c>
      <c r="C1107" s="105" t="s">
        <v>2834</v>
      </c>
      <c r="D1107" s="63" t="s">
        <v>714</v>
      </c>
      <c r="E1107" s="106" t="s">
        <v>2843</v>
      </c>
      <c r="F1107" s="63" t="s">
        <v>52</v>
      </c>
      <c r="G1107" s="63" t="s">
        <v>53</v>
      </c>
      <c r="H1107" s="111" t="s">
        <v>733</v>
      </c>
      <c r="I1107" s="63" t="s">
        <v>55</v>
      </c>
      <c r="J1107" s="106" t="s">
        <v>56</v>
      </c>
      <c r="K1107" s="106">
        <v>801116</v>
      </c>
      <c r="L1107" s="63" t="s">
        <v>2836</v>
      </c>
      <c r="M1107" s="63" t="s">
        <v>58</v>
      </c>
      <c r="N1107" s="63" t="s">
        <v>59</v>
      </c>
      <c r="O1107" s="63" t="s">
        <v>3048</v>
      </c>
      <c r="P1107" s="107" t="s">
        <v>3049</v>
      </c>
      <c r="Q1107" s="197">
        <v>2386363.6363636362</v>
      </c>
      <c r="R1107" s="63">
        <v>1</v>
      </c>
      <c r="S1107" s="198">
        <f>26250000-26250000</f>
        <v>0</v>
      </c>
      <c r="T1107" s="112" t="s">
        <v>3050</v>
      </c>
      <c r="U1107" s="63" t="s">
        <v>723</v>
      </c>
      <c r="V1107" s="81">
        <v>43348</v>
      </c>
      <c r="W1107" s="199">
        <v>11</v>
      </c>
      <c r="X1107" s="85"/>
      <c r="Y1107" s="81"/>
      <c r="Z1107" s="84"/>
      <c r="AA1107" s="84"/>
      <c r="AB1107" s="63"/>
      <c r="AC1107" s="63"/>
      <c r="AD1107" s="198"/>
      <c r="AE1107" s="63"/>
      <c r="AF1107" s="63"/>
      <c r="AG1107" s="63"/>
      <c r="AH1107" s="196"/>
      <c r="AI1107" s="84" t="s">
        <v>3051</v>
      </c>
      <c r="AJ1107" s="63"/>
      <c r="AK1107" s="63"/>
      <c r="AL1107" s="196"/>
      <c r="AM1107" s="196">
        <v>0</v>
      </c>
      <c r="AN1107" s="63"/>
      <c r="AO1107" s="63"/>
      <c r="AP1107" s="63"/>
      <c r="AQ1107" s="63"/>
      <c r="AR1107" s="63"/>
      <c r="AS1107" s="63"/>
      <c r="AT1107" s="63"/>
      <c r="AU1107" s="63"/>
      <c r="AV1107" s="63"/>
      <c r="AW1107" s="63"/>
    </row>
    <row r="1108" spans="1:49" ht="409.6" thickTop="1" thickBot="1" x14ac:dyDescent="0.3">
      <c r="A1108" s="193">
        <v>61</v>
      </c>
      <c r="B1108" s="85" t="s">
        <v>3053</v>
      </c>
      <c r="C1108" s="105" t="s">
        <v>2834</v>
      </c>
      <c r="D1108" s="63" t="s">
        <v>714</v>
      </c>
      <c r="E1108" s="106" t="s">
        <v>2845</v>
      </c>
      <c r="F1108" s="63" t="s">
        <v>52</v>
      </c>
      <c r="G1108" s="63" t="s">
        <v>53</v>
      </c>
      <c r="H1108" s="111" t="s">
        <v>733</v>
      </c>
      <c r="I1108" s="63" t="s">
        <v>55</v>
      </c>
      <c r="J1108" s="106" t="s">
        <v>56</v>
      </c>
      <c r="K1108" s="106">
        <v>801116</v>
      </c>
      <c r="L1108" s="63" t="s">
        <v>2836</v>
      </c>
      <c r="M1108" s="63" t="s">
        <v>58</v>
      </c>
      <c r="N1108" s="63" t="s">
        <v>59</v>
      </c>
      <c r="O1108" s="63" t="s">
        <v>3048</v>
      </c>
      <c r="P1108" s="107" t="s">
        <v>729</v>
      </c>
      <c r="Q1108" s="197">
        <v>7386363.6363636367</v>
      </c>
      <c r="R1108" s="63">
        <v>1</v>
      </c>
      <c r="S1108" s="198">
        <f>81250000-30000000-51250000</f>
        <v>0</v>
      </c>
      <c r="T1108" s="112" t="s">
        <v>3054</v>
      </c>
      <c r="U1108" s="63" t="s">
        <v>723</v>
      </c>
      <c r="V1108" s="81">
        <v>43225</v>
      </c>
      <c r="W1108" s="199">
        <v>11</v>
      </c>
      <c r="X1108" s="85"/>
      <c r="Y1108" s="81"/>
      <c r="Z1108" s="84"/>
      <c r="AA1108" s="84"/>
      <c r="AB1108" s="63"/>
      <c r="AC1108" s="63"/>
      <c r="AD1108" s="198"/>
      <c r="AE1108" s="63"/>
      <c r="AF1108" s="63"/>
      <c r="AG1108" s="63"/>
      <c r="AH1108" s="196"/>
      <c r="AI1108" s="84" t="s">
        <v>3055</v>
      </c>
      <c r="AJ1108" s="63"/>
      <c r="AK1108" s="63"/>
      <c r="AL1108" s="196"/>
      <c r="AM1108" s="196">
        <v>0</v>
      </c>
      <c r="AN1108" s="63"/>
      <c r="AO1108" s="63"/>
      <c r="AP1108" s="63"/>
      <c r="AQ1108" s="63"/>
      <c r="AR1108" s="63"/>
      <c r="AS1108" s="63"/>
      <c r="AT1108" s="63"/>
      <c r="AU1108" s="63"/>
      <c r="AV1108" s="63"/>
      <c r="AW1108" s="63"/>
    </row>
    <row r="1109" spans="1:49" ht="409.6" thickTop="1" thickBot="1" x14ac:dyDescent="0.3">
      <c r="A1109" s="193">
        <v>62</v>
      </c>
      <c r="B1109" s="85" t="s">
        <v>3056</v>
      </c>
      <c r="C1109" s="105" t="s">
        <v>2834</v>
      </c>
      <c r="D1109" s="63" t="s">
        <v>714</v>
      </c>
      <c r="E1109" s="106" t="s">
        <v>2835</v>
      </c>
      <c r="F1109" s="63" t="s">
        <v>52</v>
      </c>
      <c r="G1109" s="63" t="s">
        <v>53</v>
      </c>
      <c r="H1109" s="111" t="s">
        <v>733</v>
      </c>
      <c r="I1109" s="63" t="s">
        <v>55</v>
      </c>
      <c r="J1109" s="106" t="s">
        <v>56</v>
      </c>
      <c r="K1109" s="106">
        <v>801116</v>
      </c>
      <c r="L1109" s="63" t="s">
        <v>2836</v>
      </c>
      <c r="M1109" s="63" t="s">
        <v>58</v>
      </c>
      <c r="N1109" s="63" t="s">
        <v>59</v>
      </c>
      <c r="O1109" s="63" t="s">
        <v>2839</v>
      </c>
      <c r="P1109" s="107" t="s">
        <v>3057</v>
      </c>
      <c r="Q1109" s="197">
        <v>15000000</v>
      </c>
      <c r="R1109" s="63">
        <v>1</v>
      </c>
      <c r="S1109" s="198">
        <f>15000000-15000000+15000000-15000000</f>
        <v>0</v>
      </c>
      <c r="T1109" s="112" t="s">
        <v>3054</v>
      </c>
      <c r="U1109" s="63" t="s">
        <v>3058</v>
      </c>
      <c r="V1109" s="81">
        <v>43173</v>
      </c>
      <c r="W1109" s="199">
        <v>1</v>
      </c>
      <c r="X1109" s="85"/>
      <c r="Y1109" s="81"/>
      <c r="Z1109" s="84"/>
      <c r="AA1109" s="84"/>
      <c r="AB1109" s="63"/>
      <c r="AC1109" s="63"/>
      <c r="AD1109" s="198"/>
      <c r="AE1109" s="63"/>
      <c r="AF1109" s="63"/>
      <c r="AG1109" s="63"/>
      <c r="AH1109" s="196"/>
      <c r="AI1109" s="84"/>
      <c r="AJ1109" s="63"/>
      <c r="AK1109" s="63"/>
      <c r="AL1109" s="196"/>
      <c r="AM1109" s="196">
        <v>0</v>
      </c>
      <c r="AN1109" s="63"/>
      <c r="AO1109" s="63"/>
      <c r="AP1109" s="63"/>
      <c r="AQ1109" s="63"/>
      <c r="AR1109" s="63"/>
      <c r="AS1109" s="63"/>
      <c r="AT1109" s="63"/>
      <c r="AU1109" s="63"/>
      <c r="AV1109" s="63"/>
      <c r="AW1109" s="63"/>
    </row>
    <row r="1110" spans="1:49" ht="409.6" thickTop="1" thickBot="1" x14ac:dyDescent="0.3">
      <c r="A1110" s="193">
        <v>63</v>
      </c>
      <c r="B1110" s="85" t="s">
        <v>3059</v>
      </c>
      <c r="C1110" s="105" t="s">
        <v>2834</v>
      </c>
      <c r="D1110" s="63" t="s">
        <v>714</v>
      </c>
      <c r="E1110" s="106" t="s">
        <v>2845</v>
      </c>
      <c r="F1110" s="63" t="s">
        <v>52</v>
      </c>
      <c r="G1110" s="63" t="s">
        <v>53</v>
      </c>
      <c r="H1110" s="111" t="s">
        <v>3060</v>
      </c>
      <c r="I1110" s="63" t="s">
        <v>710</v>
      </c>
      <c r="J1110" s="63" t="s">
        <v>1046</v>
      </c>
      <c r="K1110" s="106">
        <v>801116</v>
      </c>
      <c r="L1110" s="63" t="s">
        <v>2836</v>
      </c>
      <c r="M1110" s="63" t="s">
        <v>58</v>
      </c>
      <c r="N1110" s="63" t="s">
        <v>59</v>
      </c>
      <c r="O1110" s="63" t="s">
        <v>2839</v>
      </c>
      <c r="P1110" s="107" t="s">
        <v>3061</v>
      </c>
      <c r="Q1110" s="197">
        <v>17018083.333333332</v>
      </c>
      <c r="R1110" s="63">
        <v>1</v>
      </c>
      <c r="S1110" s="198">
        <v>0</v>
      </c>
      <c r="T1110" s="111" t="s">
        <v>3062</v>
      </c>
      <c r="U1110" s="63" t="s">
        <v>723</v>
      </c>
      <c r="V1110" s="81">
        <v>43291</v>
      </c>
      <c r="W1110" s="199">
        <v>12</v>
      </c>
      <c r="X1110" s="85"/>
      <c r="Y1110" s="81"/>
      <c r="Z1110" s="84"/>
      <c r="AA1110" s="84"/>
      <c r="AB1110" s="63"/>
      <c r="AC1110" s="63"/>
      <c r="AD1110" s="198"/>
      <c r="AE1110" s="63"/>
      <c r="AF1110" s="63"/>
      <c r="AG1110" s="63"/>
      <c r="AH1110" s="196"/>
      <c r="AI1110" s="84" t="s">
        <v>3063</v>
      </c>
      <c r="AJ1110" s="63"/>
      <c r="AK1110" s="63"/>
      <c r="AL1110" s="196"/>
      <c r="AM1110" s="196">
        <v>0</v>
      </c>
      <c r="AN1110" s="63"/>
      <c r="AO1110" s="63"/>
      <c r="AP1110" s="63"/>
      <c r="AQ1110" s="63"/>
      <c r="AR1110" s="63"/>
      <c r="AS1110" s="63"/>
      <c r="AT1110" s="63"/>
      <c r="AU1110" s="63"/>
      <c r="AV1110" s="63"/>
      <c r="AW1110" s="63"/>
    </row>
    <row r="1111" spans="1:49" ht="357.75" thickTop="1" thickBot="1" x14ac:dyDescent="0.3">
      <c r="A1111" s="193">
        <v>64</v>
      </c>
      <c r="B1111" s="85" t="s">
        <v>3064</v>
      </c>
      <c r="C1111" s="105" t="s">
        <v>2834</v>
      </c>
      <c r="D1111" s="63" t="s">
        <v>714</v>
      </c>
      <c r="E1111" s="106" t="s">
        <v>2835</v>
      </c>
      <c r="F1111" s="63" t="s">
        <v>52</v>
      </c>
      <c r="G1111" s="63" t="s">
        <v>53</v>
      </c>
      <c r="H1111" s="111" t="s">
        <v>733</v>
      </c>
      <c r="I1111" s="63" t="s">
        <v>55</v>
      </c>
      <c r="J1111" s="106" t="s">
        <v>56</v>
      </c>
      <c r="K1111" s="106">
        <v>801116</v>
      </c>
      <c r="L1111" s="63" t="s">
        <v>2836</v>
      </c>
      <c r="M1111" s="63" t="s">
        <v>58</v>
      </c>
      <c r="N1111" s="63" t="s">
        <v>59</v>
      </c>
      <c r="O1111" s="63" t="s">
        <v>2839</v>
      </c>
      <c r="P1111" s="107" t="s">
        <v>3065</v>
      </c>
      <c r="Q1111" s="197">
        <v>3450000</v>
      </c>
      <c r="R1111" s="63">
        <v>1</v>
      </c>
      <c r="S1111" s="198"/>
      <c r="T1111" s="112" t="s">
        <v>888</v>
      </c>
      <c r="U1111" s="63" t="s">
        <v>445</v>
      </c>
      <c r="V1111" s="81">
        <v>43286</v>
      </c>
      <c r="W1111" s="199">
        <v>1</v>
      </c>
      <c r="X1111" s="85" t="s">
        <v>3066</v>
      </c>
      <c r="Y1111" s="81">
        <v>43243</v>
      </c>
      <c r="Z1111" s="198">
        <v>3450000</v>
      </c>
      <c r="AA1111" s="84"/>
      <c r="AB1111" s="63"/>
      <c r="AC1111" s="63"/>
      <c r="AD1111" s="198"/>
      <c r="AE1111" s="63"/>
      <c r="AF1111" s="63"/>
      <c r="AG1111" s="63"/>
      <c r="AH1111" s="196"/>
      <c r="AI1111" s="84" t="s">
        <v>3067</v>
      </c>
      <c r="AJ1111" s="63"/>
      <c r="AK1111" s="63"/>
      <c r="AL1111" s="196"/>
      <c r="AM1111" s="196">
        <v>0</v>
      </c>
      <c r="AN1111" s="63"/>
      <c r="AO1111" s="63"/>
      <c r="AP1111" s="63"/>
      <c r="AQ1111" s="63" t="s">
        <v>3068</v>
      </c>
      <c r="AR1111" s="63"/>
      <c r="AS1111" s="63"/>
      <c r="AT1111" s="63"/>
      <c r="AU1111" s="63"/>
      <c r="AV1111" s="63"/>
      <c r="AW1111" s="63"/>
    </row>
    <row r="1112" spans="1:49" ht="357.75" thickTop="1" thickBot="1" x14ac:dyDescent="0.3">
      <c r="A1112" s="193">
        <v>65</v>
      </c>
      <c r="B1112" s="85" t="s">
        <v>3069</v>
      </c>
      <c r="C1112" s="105" t="s">
        <v>2834</v>
      </c>
      <c r="D1112" s="63" t="s">
        <v>714</v>
      </c>
      <c r="E1112" s="106" t="s">
        <v>2835</v>
      </c>
      <c r="F1112" s="63" t="s">
        <v>52</v>
      </c>
      <c r="G1112" s="63" t="s">
        <v>53</v>
      </c>
      <c r="H1112" s="111" t="s">
        <v>733</v>
      </c>
      <c r="I1112" s="63" t="s">
        <v>55</v>
      </c>
      <c r="J1112" s="106" t="s">
        <v>56</v>
      </c>
      <c r="K1112" s="106">
        <v>801116</v>
      </c>
      <c r="L1112" s="63" t="s">
        <v>2836</v>
      </c>
      <c r="M1112" s="63" t="s">
        <v>58</v>
      </c>
      <c r="N1112" s="63" t="s">
        <v>59</v>
      </c>
      <c r="O1112" s="63" t="s">
        <v>2839</v>
      </c>
      <c r="P1112" s="107" t="s">
        <v>3070</v>
      </c>
      <c r="Q1112" s="197">
        <v>3300000</v>
      </c>
      <c r="R1112" s="63">
        <v>1</v>
      </c>
      <c r="S1112" s="198"/>
      <c r="T1112" s="112" t="s">
        <v>888</v>
      </c>
      <c r="U1112" s="63" t="s">
        <v>445</v>
      </c>
      <c r="V1112" s="81">
        <v>43256</v>
      </c>
      <c r="W1112" s="206">
        <v>1.5</v>
      </c>
      <c r="X1112" s="85" t="s">
        <v>3071</v>
      </c>
      <c r="Y1112" s="81">
        <v>43243</v>
      </c>
      <c r="Z1112" s="198">
        <v>4950000</v>
      </c>
      <c r="AA1112" s="84"/>
      <c r="AB1112" s="63"/>
      <c r="AC1112" s="63"/>
      <c r="AD1112" s="198"/>
      <c r="AE1112" s="63"/>
      <c r="AF1112" s="63"/>
      <c r="AG1112" s="63"/>
      <c r="AH1112" s="196"/>
      <c r="AI1112" s="84" t="s">
        <v>3072</v>
      </c>
      <c r="AJ1112" s="63"/>
      <c r="AK1112" s="63"/>
      <c r="AL1112" s="196"/>
      <c r="AM1112" s="196">
        <v>0</v>
      </c>
      <c r="AN1112" s="63"/>
      <c r="AO1112" s="63"/>
      <c r="AP1112" s="63"/>
      <c r="AQ1112" s="63" t="s">
        <v>3068</v>
      </c>
      <c r="AR1112" s="63"/>
      <c r="AS1112" s="63"/>
      <c r="AT1112" s="63"/>
      <c r="AU1112" s="63"/>
      <c r="AV1112" s="63"/>
      <c r="AW1112" s="63"/>
    </row>
    <row r="1113" spans="1:49" ht="357.75" thickTop="1" thickBot="1" x14ac:dyDescent="0.3">
      <c r="A1113" s="193">
        <v>66</v>
      </c>
      <c r="B1113" s="85" t="s">
        <v>3073</v>
      </c>
      <c r="C1113" s="105" t="s">
        <v>2834</v>
      </c>
      <c r="D1113" s="63" t="s">
        <v>714</v>
      </c>
      <c r="E1113" s="106" t="s">
        <v>2835</v>
      </c>
      <c r="F1113" s="63" t="s">
        <v>52</v>
      </c>
      <c r="G1113" s="63" t="s">
        <v>53</v>
      </c>
      <c r="H1113" s="111" t="s">
        <v>733</v>
      </c>
      <c r="I1113" s="63" t="s">
        <v>55</v>
      </c>
      <c r="J1113" s="106" t="s">
        <v>56</v>
      </c>
      <c r="K1113" s="106">
        <v>801116</v>
      </c>
      <c r="L1113" s="63" t="s">
        <v>2836</v>
      </c>
      <c r="M1113" s="63" t="s">
        <v>58</v>
      </c>
      <c r="N1113" s="63" t="s">
        <v>59</v>
      </c>
      <c r="O1113" s="63" t="s">
        <v>2839</v>
      </c>
      <c r="P1113" s="107" t="s">
        <v>3074</v>
      </c>
      <c r="Q1113" s="197">
        <v>3300000</v>
      </c>
      <c r="R1113" s="63">
        <v>1</v>
      </c>
      <c r="S1113" s="198"/>
      <c r="T1113" s="112" t="s">
        <v>888</v>
      </c>
      <c r="U1113" s="63" t="s">
        <v>445</v>
      </c>
      <c r="V1113" s="81">
        <v>43286</v>
      </c>
      <c r="W1113" s="199">
        <v>1</v>
      </c>
      <c r="X1113" s="85" t="s">
        <v>3075</v>
      </c>
      <c r="Y1113" s="81">
        <v>43243</v>
      </c>
      <c r="Z1113" s="198">
        <v>3300000</v>
      </c>
      <c r="AA1113" s="84"/>
      <c r="AB1113" s="63"/>
      <c r="AC1113" s="63"/>
      <c r="AD1113" s="198"/>
      <c r="AE1113" s="63"/>
      <c r="AF1113" s="63"/>
      <c r="AG1113" s="63"/>
      <c r="AH1113" s="196"/>
      <c r="AI1113" s="84" t="s">
        <v>3076</v>
      </c>
      <c r="AJ1113" s="63"/>
      <c r="AK1113" s="63"/>
      <c r="AL1113" s="196"/>
      <c r="AM1113" s="196">
        <v>0</v>
      </c>
      <c r="AN1113" s="63"/>
      <c r="AO1113" s="63"/>
      <c r="AP1113" s="63"/>
      <c r="AQ1113" s="63" t="s">
        <v>3068</v>
      </c>
      <c r="AR1113" s="63"/>
      <c r="AS1113" s="63"/>
      <c r="AT1113" s="63"/>
      <c r="AU1113" s="63"/>
      <c r="AV1113" s="63"/>
      <c r="AW1113" s="63"/>
    </row>
    <row r="1114" spans="1:49" ht="357.75" thickTop="1" thickBot="1" x14ac:dyDescent="0.3">
      <c r="A1114" s="193">
        <v>67</v>
      </c>
      <c r="B1114" s="85" t="s">
        <v>3077</v>
      </c>
      <c r="C1114" s="105" t="s">
        <v>2834</v>
      </c>
      <c r="D1114" s="63" t="s">
        <v>714</v>
      </c>
      <c r="E1114" s="106" t="s">
        <v>2835</v>
      </c>
      <c r="F1114" s="63" t="s">
        <v>52</v>
      </c>
      <c r="G1114" s="63" t="s">
        <v>53</v>
      </c>
      <c r="H1114" s="111" t="s">
        <v>733</v>
      </c>
      <c r="I1114" s="63" t="s">
        <v>55</v>
      </c>
      <c r="J1114" s="106" t="s">
        <v>56</v>
      </c>
      <c r="K1114" s="106">
        <v>801116</v>
      </c>
      <c r="L1114" s="63" t="s">
        <v>2836</v>
      </c>
      <c r="M1114" s="63" t="s">
        <v>58</v>
      </c>
      <c r="N1114" s="63" t="s">
        <v>59</v>
      </c>
      <c r="O1114" s="63" t="s">
        <v>2839</v>
      </c>
      <c r="P1114" s="107" t="s">
        <v>3078</v>
      </c>
      <c r="Q1114" s="197">
        <v>3300000</v>
      </c>
      <c r="R1114" s="63">
        <v>1</v>
      </c>
      <c r="S1114" s="198"/>
      <c r="T1114" s="112" t="s">
        <v>888</v>
      </c>
      <c r="U1114" s="63" t="s">
        <v>445</v>
      </c>
      <c r="V1114" s="81">
        <v>43256</v>
      </c>
      <c r="W1114" s="206">
        <v>1.5</v>
      </c>
      <c r="X1114" s="85" t="s">
        <v>3079</v>
      </c>
      <c r="Y1114" s="81">
        <v>43243</v>
      </c>
      <c r="Z1114" s="198">
        <v>4950000</v>
      </c>
      <c r="AA1114" s="84"/>
      <c r="AB1114" s="63"/>
      <c r="AC1114" s="63"/>
      <c r="AD1114" s="198"/>
      <c r="AE1114" s="63"/>
      <c r="AF1114" s="63"/>
      <c r="AG1114" s="63"/>
      <c r="AH1114" s="196"/>
      <c r="AI1114" s="84" t="s">
        <v>3080</v>
      </c>
      <c r="AJ1114" s="63"/>
      <c r="AK1114" s="63"/>
      <c r="AL1114" s="196"/>
      <c r="AM1114" s="196">
        <v>0</v>
      </c>
      <c r="AN1114" s="63"/>
      <c r="AO1114" s="63"/>
      <c r="AP1114" s="63"/>
      <c r="AQ1114" s="63" t="s">
        <v>3068</v>
      </c>
      <c r="AR1114" s="63"/>
      <c r="AS1114" s="63"/>
      <c r="AT1114" s="63"/>
      <c r="AU1114" s="63"/>
      <c r="AV1114" s="63"/>
      <c r="AW1114" s="63"/>
    </row>
    <row r="1115" spans="1:49" ht="357.75" thickTop="1" thickBot="1" x14ac:dyDescent="0.3">
      <c r="A1115" s="193">
        <v>68</v>
      </c>
      <c r="B1115" s="85" t="s">
        <v>3081</v>
      </c>
      <c r="C1115" s="105" t="s">
        <v>2834</v>
      </c>
      <c r="D1115" s="63" t="s">
        <v>714</v>
      </c>
      <c r="E1115" s="106" t="s">
        <v>2835</v>
      </c>
      <c r="F1115" s="63" t="s">
        <v>52</v>
      </c>
      <c r="G1115" s="63" t="s">
        <v>53</v>
      </c>
      <c r="H1115" s="111" t="s">
        <v>733</v>
      </c>
      <c r="I1115" s="63" t="s">
        <v>55</v>
      </c>
      <c r="J1115" s="106" t="s">
        <v>56</v>
      </c>
      <c r="K1115" s="106">
        <v>801116</v>
      </c>
      <c r="L1115" s="63" t="s">
        <v>2836</v>
      </c>
      <c r="M1115" s="63" t="s">
        <v>58</v>
      </c>
      <c r="N1115" s="63" t="s">
        <v>59</v>
      </c>
      <c r="O1115" s="63" t="s">
        <v>2839</v>
      </c>
      <c r="P1115" s="107" t="s">
        <v>3082</v>
      </c>
      <c r="Q1115" s="197">
        <v>3450000</v>
      </c>
      <c r="R1115" s="63">
        <v>1</v>
      </c>
      <c r="S1115" s="198"/>
      <c r="T1115" s="112" t="s">
        <v>888</v>
      </c>
      <c r="U1115" s="63" t="s">
        <v>445</v>
      </c>
      <c r="V1115" s="81">
        <v>43286</v>
      </c>
      <c r="W1115" s="199">
        <v>1</v>
      </c>
      <c r="X1115" s="85" t="s">
        <v>3083</v>
      </c>
      <c r="Y1115" s="81">
        <v>43243</v>
      </c>
      <c r="Z1115" s="198">
        <v>3450000</v>
      </c>
      <c r="AA1115" s="84"/>
      <c r="AB1115" s="63"/>
      <c r="AC1115" s="63"/>
      <c r="AD1115" s="198"/>
      <c r="AE1115" s="63"/>
      <c r="AF1115" s="63"/>
      <c r="AG1115" s="63"/>
      <c r="AH1115" s="196"/>
      <c r="AI1115" s="84" t="s">
        <v>3084</v>
      </c>
      <c r="AJ1115" s="63"/>
      <c r="AK1115" s="63"/>
      <c r="AL1115" s="196"/>
      <c r="AM1115" s="196">
        <v>0</v>
      </c>
      <c r="AN1115" s="63"/>
      <c r="AO1115" s="63"/>
      <c r="AP1115" s="63"/>
      <c r="AQ1115" s="63" t="s">
        <v>3068</v>
      </c>
      <c r="AR1115" s="63"/>
      <c r="AS1115" s="63"/>
      <c r="AT1115" s="63"/>
      <c r="AU1115" s="63"/>
      <c r="AV1115" s="63"/>
      <c r="AW1115" s="63"/>
    </row>
    <row r="1116" spans="1:49" ht="357.75" thickTop="1" thickBot="1" x14ac:dyDescent="0.3">
      <c r="A1116" s="193">
        <v>69</v>
      </c>
      <c r="B1116" s="85" t="s">
        <v>3085</v>
      </c>
      <c r="C1116" s="105" t="s">
        <v>2834</v>
      </c>
      <c r="D1116" s="63" t="s">
        <v>714</v>
      </c>
      <c r="E1116" s="106" t="s">
        <v>2835</v>
      </c>
      <c r="F1116" s="63" t="s">
        <v>52</v>
      </c>
      <c r="G1116" s="63" t="s">
        <v>53</v>
      </c>
      <c r="H1116" s="111" t="s">
        <v>733</v>
      </c>
      <c r="I1116" s="63" t="s">
        <v>55</v>
      </c>
      <c r="J1116" s="106" t="s">
        <v>56</v>
      </c>
      <c r="K1116" s="106">
        <v>801116</v>
      </c>
      <c r="L1116" s="63" t="s">
        <v>2836</v>
      </c>
      <c r="M1116" s="63" t="s">
        <v>58</v>
      </c>
      <c r="N1116" s="63" t="s">
        <v>59</v>
      </c>
      <c r="O1116" s="63" t="s">
        <v>2839</v>
      </c>
      <c r="P1116" s="107" t="s">
        <v>3086</v>
      </c>
      <c r="Q1116" s="197">
        <v>4000000</v>
      </c>
      <c r="R1116" s="63">
        <v>1</v>
      </c>
      <c r="S1116" s="198"/>
      <c r="T1116" s="112" t="s">
        <v>888</v>
      </c>
      <c r="U1116" s="63" t="s">
        <v>445</v>
      </c>
      <c r="V1116" s="81">
        <v>43265</v>
      </c>
      <c r="W1116" s="199">
        <v>1</v>
      </c>
      <c r="X1116" s="85" t="s">
        <v>3087</v>
      </c>
      <c r="Y1116" s="81">
        <v>43243</v>
      </c>
      <c r="Z1116" s="198">
        <v>4000000</v>
      </c>
      <c r="AA1116" s="84"/>
      <c r="AB1116" s="63"/>
      <c r="AC1116" s="63"/>
      <c r="AD1116" s="198"/>
      <c r="AE1116" s="63"/>
      <c r="AF1116" s="63"/>
      <c r="AG1116" s="63"/>
      <c r="AH1116" s="196"/>
      <c r="AI1116" s="84" t="s">
        <v>3088</v>
      </c>
      <c r="AJ1116" s="63"/>
      <c r="AK1116" s="63"/>
      <c r="AL1116" s="196"/>
      <c r="AM1116" s="196">
        <v>0</v>
      </c>
      <c r="AN1116" s="63"/>
      <c r="AO1116" s="63"/>
      <c r="AP1116" s="63"/>
      <c r="AQ1116" s="63" t="s">
        <v>3068</v>
      </c>
      <c r="AR1116" s="63"/>
      <c r="AS1116" s="63"/>
      <c r="AT1116" s="63"/>
      <c r="AU1116" s="63"/>
      <c r="AV1116" s="63"/>
      <c r="AW1116" s="63"/>
    </row>
    <row r="1117" spans="1:49" ht="357.75" thickTop="1" thickBot="1" x14ac:dyDescent="0.3">
      <c r="A1117" s="193">
        <v>70</v>
      </c>
      <c r="B1117" s="85" t="s">
        <v>3089</v>
      </c>
      <c r="C1117" s="105" t="s">
        <v>2834</v>
      </c>
      <c r="D1117" s="63" t="s">
        <v>714</v>
      </c>
      <c r="E1117" s="106" t="s">
        <v>2835</v>
      </c>
      <c r="F1117" s="63" t="s">
        <v>52</v>
      </c>
      <c r="G1117" s="63" t="s">
        <v>53</v>
      </c>
      <c r="H1117" s="111" t="s">
        <v>733</v>
      </c>
      <c r="I1117" s="63" t="s">
        <v>55</v>
      </c>
      <c r="J1117" s="106" t="s">
        <v>56</v>
      </c>
      <c r="K1117" s="106">
        <v>801116</v>
      </c>
      <c r="L1117" s="63" t="s">
        <v>2836</v>
      </c>
      <c r="M1117" s="63" t="s">
        <v>58</v>
      </c>
      <c r="N1117" s="63" t="s">
        <v>59</v>
      </c>
      <c r="O1117" s="63" t="s">
        <v>2839</v>
      </c>
      <c r="P1117" s="107" t="s">
        <v>3090</v>
      </c>
      <c r="Q1117" s="197">
        <v>4890000</v>
      </c>
      <c r="R1117" s="63">
        <v>1</v>
      </c>
      <c r="S1117" s="198">
        <f>7335000-7335000+7335000-7335000</f>
        <v>0</v>
      </c>
      <c r="T1117" s="112" t="s">
        <v>888</v>
      </c>
      <c r="U1117" s="63" t="s">
        <v>445</v>
      </c>
      <c r="V1117" s="81">
        <v>43255</v>
      </c>
      <c r="W1117" s="206">
        <v>1.5</v>
      </c>
      <c r="X1117" s="85" t="s">
        <v>3091</v>
      </c>
      <c r="Y1117" s="81">
        <v>43243</v>
      </c>
      <c r="Z1117" s="198">
        <v>7335000</v>
      </c>
      <c r="AA1117" s="84"/>
      <c r="AB1117" s="63"/>
      <c r="AC1117" s="63"/>
      <c r="AD1117" s="198"/>
      <c r="AE1117" s="63"/>
      <c r="AF1117" s="63"/>
      <c r="AG1117" s="63"/>
      <c r="AH1117" s="196"/>
      <c r="AI1117" s="84" t="s">
        <v>3092</v>
      </c>
      <c r="AJ1117" s="63"/>
      <c r="AK1117" s="63"/>
      <c r="AL1117" s="196"/>
      <c r="AM1117" s="196">
        <v>0</v>
      </c>
      <c r="AN1117" s="63"/>
      <c r="AO1117" s="63"/>
      <c r="AP1117" s="63"/>
      <c r="AQ1117" s="63" t="s">
        <v>3068</v>
      </c>
      <c r="AR1117" s="63"/>
      <c r="AS1117" s="63"/>
      <c r="AT1117" s="63"/>
      <c r="AU1117" s="63"/>
      <c r="AV1117" s="63"/>
      <c r="AW1117" s="63"/>
    </row>
    <row r="1118" spans="1:49" ht="357.75" thickTop="1" thickBot="1" x14ac:dyDescent="0.3">
      <c r="A1118" s="193">
        <v>71</v>
      </c>
      <c r="B1118" s="85" t="s">
        <v>3093</v>
      </c>
      <c r="C1118" s="105" t="s">
        <v>2834</v>
      </c>
      <c r="D1118" s="63" t="s">
        <v>714</v>
      </c>
      <c r="E1118" s="106" t="s">
        <v>2835</v>
      </c>
      <c r="F1118" s="63" t="s">
        <v>52</v>
      </c>
      <c r="G1118" s="63" t="s">
        <v>53</v>
      </c>
      <c r="H1118" s="111" t="s">
        <v>733</v>
      </c>
      <c r="I1118" s="63" t="s">
        <v>55</v>
      </c>
      <c r="J1118" s="106" t="s">
        <v>56</v>
      </c>
      <c r="K1118" s="106">
        <v>801116</v>
      </c>
      <c r="L1118" s="63" t="s">
        <v>2836</v>
      </c>
      <c r="M1118" s="63" t="s">
        <v>58</v>
      </c>
      <c r="N1118" s="63" t="s">
        <v>59</v>
      </c>
      <c r="O1118" s="63" t="s">
        <v>2839</v>
      </c>
      <c r="P1118" s="107" t="s">
        <v>3094</v>
      </c>
      <c r="Q1118" s="197">
        <v>3300000</v>
      </c>
      <c r="R1118" s="63">
        <v>1</v>
      </c>
      <c r="S1118" s="198"/>
      <c r="T1118" s="112" t="s">
        <v>888</v>
      </c>
      <c r="U1118" s="63" t="s">
        <v>445</v>
      </c>
      <c r="V1118" s="81">
        <v>43291</v>
      </c>
      <c r="W1118" s="199">
        <v>1</v>
      </c>
      <c r="X1118" s="85" t="s">
        <v>3095</v>
      </c>
      <c r="Y1118" s="81">
        <v>43243</v>
      </c>
      <c r="Z1118" s="198">
        <v>3300000</v>
      </c>
      <c r="AA1118" s="84"/>
      <c r="AB1118" s="63"/>
      <c r="AC1118" s="63"/>
      <c r="AD1118" s="198"/>
      <c r="AE1118" s="63"/>
      <c r="AF1118" s="63"/>
      <c r="AG1118" s="63"/>
      <c r="AH1118" s="196"/>
      <c r="AI1118" s="84" t="s">
        <v>3096</v>
      </c>
      <c r="AJ1118" s="63"/>
      <c r="AK1118" s="63"/>
      <c r="AL1118" s="196"/>
      <c r="AM1118" s="196">
        <v>0</v>
      </c>
      <c r="AN1118" s="63"/>
      <c r="AO1118" s="63"/>
      <c r="AP1118" s="63"/>
      <c r="AQ1118" s="63" t="s">
        <v>3068</v>
      </c>
      <c r="AR1118" s="63"/>
      <c r="AS1118" s="63"/>
      <c r="AT1118" s="63"/>
      <c r="AU1118" s="63"/>
      <c r="AV1118" s="63"/>
      <c r="AW1118" s="63"/>
    </row>
    <row r="1119" spans="1:49" ht="357.75" thickTop="1" thickBot="1" x14ac:dyDescent="0.3">
      <c r="A1119" s="193">
        <v>72</v>
      </c>
      <c r="B1119" s="85" t="s">
        <v>3097</v>
      </c>
      <c r="C1119" s="105" t="s">
        <v>2834</v>
      </c>
      <c r="D1119" s="63" t="s">
        <v>714</v>
      </c>
      <c r="E1119" s="106" t="s">
        <v>2835</v>
      </c>
      <c r="F1119" s="63" t="s">
        <v>52</v>
      </c>
      <c r="G1119" s="63" t="s">
        <v>53</v>
      </c>
      <c r="H1119" s="111" t="s">
        <v>733</v>
      </c>
      <c r="I1119" s="63" t="s">
        <v>55</v>
      </c>
      <c r="J1119" s="106" t="s">
        <v>56</v>
      </c>
      <c r="K1119" s="106">
        <v>801116</v>
      </c>
      <c r="L1119" s="63" t="s">
        <v>2836</v>
      </c>
      <c r="M1119" s="63" t="s">
        <v>58</v>
      </c>
      <c r="N1119" s="63" t="s">
        <v>59</v>
      </c>
      <c r="O1119" s="63" t="s">
        <v>2839</v>
      </c>
      <c r="P1119" s="107" t="s">
        <v>3098</v>
      </c>
      <c r="Q1119" s="197">
        <v>1700000</v>
      </c>
      <c r="R1119" s="63">
        <v>1</v>
      </c>
      <c r="S1119" s="198">
        <f>2550000-2550000</f>
        <v>0</v>
      </c>
      <c r="T1119" s="112" t="s">
        <v>888</v>
      </c>
      <c r="U1119" s="63" t="s">
        <v>445</v>
      </c>
      <c r="V1119" s="81">
        <v>43271</v>
      </c>
      <c r="W1119" s="206">
        <v>1.5</v>
      </c>
      <c r="X1119" s="85" t="s">
        <v>3099</v>
      </c>
      <c r="Y1119" s="81">
        <v>43243</v>
      </c>
      <c r="Z1119" s="198">
        <v>2550000</v>
      </c>
      <c r="AA1119" s="84"/>
      <c r="AB1119" s="63"/>
      <c r="AC1119" s="63"/>
      <c r="AD1119" s="198"/>
      <c r="AE1119" s="63"/>
      <c r="AF1119" s="63"/>
      <c r="AG1119" s="63"/>
      <c r="AH1119" s="196"/>
      <c r="AI1119" s="84" t="s">
        <v>3100</v>
      </c>
      <c r="AJ1119" s="63"/>
      <c r="AK1119" s="63"/>
      <c r="AL1119" s="196"/>
      <c r="AM1119" s="196">
        <v>0</v>
      </c>
      <c r="AN1119" s="63"/>
      <c r="AO1119" s="63"/>
      <c r="AP1119" s="63"/>
      <c r="AQ1119" s="63" t="s">
        <v>3068</v>
      </c>
      <c r="AR1119" s="63"/>
      <c r="AS1119" s="63"/>
      <c r="AT1119" s="63"/>
      <c r="AU1119" s="63"/>
      <c r="AV1119" s="63"/>
      <c r="AW1119" s="63"/>
    </row>
    <row r="1120" spans="1:49" ht="357.75" thickTop="1" thickBot="1" x14ac:dyDescent="0.3">
      <c r="A1120" s="193">
        <v>73</v>
      </c>
      <c r="B1120" s="85" t="s">
        <v>3101</v>
      </c>
      <c r="C1120" s="105" t="s">
        <v>2834</v>
      </c>
      <c r="D1120" s="63" t="s">
        <v>714</v>
      </c>
      <c r="E1120" s="106" t="s">
        <v>2835</v>
      </c>
      <c r="F1120" s="63" t="s">
        <v>52</v>
      </c>
      <c r="G1120" s="63" t="s">
        <v>53</v>
      </c>
      <c r="H1120" s="111" t="s">
        <v>733</v>
      </c>
      <c r="I1120" s="63" t="s">
        <v>55</v>
      </c>
      <c r="J1120" s="106" t="s">
        <v>56</v>
      </c>
      <c r="K1120" s="106">
        <v>801116</v>
      </c>
      <c r="L1120" s="63" t="s">
        <v>2836</v>
      </c>
      <c r="M1120" s="63" t="s">
        <v>58</v>
      </c>
      <c r="N1120" s="63" t="s">
        <v>59</v>
      </c>
      <c r="O1120" s="63" t="s">
        <v>2839</v>
      </c>
      <c r="P1120" s="107" t="s">
        <v>3102</v>
      </c>
      <c r="Q1120" s="197">
        <v>4000000</v>
      </c>
      <c r="R1120" s="63">
        <v>1</v>
      </c>
      <c r="S1120" s="198">
        <f>6000000-6000000</f>
        <v>0</v>
      </c>
      <c r="T1120" s="112" t="s">
        <v>888</v>
      </c>
      <c r="U1120" s="63" t="s">
        <v>445</v>
      </c>
      <c r="V1120" s="81">
        <v>43257</v>
      </c>
      <c r="W1120" s="206">
        <v>1.5</v>
      </c>
      <c r="X1120" s="85" t="s">
        <v>3103</v>
      </c>
      <c r="Y1120" s="81">
        <v>43243</v>
      </c>
      <c r="Z1120" s="198">
        <v>6000000</v>
      </c>
      <c r="AA1120" s="84"/>
      <c r="AB1120" s="63"/>
      <c r="AC1120" s="63"/>
      <c r="AD1120" s="198"/>
      <c r="AE1120" s="63"/>
      <c r="AF1120" s="63"/>
      <c r="AG1120" s="63"/>
      <c r="AH1120" s="196"/>
      <c r="AI1120" s="84" t="s">
        <v>3104</v>
      </c>
      <c r="AJ1120" s="63"/>
      <c r="AK1120" s="63"/>
      <c r="AL1120" s="196"/>
      <c r="AM1120" s="196">
        <v>0</v>
      </c>
      <c r="AN1120" s="63"/>
      <c r="AO1120" s="63"/>
      <c r="AP1120" s="63"/>
      <c r="AQ1120" s="63" t="s">
        <v>3068</v>
      </c>
      <c r="AR1120" s="63"/>
      <c r="AS1120" s="63"/>
      <c r="AT1120" s="63"/>
      <c r="AU1120" s="63"/>
      <c r="AV1120" s="63"/>
      <c r="AW1120" s="63"/>
    </row>
    <row r="1121" spans="1:49" ht="357.75" thickTop="1" thickBot="1" x14ac:dyDescent="0.3">
      <c r="A1121" s="193">
        <v>74</v>
      </c>
      <c r="B1121" s="85" t="s">
        <v>3105</v>
      </c>
      <c r="C1121" s="105" t="s">
        <v>2834</v>
      </c>
      <c r="D1121" s="63" t="s">
        <v>714</v>
      </c>
      <c r="E1121" s="106" t="s">
        <v>2835</v>
      </c>
      <c r="F1121" s="63" t="s">
        <v>52</v>
      </c>
      <c r="G1121" s="63" t="s">
        <v>53</v>
      </c>
      <c r="H1121" s="111" t="s">
        <v>733</v>
      </c>
      <c r="I1121" s="63" t="s">
        <v>55</v>
      </c>
      <c r="J1121" s="106" t="s">
        <v>56</v>
      </c>
      <c r="K1121" s="106">
        <v>801116</v>
      </c>
      <c r="L1121" s="63" t="s">
        <v>2836</v>
      </c>
      <c r="M1121" s="63" t="s">
        <v>58</v>
      </c>
      <c r="N1121" s="63" t="s">
        <v>59</v>
      </c>
      <c r="O1121" s="63" t="s">
        <v>2839</v>
      </c>
      <c r="P1121" s="107" t="s">
        <v>3106</v>
      </c>
      <c r="Q1121" s="197">
        <v>3300000</v>
      </c>
      <c r="R1121" s="63">
        <v>1</v>
      </c>
      <c r="S1121" s="198">
        <f>4950000-4950000</f>
        <v>0</v>
      </c>
      <c r="T1121" s="112" t="s">
        <v>888</v>
      </c>
      <c r="U1121" s="63" t="s">
        <v>445</v>
      </c>
      <c r="V1121" s="81">
        <v>43256</v>
      </c>
      <c r="W1121" s="206">
        <v>1.5</v>
      </c>
      <c r="X1121" s="85" t="s">
        <v>3107</v>
      </c>
      <c r="Y1121" s="81">
        <v>43243</v>
      </c>
      <c r="Z1121" s="198">
        <v>4950000</v>
      </c>
      <c r="AA1121" s="84"/>
      <c r="AB1121" s="63"/>
      <c r="AC1121" s="63"/>
      <c r="AD1121" s="198"/>
      <c r="AE1121" s="63"/>
      <c r="AF1121" s="63"/>
      <c r="AG1121" s="63"/>
      <c r="AH1121" s="196"/>
      <c r="AI1121" s="84" t="s">
        <v>3108</v>
      </c>
      <c r="AJ1121" s="63"/>
      <c r="AK1121" s="63"/>
      <c r="AL1121" s="196"/>
      <c r="AM1121" s="196">
        <v>0</v>
      </c>
      <c r="AN1121" s="63"/>
      <c r="AO1121" s="63"/>
      <c r="AP1121" s="63"/>
      <c r="AQ1121" s="63" t="s">
        <v>3068</v>
      </c>
      <c r="AR1121" s="63"/>
      <c r="AS1121" s="63"/>
      <c r="AT1121" s="63"/>
      <c r="AU1121" s="63"/>
      <c r="AV1121" s="63"/>
      <c r="AW1121" s="63"/>
    </row>
    <row r="1122" spans="1:49" ht="357.75" thickTop="1" thickBot="1" x14ac:dyDescent="0.3">
      <c r="A1122" s="193">
        <v>75</v>
      </c>
      <c r="B1122" s="85" t="s">
        <v>3109</v>
      </c>
      <c r="C1122" s="105" t="s">
        <v>2834</v>
      </c>
      <c r="D1122" s="63" t="s">
        <v>714</v>
      </c>
      <c r="E1122" s="106" t="s">
        <v>2835</v>
      </c>
      <c r="F1122" s="63" t="s">
        <v>52</v>
      </c>
      <c r="G1122" s="63" t="s">
        <v>53</v>
      </c>
      <c r="H1122" s="111" t="s">
        <v>733</v>
      </c>
      <c r="I1122" s="63" t="s">
        <v>55</v>
      </c>
      <c r="J1122" s="106" t="s">
        <v>56</v>
      </c>
      <c r="K1122" s="106">
        <v>801116</v>
      </c>
      <c r="L1122" s="63" t="s">
        <v>2836</v>
      </c>
      <c r="M1122" s="63" t="s">
        <v>58</v>
      </c>
      <c r="N1122" s="63" t="s">
        <v>59</v>
      </c>
      <c r="O1122" s="63" t="s">
        <v>2839</v>
      </c>
      <c r="P1122" s="107" t="s">
        <v>3110</v>
      </c>
      <c r="Q1122" s="197">
        <v>4000000</v>
      </c>
      <c r="R1122" s="63">
        <v>1</v>
      </c>
      <c r="S1122" s="198">
        <f>6000000-2343833-3656167</f>
        <v>0</v>
      </c>
      <c r="T1122" s="112" t="s">
        <v>888</v>
      </c>
      <c r="U1122" s="63" t="s">
        <v>445</v>
      </c>
      <c r="V1122" s="81">
        <v>43256</v>
      </c>
      <c r="W1122" s="206">
        <v>1.5</v>
      </c>
      <c r="X1122" s="85" t="s">
        <v>3111</v>
      </c>
      <c r="Y1122" s="81">
        <v>43243</v>
      </c>
      <c r="Z1122" s="198">
        <v>6000000</v>
      </c>
      <c r="AA1122" s="84"/>
      <c r="AB1122" s="63"/>
      <c r="AC1122" s="63"/>
      <c r="AD1122" s="198"/>
      <c r="AE1122" s="63"/>
      <c r="AF1122" s="63"/>
      <c r="AG1122" s="63"/>
      <c r="AH1122" s="196"/>
      <c r="AI1122" s="84" t="s">
        <v>3112</v>
      </c>
      <c r="AJ1122" s="63"/>
      <c r="AK1122" s="63"/>
      <c r="AL1122" s="196"/>
      <c r="AM1122" s="196">
        <v>0</v>
      </c>
      <c r="AN1122" s="63"/>
      <c r="AO1122" s="63"/>
      <c r="AP1122" s="63"/>
      <c r="AQ1122" s="63" t="s">
        <v>3068</v>
      </c>
      <c r="AR1122" s="63"/>
      <c r="AS1122" s="63"/>
      <c r="AT1122" s="63"/>
      <c r="AU1122" s="63"/>
      <c r="AV1122" s="63"/>
      <c r="AW1122" s="63"/>
    </row>
    <row r="1123" spans="1:49" ht="357.75" thickTop="1" thickBot="1" x14ac:dyDescent="0.3">
      <c r="A1123" s="193">
        <v>76</v>
      </c>
      <c r="B1123" s="85" t="s">
        <v>3113</v>
      </c>
      <c r="C1123" s="105" t="s">
        <v>2834</v>
      </c>
      <c r="D1123" s="63" t="s">
        <v>714</v>
      </c>
      <c r="E1123" s="106" t="s">
        <v>2835</v>
      </c>
      <c r="F1123" s="63" t="s">
        <v>52</v>
      </c>
      <c r="G1123" s="63" t="s">
        <v>53</v>
      </c>
      <c r="H1123" s="111" t="s">
        <v>733</v>
      </c>
      <c r="I1123" s="63" t="s">
        <v>55</v>
      </c>
      <c r="J1123" s="106" t="s">
        <v>56</v>
      </c>
      <c r="K1123" s="106">
        <v>801116</v>
      </c>
      <c r="L1123" s="63" t="s">
        <v>2836</v>
      </c>
      <c r="M1123" s="63" t="s">
        <v>58</v>
      </c>
      <c r="N1123" s="63" t="s">
        <v>59</v>
      </c>
      <c r="O1123" s="63" t="s">
        <v>2839</v>
      </c>
      <c r="P1123" s="107" t="s">
        <v>3114</v>
      </c>
      <c r="Q1123" s="197">
        <v>2400000</v>
      </c>
      <c r="R1123" s="63">
        <v>1</v>
      </c>
      <c r="S1123" s="198">
        <f>3600000-1145333-2454667</f>
        <v>0</v>
      </c>
      <c r="T1123" s="112" t="s">
        <v>888</v>
      </c>
      <c r="U1123" s="63" t="s">
        <v>445</v>
      </c>
      <c r="V1123" s="81">
        <v>43261</v>
      </c>
      <c r="W1123" s="206">
        <v>1.5</v>
      </c>
      <c r="X1123" s="85" t="s">
        <v>3115</v>
      </c>
      <c r="Y1123" s="81">
        <v>43243</v>
      </c>
      <c r="Z1123" s="198">
        <v>3600000</v>
      </c>
      <c r="AA1123" s="84"/>
      <c r="AB1123" s="63"/>
      <c r="AC1123" s="63"/>
      <c r="AD1123" s="198"/>
      <c r="AE1123" s="63"/>
      <c r="AF1123" s="63"/>
      <c r="AG1123" s="63"/>
      <c r="AH1123" s="196"/>
      <c r="AI1123" s="84" t="s">
        <v>3116</v>
      </c>
      <c r="AJ1123" s="63"/>
      <c r="AK1123" s="63"/>
      <c r="AL1123" s="196"/>
      <c r="AM1123" s="196">
        <v>0</v>
      </c>
      <c r="AN1123" s="63"/>
      <c r="AO1123" s="63"/>
      <c r="AP1123" s="63"/>
      <c r="AQ1123" s="63" t="s">
        <v>3068</v>
      </c>
      <c r="AR1123" s="63"/>
      <c r="AS1123" s="63"/>
      <c r="AT1123" s="63"/>
      <c r="AU1123" s="63"/>
      <c r="AV1123" s="63"/>
      <c r="AW1123" s="63"/>
    </row>
    <row r="1124" spans="1:49" ht="357.75" thickTop="1" thickBot="1" x14ac:dyDescent="0.3">
      <c r="A1124" s="193">
        <v>77</v>
      </c>
      <c r="B1124" s="85" t="s">
        <v>3117</v>
      </c>
      <c r="C1124" s="105" t="s">
        <v>2834</v>
      </c>
      <c r="D1124" s="63" t="s">
        <v>714</v>
      </c>
      <c r="E1124" s="106" t="s">
        <v>2835</v>
      </c>
      <c r="F1124" s="63" t="s">
        <v>52</v>
      </c>
      <c r="G1124" s="63" t="s">
        <v>53</v>
      </c>
      <c r="H1124" s="111" t="s">
        <v>733</v>
      </c>
      <c r="I1124" s="63" t="s">
        <v>55</v>
      </c>
      <c r="J1124" s="106" t="s">
        <v>56</v>
      </c>
      <c r="K1124" s="106">
        <v>801116</v>
      </c>
      <c r="L1124" s="63" t="s">
        <v>2836</v>
      </c>
      <c r="M1124" s="63" t="s">
        <v>58</v>
      </c>
      <c r="N1124" s="63" t="s">
        <v>59</v>
      </c>
      <c r="O1124" s="63" t="s">
        <v>2839</v>
      </c>
      <c r="P1124" s="107" t="s">
        <v>3118</v>
      </c>
      <c r="Q1124" s="197">
        <v>1700000</v>
      </c>
      <c r="R1124" s="63">
        <v>1</v>
      </c>
      <c r="S1124" s="198">
        <v>2550000</v>
      </c>
      <c r="T1124" s="112" t="s">
        <v>888</v>
      </c>
      <c r="U1124" s="63" t="s">
        <v>445</v>
      </c>
      <c r="V1124" s="81">
        <v>43255</v>
      </c>
      <c r="W1124" s="206">
        <v>1.5</v>
      </c>
      <c r="X1124" s="85" t="s">
        <v>3119</v>
      </c>
      <c r="Y1124" s="81">
        <v>43243</v>
      </c>
      <c r="Z1124" s="198">
        <v>2550000</v>
      </c>
      <c r="AA1124" s="84"/>
      <c r="AB1124" s="63">
        <v>860</v>
      </c>
      <c r="AC1124" s="81">
        <v>43251</v>
      </c>
      <c r="AD1124" s="198"/>
      <c r="AE1124" s="63"/>
      <c r="AF1124" s="63">
        <v>1994</v>
      </c>
      <c r="AG1124" s="81">
        <v>43256</v>
      </c>
      <c r="AH1124" s="196">
        <v>2550000</v>
      </c>
      <c r="AI1124" s="84" t="s">
        <v>3120</v>
      </c>
      <c r="AJ1124" s="63">
        <v>667</v>
      </c>
      <c r="AK1124" s="63"/>
      <c r="AL1124" s="196">
        <v>2550000</v>
      </c>
      <c r="AM1124" s="196">
        <f>+VLOOKUP(AF1124,'[2]CRP a 31 Agosto de 2018'!$J$8:$V$2956,13,0)</f>
        <v>2550000</v>
      </c>
      <c r="AN1124" s="198">
        <f>+AL1124-AM1124</f>
        <v>0</v>
      </c>
      <c r="AO1124" s="63"/>
      <c r="AP1124" s="63"/>
      <c r="AQ1124" s="63"/>
      <c r="AR1124" s="63"/>
      <c r="AS1124" s="63"/>
      <c r="AT1124" s="63"/>
      <c r="AU1124" s="63"/>
      <c r="AV1124" s="63"/>
      <c r="AW1124" s="63"/>
    </row>
    <row r="1125" spans="1:49" ht="357.75" thickTop="1" thickBot="1" x14ac:dyDescent="0.3">
      <c r="A1125" s="193">
        <v>78</v>
      </c>
      <c r="B1125" s="85" t="s">
        <v>3121</v>
      </c>
      <c r="C1125" s="105" t="s">
        <v>2834</v>
      </c>
      <c r="D1125" s="63" t="s">
        <v>714</v>
      </c>
      <c r="E1125" s="106" t="s">
        <v>2835</v>
      </c>
      <c r="F1125" s="63" t="s">
        <v>52</v>
      </c>
      <c r="G1125" s="63" t="s">
        <v>53</v>
      </c>
      <c r="H1125" s="111" t="s">
        <v>733</v>
      </c>
      <c r="I1125" s="63" t="s">
        <v>55</v>
      </c>
      <c r="J1125" s="106" t="s">
        <v>56</v>
      </c>
      <c r="K1125" s="106">
        <v>801116</v>
      </c>
      <c r="L1125" s="63" t="s">
        <v>2836</v>
      </c>
      <c r="M1125" s="63" t="s">
        <v>58</v>
      </c>
      <c r="N1125" s="63" t="s">
        <v>59</v>
      </c>
      <c r="O1125" s="63" t="s">
        <v>2839</v>
      </c>
      <c r="P1125" s="107" t="s">
        <v>3122</v>
      </c>
      <c r="Q1125" s="197">
        <v>2400000</v>
      </c>
      <c r="R1125" s="63">
        <v>1</v>
      </c>
      <c r="S1125" s="198">
        <f>3600000-3600000</f>
        <v>0</v>
      </c>
      <c r="T1125" s="112" t="s">
        <v>888</v>
      </c>
      <c r="U1125" s="63" t="s">
        <v>445</v>
      </c>
      <c r="V1125" s="81">
        <v>43269</v>
      </c>
      <c r="W1125" s="206">
        <v>1.5</v>
      </c>
      <c r="X1125" s="85" t="s">
        <v>3123</v>
      </c>
      <c r="Y1125" s="81">
        <v>43243</v>
      </c>
      <c r="Z1125" s="198">
        <v>3600000</v>
      </c>
      <c r="AA1125" s="84"/>
      <c r="AB1125" s="63"/>
      <c r="AC1125" s="63"/>
      <c r="AD1125" s="198"/>
      <c r="AE1125" s="63"/>
      <c r="AF1125" s="63"/>
      <c r="AG1125" s="63"/>
      <c r="AH1125" s="196"/>
      <c r="AI1125" s="84" t="s">
        <v>3124</v>
      </c>
      <c r="AJ1125" s="63"/>
      <c r="AK1125" s="63"/>
      <c r="AL1125" s="196"/>
      <c r="AM1125" s="196">
        <v>0</v>
      </c>
      <c r="AN1125" s="63"/>
      <c r="AO1125" s="63"/>
      <c r="AP1125" s="63"/>
      <c r="AQ1125" s="63" t="s">
        <v>3068</v>
      </c>
      <c r="AR1125" s="63"/>
      <c r="AS1125" s="63"/>
      <c r="AT1125" s="63"/>
      <c r="AU1125" s="63"/>
      <c r="AV1125" s="63"/>
      <c r="AW1125" s="63"/>
    </row>
    <row r="1126" spans="1:49" ht="357.75" thickTop="1" thickBot="1" x14ac:dyDescent="0.3">
      <c r="A1126" s="193">
        <v>79</v>
      </c>
      <c r="B1126" s="85" t="s">
        <v>3125</v>
      </c>
      <c r="C1126" s="105" t="s">
        <v>2834</v>
      </c>
      <c r="D1126" s="63" t="s">
        <v>714</v>
      </c>
      <c r="E1126" s="106" t="s">
        <v>2835</v>
      </c>
      <c r="F1126" s="63" t="s">
        <v>52</v>
      </c>
      <c r="G1126" s="63" t="s">
        <v>53</v>
      </c>
      <c r="H1126" s="111" t="s">
        <v>733</v>
      </c>
      <c r="I1126" s="63" t="s">
        <v>55</v>
      </c>
      <c r="J1126" s="106" t="s">
        <v>56</v>
      </c>
      <c r="K1126" s="106">
        <v>801116</v>
      </c>
      <c r="L1126" s="63" t="s">
        <v>2836</v>
      </c>
      <c r="M1126" s="63" t="s">
        <v>58</v>
      </c>
      <c r="N1126" s="63" t="s">
        <v>59</v>
      </c>
      <c r="O1126" s="63" t="s">
        <v>2839</v>
      </c>
      <c r="P1126" s="107" t="s">
        <v>3126</v>
      </c>
      <c r="Q1126" s="197">
        <v>3450000</v>
      </c>
      <c r="R1126" s="63">
        <v>1</v>
      </c>
      <c r="S1126" s="198">
        <v>5175000</v>
      </c>
      <c r="T1126" s="112" t="s">
        <v>888</v>
      </c>
      <c r="U1126" s="63" t="s">
        <v>445</v>
      </c>
      <c r="V1126" s="81">
        <v>43254</v>
      </c>
      <c r="W1126" s="206">
        <v>1.5</v>
      </c>
      <c r="X1126" s="85" t="s">
        <v>3127</v>
      </c>
      <c r="Y1126" s="81">
        <v>43243</v>
      </c>
      <c r="Z1126" s="198">
        <v>5175000</v>
      </c>
      <c r="AA1126" s="84"/>
      <c r="AB1126" s="63">
        <v>857</v>
      </c>
      <c r="AC1126" s="81">
        <v>43251</v>
      </c>
      <c r="AD1126" s="198"/>
      <c r="AE1126" s="63"/>
      <c r="AF1126" s="63">
        <v>1990</v>
      </c>
      <c r="AG1126" s="81" t="s">
        <v>3128</v>
      </c>
      <c r="AH1126" s="196">
        <v>5175000</v>
      </c>
      <c r="AI1126" s="84" t="s">
        <v>3129</v>
      </c>
      <c r="AJ1126" s="63">
        <v>654</v>
      </c>
      <c r="AK1126" s="63"/>
      <c r="AL1126" s="198">
        <v>5175000</v>
      </c>
      <c r="AM1126" s="196">
        <f>+VLOOKUP(AF1126,'[2]CRP a 31 Agosto de 2018'!$J$8:$V$2956,13,0)</f>
        <v>5175000</v>
      </c>
      <c r="AN1126" s="198">
        <f>+AL1126-AM1126</f>
        <v>0</v>
      </c>
      <c r="AO1126" s="63"/>
      <c r="AP1126" s="63"/>
      <c r="AQ1126" s="63"/>
      <c r="AR1126" s="63"/>
      <c r="AS1126" s="63"/>
      <c r="AT1126" s="63"/>
      <c r="AU1126" s="63"/>
      <c r="AV1126" s="63"/>
      <c r="AW1126" s="63"/>
    </row>
    <row r="1127" spans="1:49" ht="357.75" thickTop="1" thickBot="1" x14ac:dyDescent="0.3">
      <c r="A1127" s="193">
        <v>80</v>
      </c>
      <c r="B1127" s="85" t="s">
        <v>3130</v>
      </c>
      <c r="C1127" s="105" t="s">
        <v>2834</v>
      </c>
      <c r="D1127" s="63" t="s">
        <v>714</v>
      </c>
      <c r="E1127" s="106" t="s">
        <v>2835</v>
      </c>
      <c r="F1127" s="63" t="s">
        <v>52</v>
      </c>
      <c r="G1127" s="63" t="s">
        <v>53</v>
      </c>
      <c r="H1127" s="111" t="s">
        <v>733</v>
      </c>
      <c r="I1127" s="63" t="s">
        <v>55</v>
      </c>
      <c r="J1127" s="106" t="s">
        <v>56</v>
      </c>
      <c r="K1127" s="106">
        <v>801116</v>
      </c>
      <c r="L1127" s="63" t="s">
        <v>2836</v>
      </c>
      <c r="M1127" s="63" t="s">
        <v>58</v>
      </c>
      <c r="N1127" s="63" t="s">
        <v>59</v>
      </c>
      <c r="O1127" s="63" t="s">
        <v>2839</v>
      </c>
      <c r="P1127" s="107" t="s">
        <v>3131</v>
      </c>
      <c r="Q1127" s="197">
        <v>2400000</v>
      </c>
      <c r="R1127" s="63">
        <v>1</v>
      </c>
      <c r="S1127" s="198">
        <f>3600000-3600000</f>
        <v>0</v>
      </c>
      <c r="T1127" s="112" t="s">
        <v>888</v>
      </c>
      <c r="U1127" s="63" t="s">
        <v>445</v>
      </c>
      <c r="V1127" s="81">
        <v>43271</v>
      </c>
      <c r="W1127" s="206">
        <v>1.5</v>
      </c>
      <c r="X1127" s="85" t="s">
        <v>3132</v>
      </c>
      <c r="Y1127" s="81">
        <v>43243</v>
      </c>
      <c r="Z1127" s="198">
        <v>3600000</v>
      </c>
      <c r="AA1127" s="84"/>
      <c r="AB1127" s="63"/>
      <c r="AC1127" s="63"/>
      <c r="AD1127" s="198"/>
      <c r="AE1127" s="63"/>
      <c r="AF1127" s="63"/>
      <c r="AG1127" s="63"/>
      <c r="AH1127" s="196"/>
      <c r="AI1127" s="84" t="s">
        <v>3133</v>
      </c>
      <c r="AJ1127" s="63"/>
      <c r="AK1127" s="63"/>
      <c r="AL1127" s="196"/>
      <c r="AM1127" s="196">
        <v>0</v>
      </c>
      <c r="AN1127" s="63"/>
      <c r="AO1127" s="63"/>
      <c r="AP1127" s="63"/>
      <c r="AQ1127" s="63" t="s">
        <v>3068</v>
      </c>
      <c r="AR1127" s="63"/>
      <c r="AS1127" s="63"/>
      <c r="AT1127" s="63"/>
      <c r="AU1127" s="63"/>
      <c r="AV1127" s="63"/>
      <c r="AW1127" s="63"/>
    </row>
    <row r="1128" spans="1:49" ht="357.75" thickTop="1" thickBot="1" x14ac:dyDescent="0.3">
      <c r="A1128" s="193">
        <v>81</v>
      </c>
      <c r="B1128" s="85" t="s">
        <v>3134</v>
      </c>
      <c r="C1128" s="105" t="s">
        <v>2834</v>
      </c>
      <c r="D1128" s="63" t="s">
        <v>714</v>
      </c>
      <c r="E1128" s="106" t="s">
        <v>2835</v>
      </c>
      <c r="F1128" s="63" t="s">
        <v>52</v>
      </c>
      <c r="G1128" s="63" t="s">
        <v>53</v>
      </c>
      <c r="H1128" s="111" t="s">
        <v>733</v>
      </c>
      <c r="I1128" s="63" t="s">
        <v>55</v>
      </c>
      <c r="J1128" s="106" t="s">
        <v>56</v>
      </c>
      <c r="K1128" s="106">
        <v>801116</v>
      </c>
      <c r="L1128" s="63" t="s">
        <v>2836</v>
      </c>
      <c r="M1128" s="63" t="s">
        <v>58</v>
      </c>
      <c r="N1128" s="63" t="s">
        <v>59</v>
      </c>
      <c r="O1128" s="63" t="s">
        <v>2839</v>
      </c>
      <c r="P1128" s="107" t="s">
        <v>3135</v>
      </c>
      <c r="Q1128" s="197">
        <v>2400000</v>
      </c>
      <c r="R1128" s="63">
        <v>1</v>
      </c>
      <c r="S1128" s="198">
        <f>3600000-3600000</f>
        <v>0</v>
      </c>
      <c r="T1128" s="112" t="s">
        <v>888</v>
      </c>
      <c r="U1128" s="63" t="s">
        <v>445</v>
      </c>
      <c r="V1128" s="81">
        <v>43269</v>
      </c>
      <c r="W1128" s="206">
        <v>1.5</v>
      </c>
      <c r="X1128" s="85" t="s">
        <v>3136</v>
      </c>
      <c r="Y1128" s="81">
        <v>43243</v>
      </c>
      <c r="Z1128" s="198">
        <v>3600000</v>
      </c>
      <c r="AA1128" s="84"/>
      <c r="AB1128" s="63"/>
      <c r="AC1128" s="63"/>
      <c r="AD1128" s="198"/>
      <c r="AE1128" s="63"/>
      <c r="AF1128" s="63"/>
      <c r="AG1128" s="63"/>
      <c r="AH1128" s="196"/>
      <c r="AI1128" s="84" t="s">
        <v>3137</v>
      </c>
      <c r="AJ1128" s="63"/>
      <c r="AK1128" s="63"/>
      <c r="AL1128" s="196"/>
      <c r="AM1128" s="196">
        <v>0</v>
      </c>
      <c r="AN1128" s="63"/>
      <c r="AO1128" s="63"/>
      <c r="AP1128" s="63"/>
      <c r="AQ1128" s="63" t="s">
        <v>3068</v>
      </c>
      <c r="AR1128" s="63"/>
      <c r="AS1128" s="63"/>
      <c r="AT1128" s="63"/>
      <c r="AU1128" s="63"/>
      <c r="AV1128" s="63"/>
      <c r="AW1128" s="63"/>
    </row>
    <row r="1129" spans="1:49" ht="357.75" thickTop="1" thickBot="1" x14ac:dyDescent="0.3">
      <c r="A1129" s="193">
        <v>82</v>
      </c>
      <c r="B1129" s="85" t="s">
        <v>3138</v>
      </c>
      <c r="C1129" s="105" t="s">
        <v>2834</v>
      </c>
      <c r="D1129" s="63" t="s">
        <v>714</v>
      </c>
      <c r="E1129" s="106" t="s">
        <v>2835</v>
      </c>
      <c r="F1129" s="63" t="s">
        <v>52</v>
      </c>
      <c r="G1129" s="63" t="s">
        <v>53</v>
      </c>
      <c r="H1129" s="111" t="s">
        <v>733</v>
      </c>
      <c r="I1129" s="63" t="s">
        <v>55</v>
      </c>
      <c r="J1129" s="106" t="s">
        <v>56</v>
      </c>
      <c r="K1129" s="106">
        <v>801116</v>
      </c>
      <c r="L1129" s="63" t="s">
        <v>2836</v>
      </c>
      <c r="M1129" s="63" t="s">
        <v>58</v>
      </c>
      <c r="N1129" s="63" t="s">
        <v>59</v>
      </c>
      <c r="O1129" s="63" t="s">
        <v>2839</v>
      </c>
      <c r="P1129" s="107" t="s">
        <v>3139</v>
      </c>
      <c r="Q1129" s="197">
        <v>3300000</v>
      </c>
      <c r="R1129" s="63">
        <v>1</v>
      </c>
      <c r="S1129" s="198">
        <f>3300000-2048666-1249733-1601</f>
        <v>0</v>
      </c>
      <c r="T1129" s="112" t="s">
        <v>888</v>
      </c>
      <c r="U1129" s="63" t="s">
        <v>445</v>
      </c>
      <c r="V1129" s="81">
        <v>43286</v>
      </c>
      <c r="W1129" s="199">
        <v>1</v>
      </c>
      <c r="X1129" s="85" t="s">
        <v>3140</v>
      </c>
      <c r="Y1129" s="81">
        <v>43243</v>
      </c>
      <c r="Z1129" s="198">
        <v>3300000</v>
      </c>
      <c r="AA1129" s="84"/>
      <c r="AB1129" s="63"/>
      <c r="AC1129" s="63"/>
      <c r="AD1129" s="198"/>
      <c r="AE1129" s="63"/>
      <c r="AF1129" s="63"/>
      <c r="AG1129" s="63"/>
      <c r="AH1129" s="196"/>
      <c r="AI1129" s="84" t="s">
        <v>3141</v>
      </c>
      <c r="AJ1129" s="63"/>
      <c r="AK1129" s="63"/>
      <c r="AL1129" s="196"/>
      <c r="AM1129" s="196">
        <v>0</v>
      </c>
      <c r="AN1129" s="63"/>
      <c r="AO1129" s="63"/>
      <c r="AP1129" s="63"/>
      <c r="AQ1129" s="63" t="s">
        <v>3068</v>
      </c>
      <c r="AR1129" s="63"/>
      <c r="AS1129" s="63"/>
      <c r="AT1129" s="63"/>
      <c r="AU1129" s="63"/>
      <c r="AV1129" s="63"/>
      <c r="AW1129" s="63"/>
    </row>
    <row r="1130" spans="1:49" ht="357.75" thickTop="1" thickBot="1" x14ac:dyDescent="0.3">
      <c r="A1130" s="193">
        <v>83</v>
      </c>
      <c r="B1130" s="85" t="s">
        <v>3142</v>
      </c>
      <c r="C1130" s="105" t="s">
        <v>2834</v>
      </c>
      <c r="D1130" s="63" t="s">
        <v>714</v>
      </c>
      <c r="E1130" s="106" t="s">
        <v>2835</v>
      </c>
      <c r="F1130" s="63" t="s">
        <v>52</v>
      </c>
      <c r="G1130" s="63" t="s">
        <v>53</v>
      </c>
      <c r="H1130" s="111" t="s">
        <v>733</v>
      </c>
      <c r="I1130" s="63" t="s">
        <v>55</v>
      </c>
      <c r="J1130" s="106" t="s">
        <v>56</v>
      </c>
      <c r="K1130" s="106">
        <v>801116</v>
      </c>
      <c r="L1130" s="63" t="s">
        <v>2836</v>
      </c>
      <c r="M1130" s="63" t="s">
        <v>58</v>
      </c>
      <c r="N1130" s="63" t="s">
        <v>59</v>
      </c>
      <c r="O1130" s="63" t="s">
        <v>2839</v>
      </c>
      <c r="P1130" s="107" t="s">
        <v>3143</v>
      </c>
      <c r="Q1130" s="197">
        <v>5100000</v>
      </c>
      <c r="R1130" s="63">
        <v>1</v>
      </c>
      <c r="S1130" s="198">
        <f>5100000-1273500-2568167-1258333</f>
        <v>0</v>
      </c>
      <c r="T1130" s="112" t="s">
        <v>888</v>
      </c>
      <c r="U1130" s="63" t="s">
        <v>445</v>
      </c>
      <c r="V1130" s="81">
        <v>43285</v>
      </c>
      <c r="W1130" s="199">
        <v>1</v>
      </c>
      <c r="X1130" s="85" t="s">
        <v>3144</v>
      </c>
      <c r="Y1130" s="81">
        <v>43243</v>
      </c>
      <c r="Z1130" s="198">
        <v>5100000</v>
      </c>
      <c r="AA1130" s="84"/>
      <c r="AB1130" s="63"/>
      <c r="AC1130" s="63"/>
      <c r="AD1130" s="198"/>
      <c r="AE1130" s="63"/>
      <c r="AF1130" s="63"/>
      <c r="AG1130" s="63"/>
      <c r="AH1130" s="196"/>
      <c r="AI1130" s="84" t="s">
        <v>3145</v>
      </c>
      <c r="AJ1130" s="63"/>
      <c r="AK1130" s="63"/>
      <c r="AL1130" s="196"/>
      <c r="AM1130" s="196">
        <v>0</v>
      </c>
      <c r="AN1130" s="63"/>
      <c r="AO1130" s="63"/>
      <c r="AP1130" s="63"/>
      <c r="AQ1130" s="63" t="s">
        <v>3068</v>
      </c>
      <c r="AR1130" s="63"/>
      <c r="AS1130" s="63"/>
      <c r="AT1130" s="63"/>
      <c r="AU1130" s="63"/>
      <c r="AV1130" s="63"/>
      <c r="AW1130" s="63"/>
    </row>
    <row r="1131" spans="1:49" ht="357.75" thickTop="1" thickBot="1" x14ac:dyDescent="0.3">
      <c r="A1131" s="193">
        <v>84</v>
      </c>
      <c r="B1131" s="85" t="s">
        <v>3146</v>
      </c>
      <c r="C1131" s="105" t="s">
        <v>2834</v>
      </c>
      <c r="D1131" s="63" t="s">
        <v>714</v>
      </c>
      <c r="E1131" s="106" t="s">
        <v>2835</v>
      </c>
      <c r="F1131" s="63" t="s">
        <v>52</v>
      </c>
      <c r="G1131" s="63" t="s">
        <v>53</v>
      </c>
      <c r="H1131" s="111" t="s">
        <v>733</v>
      </c>
      <c r="I1131" s="63" t="s">
        <v>55</v>
      </c>
      <c r="J1131" s="106" t="s">
        <v>56</v>
      </c>
      <c r="K1131" s="106">
        <v>801116</v>
      </c>
      <c r="L1131" s="63" t="s">
        <v>2836</v>
      </c>
      <c r="M1131" s="63" t="s">
        <v>58</v>
      </c>
      <c r="N1131" s="63" t="s">
        <v>59</v>
      </c>
      <c r="O1131" s="63" t="s">
        <v>2839</v>
      </c>
      <c r="P1131" s="107" t="s">
        <v>3147</v>
      </c>
      <c r="Q1131" s="197">
        <v>1700000</v>
      </c>
      <c r="R1131" s="63">
        <v>1</v>
      </c>
      <c r="S1131" s="198">
        <v>2550000</v>
      </c>
      <c r="T1131" s="112" t="s">
        <v>888</v>
      </c>
      <c r="U1131" s="63" t="s">
        <v>445</v>
      </c>
      <c r="V1131" s="81">
        <v>43254</v>
      </c>
      <c r="W1131" s="206">
        <v>1.5</v>
      </c>
      <c r="X1131" s="85" t="s">
        <v>3148</v>
      </c>
      <c r="Y1131" s="81">
        <v>43243</v>
      </c>
      <c r="Z1131" s="198">
        <v>2550000</v>
      </c>
      <c r="AA1131" s="84"/>
      <c r="AB1131" s="63">
        <v>866</v>
      </c>
      <c r="AC1131" s="81">
        <v>43251</v>
      </c>
      <c r="AD1131" s="198"/>
      <c r="AE1131" s="63"/>
      <c r="AF1131" s="63">
        <v>1995</v>
      </c>
      <c r="AG1131" s="81">
        <v>43256</v>
      </c>
      <c r="AH1131" s="196">
        <v>2550000</v>
      </c>
      <c r="AI1131" s="84" t="s">
        <v>3149</v>
      </c>
      <c r="AJ1131" s="63">
        <v>653</v>
      </c>
      <c r="AK1131" s="63"/>
      <c r="AL1131" s="196">
        <v>2550000</v>
      </c>
      <c r="AM1131" s="196">
        <f>+VLOOKUP(AF1131,'[2]CRP a 31 Agosto de 2018'!$J$8:$V$2956,13,0)</f>
        <v>2550000</v>
      </c>
      <c r="AN1131" s="115">
        <f>+AL1131-AM1131</f>
        <v>0</v>
      </c>
      <c r="AO1131" s="63"/>
      <c r="AP1131" s="63"/>
      <c r="AQ1131" s="63"/>
      <c r="AR1131" s="63"/>
      <c r="AS1131" s="63"/>
      <c r="AT1131" s="63"/>
      <c r="AU1131" s="63"/>
      <c r="AV1131" s="63"/>
      <c r="AW1131" s="63"/>
    </row>
    <row r="1132" spans="1:49" ht="357.75" thickTop="1" thickBot="1" x14ac:dyDescent="0.3">
      <c r="A1132" s="193">
        <v>85</v>
      </c>
      <c r="B1132" s="85" t="s">
        <v>3150</v>
      </c>
      <c r="C1132" s="105" t="s">
        <v>2834</v>
      </c>
      <c r="D1132" s="63" t="s">
        <v>714</v>
      </c>
      <c r="E1132" s="106" t="s">
        <v>2835</v>
      </c>
      <c r="F1132" s="63" t="s">
        <v>52</v>
      </c>
      <c r="G1132" s="63" t="s">
        <v>53</v>
      </c>
      <c r="H1132" s="111" t="s">
        <v>733</v>
      </c>
      <c r="I1132" s="63" t="s">
        <v>55</v>
      </c>
      <c r="J1132" s="106" t="s">
        <v>56</v>
      </c>
      <c r="K1132" s="106">
        <v>801116</v>
      </c>
      <c r="L1132" s="63" t="s">
        <v>2836</v>
      </c>
      <c r="M1132" s="63" t="s">
        <v>58</v>
      </c>
      <c r="N1132" s="63" t="s">
        <v>59</v>
      </c>
      <c r="O1132" s="63" t="s">
        <v>2839</v>
      </c>
      <c r="P1132" s="107" t="s">
        <v>3151</v>
      </c>
      <c r="Q1132" s="197">
        <v>5100000</v>
      </c>
      <c r="R1132" s="63">
        <v>1</v>
      </c>
      <c r="S1132" s="197">
        <f>5100000-5100000+2848500-2848500</f>
        <v>0</v>
      </c>
      <c r="T1132" s="112" t="s">
        <v>888</v>
      </c>
      <c r="U1132" s="63" t="s">
        <v>445</v>
      </c>
      <c r="V1132" s="81">
        <v>43256</v>
      </c>
      <c r="W1132" s="206">
        <v>1.5</v>
      </c>
      <c r="X1132" s="85" t="s">
        <v>3152</v>
      </c>
      <c r="Y1132" s="81">
        <v>43243</v>
      </c>
      <c r="Z1132" s="198">
        <v>7650000</v>
      </c>
      <c r="AA1132" s="84"/>
      <c r="AB1132" s="63"/>
      <c r="AC1132" s="63"/>
      <c r="AD1132" s="198"/>
      <c r="AE1132" s="63"/>
      <c r="AF1132" s="63"/>
      <c r="AG1132" s="63"/>
      <c r="AH1132" s="196"/>
      <c r="AI1132" s="84" t="s">
        <v>3153</v>
      </c>
      <c r="AJ1132" s="63"/>
      <c r="AK1132" s="63"/>
      <c r="AL1132" s="196"/>
      <c r="AM1132" s="196">
        <v>0</v>
      </c>
      <c r="AN1132" s="63"/>
      <c r="AO1132" s="63"/>
      <c r="AP1132" s="63"/>
      <c r="AQ1132" s="63" t="s">
        <v>3068</v>
      </c>
      <c r="AR1132" s="63"/>
      <c r="AS1132" s="63"/>
      <c r="AT1132" s="63"/>
      <c r="AU1132" s="63"/>
      <c r="AV1132" s="63"/>
      <c r="AW1132" s="63"/>
    </row>
    <row r="1133" spans="1:49" ht="409.6" thickTop="1" thickBot="1" x14ac:dyDescent="0.3">
      <c r="A1133" s="193">
        <v>86</v>
      </c>
      <c r="B1133" s="85" t="s">
        <v>3154</v>
      </c>
      <c r="C1133" s="105" t="s">
        <v>2834</v>
      </c>
      <c r="D1133" s="63" t="s">
        <v>714</v>
      </c>
      <c r="E1133" s="106" t="s">
        <v>2845</v>
      </c>
      <c r="F1133" s="63" t="s">
        <v>52</v>
      </c>
      <c r="G1133" s="63" t="s">
        <v>53</v>
      </c>
      <c r="H1133" s="111" t="s">
        <v>733</v>
      </c>
      <c r="I1133" s="63" t="s">
        <v>55</v>
      </c>
      <c r="J1133" s="106" t="s">
        <v>56</v>
      </c>
      <c r="K1133" s="106">
        <v>801116</v>
      </c>
      <c r="L1133" s="106" t="s">
        <v>2836</v>
      </c>
      <c r="M1133" s="106" t="s">
        <v>2837</v>
      </c>
      <c r="N1133" s="106" t="s">
        <v>2838</v>
      </c>
      <c r="O1133" s="106" t="s">
        <v>2839</v>
      </c>
      <c r="P1133" s="107" t="s">
        <v>3155</v>
      </c>
      <c r="Q1133" s="197">
        <v>8240000</v>
      </c>
      <c r="R1133" s="63">
        <v>1</v>
      </c>
      <c r="S1133" s="198">
        <v>90640000</v>
      </c>
      <c r="T1133" s="112" t="s">
        <v>888</v>
      </c>
      <c r="U1133" s="63" t="s">
        <v>445</v>
      </c>
      <c r="V1133" s="81">
        <v>43111</v>
      </c>
      <c r="W1133" s="199">
        <v>11</v>
      </c>
      <c r="X1133" s="85" t="s">
        <v>3156</v>
      </c>
      <c r="Y1133" s="81">
        <v>43111</v>
      </c>
      <c r="Z1133" s="196">
        <v>90640000</v>
      </c>
      <c r="AA1133" s="116" t="s">
        <v>3157</v>
      </c>
      <c r="AB1133" s="63">
        <v>473</v>
      </c>
      <c r="AC1133" s="81">
        <v>43112</v>
      </c>
      <c r="AD1133" s="198">
        <v>90640000</v>
      </c>
      <c r="AE1133" s="63"/>
      <c r="AF1133" s="63">
        <v>222</v>
      </c>
      <c r="AG1133" s="81">
        <v>43118</v>
      </c>
      <c r="AH1133" s="196">
        <v>90640000</v>
      </c>
      <c r="AI1133" s="84" t="s">
        <v>3158</v>
      </c>
      <c r="AJ1133" s="63">
        <v>193</v>
      </c>
      <c r="AK1133" s="63"/>
      <c r="AL1133" s="196">
        <v>90640000</v>
      </c>
      <c r="AM1133" s="196">
        <f>+VLOOKUP(AF1133,'[2]CRP a 31 Agosto de 2018'!$J$8:$V$2956,13,0)</f>
        <v>52736000</v>
      </c>
      <c r="AN1133" s="196">
        <f t="shared" ref="AN1133:AN1134" si="125">AL1133-AM1133</f>
        <v>37904000</v>
      </c>
      <c r="AO1133" s="63"/>
      <c r="AP1133" s="63"/>
      <c r="AQ1133" s="85" t="s">
        <v>3159</v>
      </c>
      <c r="AR1133" s="81">
        <v>43111</v>
      </c>
      <c r="AS1133" s="63" t="s">
        <v>2848</v>
      </c>
      <c r="AT1133" s="81">
        <v>43111</v>
      </c>
      <c r="AU1133" s="63" t="s">
        <v>2855</v>
      </c>
      <c r="AV1133" s="63"/>
      <c r="AW1133" s="63"/>
    </row>
    <row r="1134" spans="1:49" ht="409.6" thickTop="1" thickBot="1" x14ac:dyDescent="0.3">
      <c r="A1134" s="193">
        <v>87</v>
      </c>
      <c r="B1134" s="85" t="s">
        <v>3160</v>
      </c>
      <c r="C1134" s="105" t="s">
        <v>2834</v>
      </c>
      <c r="D1134" s="63" t="s">
        <v>714</v>
      </c>
      <c r="E1134" s="106" t="s">
        <v>2845</v>
      </c>
      <c r="F1134" s="63" t="s">
        <v>52</v>
      </c>
      <c r="G1134" s="63" t="s">
        <v>53</v>
      </c>
      <c r="H1134" s="111" t="s">
        <v>733</v>
      </c>
      <c r="I1134" s="63" t="s">
        <v>55</v>
      </c>
      <c r="J1134" s="106" t="s">
        <v>56</v>
      </c>
      <c r="K1134" s="106">
        <v>801116</v>
      </c>
      <c r="L1134" s="106" t="s">
        <v>2836</v>
      </c>
      <c r="M1134" s="106" t="s">
        <v>2837</v>
      </c>
      <c r="N1134" s="106" t="s">
        <v>2838</v>
      </c>
      <c r="O1134" s="106" t="s">
        <v>2839</v>
      </c>
      <c r="P1134" s="107" t="s">
        <v>3161</v>
      </c>
      <c r="Q1134" s="197">
        <v>1259175</v>
      </c>
      <c r="R1134" s="63">
        <v>1</v>
      </c>
      <c r="S1134" s="198">
        <v>13850925</v>
      </c>
      <c r="T1134" s="112" t="s">
        <v>888</v>
      </c>
      <c r="U1134" s="63" t="s">
        <v>445</v>
      </c>
      <c r="V1134" s="81">
        <v>43125</v>
      </c>
      <c r="W1134" s="199">
        <v>11</v>
      </c>
      <c r="X1134" s="85" t="s">
        <v>3162</v>
      </c>
      <c r="Y1134" s="81">
        <v>43115</v>
      </c>
      <c r="Z1134" s="196">
        <v>13850925</v>
      </c>
      <c r="AA1134" s="116" t="s">
        <v>3163</v>
      </c>
      <c r="AB1134" s="63">
        <v>499</v>
      </c>
      <c r="AC1134" s="81">
        <v>43116</v>
      </c>
      <c r="AD1134" s="198">
        <v>13850925</v>
      </c>
      <c r="AE1134" s="63"/>
      <c r="AF1134" s="63">
        <v>179</v>
      </c>
      <c r="AG1134" s="81">
        <v>43118</v>
      </c>
      <c r="AH1134" s="196">
        <v>13850925</v>
      </c>
      <c r="AI1134" s="84" t="s">
        <v>344</v>
      </c>
      <c r="AJ1134" s="63">
        <v>160</v>
      </c>
      <c r="AK1134" s="63"/>
      <c r="AL1134" s="196">
        <v>13850925</v>
      </c>
      <c r="AM1134" s="196">
        <f>+VLOOKUP(AF1134,'[2]CRP a 31 Agosto de 2018'!$J$8:$V$2956,13,0)</f>
        <v>8100694</v>
      </c>
      <c r="AN1134" s="196">
        <f t="shared" si="125"/>
        <v>5750231</v>
      </c>
      <c r="AO1134" s="63"/>
      <c r="AP1134" s="63"/>
      <c r="AQ1134" s="85" t="s">
        <v>3164</v>
      </c>
      <c r="AR1134" s="81">
        <v>43115</v>
      </c>
      <c r="AS1134" s="63" t="s">
        <v>2848</v>
      </c>
      <c r="AT1134" s="81">
        <v>43115</v>
      </c>
      <c r="AU1134" s="63" t="s">
        <v>2855</v>
      </c>
      <c r="AV1134" s="63"/>
      <c r="AW1134" s="63"/>
    </row>
    <row r="1135" spans="1:49" ht="409.6" thickTop="1" thickBot="1" x14ac:dyDescent="0.3">
      <c r="A1135" s="193">
        <v>88</v>
      </c>
      <c r="B1135" s="85" t="s">
        <v>3165</v>
      </c>
      <c r="C1135" s="105" t="s">
        <v>2834</v>
      </c>
      <c r="D1135" s="63" t="s">
        <v>714</v>
      </c>
      <c r="E1135" s="106" t="s">
        <v>2835</v>
      </c>
      <c r="F1135" s="63" t="s">
        <v>52</v>
      </c>
      <c r="G1135" s="63" t="s">
        <v>53</v>
      </c>
      <c r="H1135" s="111" t="s">
        <v>733</v>
      </c>
      <c r="I1135" s="63" t="s">
        <v>55</v>
      </c>
      <c r="J1135" s="106" t="s">
        <v>56</v>
      </c>
      <c r="K1135" s="106">
        <v>801116</v>
      </c>
      <c r="L1135" s="106" t="s">
        <v>2836</v>
      </c>
      <c r="M1135" s="106" t="s">
        <v>2837</v>
      </c>
      <c r="N1135" s="106" t="s">
        <v>2838</v>
      </c>
      <c r="O1135" s="106" t="s">
        <v>2839</v>
      </c>
      <c r="P1135" s="107" t="s">
        <v>3166</v>
      </c>
      <c r="Q1135" s="197">
        <v>1030000</v>
      </c>
      <c r="R1135" s="63">
        <v>1</v>
      </c>
      <c r="S1135" s="198">
        <v>11330000</v>
      </c>
      <c r="T1135" s="112" t="s">
        <v>888</v>
      </c>
      <c r="U1135" s="63" t="s">
        <v>445</v>
      </c>
      <c r="V1135" s="81">
        <v>43125</v>
      </c>
      <c r="W1135" s="199">
        <v>11</v>
      </c>
      <c r="X1135" s="85" t="s">
        <v>3167</v>
      </c>
      <c r="Y1135" s="81">
        <v>43115</v>
      </c>
      <c r="Z1135" s="196">
        <v>11330000</v>
      </c>
      <c r="AA1135" s="116" t="s">
        <v>3168</v>
      </c>
      <c r="AB1135" s="63">
        <v>500</v>
      </c>
      <c r="AC1135" s="81">
        <v>43116</v>
      </c>
      <c r="AD1135" s="198">
        <v>11330000</v>
      </c>
      <c r="AE1135" s="63"/>
      <c r="AF1135" s="63">
        <v>374</v>
      </c>
      <c r="AG1135" s="81">
        <v>43124</v>
      </c>
      <c r="AH1135" s="196">
        <v>11330000</v>
      </c>
      <c r="AI1135" s="84" t="s">
        <v>348</v>
      </c>
      <c r="AJ1135" s="63">
        <v>304</v>
      </c>
      <c r="AK1135" s="63"/>
      <c r="AL1135" s="196">
        <v>11330000</v>
      </c>
      <c r="AM1135" s="196">
        <f>+VLOOKUP(AF1135,'[2]CRP a 31 Agosto de 2018'!$J$8:$V$2956,13,0)</f>
        <v>6420333</v>
      </c>
      <c r="AN1135" s="196">
        <f>AL1135-AM1135</f>
        <v>4909667</v>
      </c>
      <c r="AO1135" s="63"/>
      <c r="AP1135" s="63"/>
      <c r="AQ1135" s="85" t="s">
        <v>3169</v>
      </c>
      <c r="AR1135" s="81">
        <v>43115</v>
      </c>
      <c r="AS1135" s="63" t="s">
        <v>2848</v>
      </c>
      <c r="AT1135" s="81">
        <v>43115</v>
      </c>
      <c r="AU1135" s="63" t="s">
        <v>2855</v>
      </c>
      <c r="AV1135" s="63"/>
      <c r="AW1135" s="63"/>
    </row>
    <row r="1136" spans="1:49" ht="409.6" thickTop="1" thickBot="1" x14ac:dyDescent="0.3">
      <c r="A1136" s="193">
        <v>89</v>
      </c>
      <c r="B1136" s="85" t="s">
        <v>3170</v>
      </c>
      <c r="C1136" s="105" t="s">
        <v>2834</v>
      </c>
      <c r="D1136" s="63" t="s">
        <v>714</v>
      </c>
      <c r="E1136" s="106" t="s">
        <v>2843</v>
      </c>
      <c r="F1136" s="63" t="s">
        <v>52</v>
      </c>
      <c r="G1136" s="63" t="s">
        <v>53</v>
      </c>
      <c r="H1136" s="111" t="s">
        <v>733</v>
      </c>
      <c r="I1136" s="63" t="s">
        <v>55</v>
      </c>
      <c r="J1136" s="106" t="s">
        <v>56</v>
      </c>
      <c r="K1136" s="106">
        <v>801116</v>
      </c>
      <c r="L1136" s="106" t="s">
        <v>2836</v>
      </c>
      <c r="M1136" s="106" t="s">
        <v>2837</v>
      </c>
      <c r="N1136" s="106" t="s">
        <v>2838</v>
      </c>
      <c r="O1136" s="106" t="s">
        <v>2839</v>
      </c>
      <c r="P1136" s="117" t="s">
        <v>3171</v>
      </c>
      <c r="Q1136" s="197">
        <v>3553000</v>
      </c>
      <c r="R1136" s="63">
        <v>1</v>
      </c>
      <c r="S1136" s="118">
        <f>28424000-1232000</f>
        <v>27192000</v>
      </c>
      <c r="T1136" s="112" t="s">
        <v>888</v>
      </c>
      <c r="U1136" s="63" t="s">
        <v>445</v>
      </c>
      <c r="V1136" s="81">
        <v>43122</v>
      </c>
      <c r="W1136" s="199">
        <v>8</v>
      </c>
      <c r="X1136" s="85" t="s">
        <v>3172</v>
      </c>
      <c r="Y1136" s="81">
        <v>43122</v>
      </c>
      <c r="Z1136" s="196">
        <v>28424000</v>
      </c>
      <c r="AA1136" s="116" t="s">
        <v>3173</v>
      </c>
      <c r="AB1136" s="63">
        <v>557</v>
      </c>
      <c r="AC1136" s="81">
        <v>43122</v>
      </c>
      <c r="AD1136" s="198"/>
      <c r="AE1136" s="63"/>
      <c r="AF1136" s="63">
        <v>467</v>
      </c>
      <c r="AG1136" s="81">
        <v>43126</v>
      </c>
      <c r="AH1136" s="196">
        <v>27192000</v>
      </c>
      <c r="AI1136" s="84" t="s">
        <v>3174</v>
      </c>
      <c r="AJ1136" s="63">
        <v>394</v>
      </c>
      <c r="AK1136" s="133"/>
      <c r="AL1136" s="196">
        <v>27192000</v>
      </c>
      <c r="AM1136" s="196">
        <f>+VLOOKUP(AF1136,'[2]CRP a 31 Agosto de 2018'!$J$8:$V$2956,13,0)</f>
        <v>20960500</v>
      </c>
      <c r="AN1136" s="196">
        <f>+AL1136-AM1136</f>
        <v>6231500</v>
      </c>
      <c r="AO1136" s="133"/>
      <c r="AP1136" s="133"/>
      <c r="AQ1136" s="85" t="s">
        <v>3175</v>
      </c>
      <c r="AR1136" s="81">
        <v>43122</v>
      </c>
      <c r="AS1136" s="81" t="s">
        <v>2848</v>
      </c>
      <c r="AT1136" s="81">
        <v>43122</v>
      </c>
      <c r="AU1136" s="81" t="s">
        <v>2855</v>
      </c>
      <c r="AV1136" s="62"/>
      <c r="AW1136" s="62"/>
    </row>
    <row r="1137" spans="1:49" ht="376.5" thickTop="1" thickBot="1" x14ac:dyDescent="0.3">
      <c r="A1137" s="193">
        <v>90</v>
      </c>
      <c r="B1137" s="85" t="s">
        <v>3176</v>
      </c>
      <c r="C1137" s="105" t="s">
        <v>2834</v>
      </c>
      <c r="D1137" s="63" t="s">
        <v>714</v>
      </c>
      <c r="E1137" s="106" t="s">
        <v>2835</v>
      </c>
      <c r="F1137" s="63" t="s">
        <v>52</v>
      </c>
      <c r="G1137" s="63" t="s">
        <v>53</v>
      </c>
      <c r="H1137" s="111" t="s">
        <v>733</v>
      </c>
      <c r="I1137" s="63" t="s">
        <v>55</v>
      </c>
      <c r="J1137" s="106" t="s">
        <v>56</v>
      </c>
      <c r="K1137" s="106">
        <v>801116</v>
      </c>
      <c r="L1137" s="106" t="s">
        <v>2836</v>
      </c>
      <c r="M1137" s="106" t="s">
        <v>2837</v>
      </c>
      <c r="N1137" s="106" t="s">
        <v>2838</v>
      </c>
      <c r="O1137" s="106" t="s">
        <v>2839</v>
      </c>
      <c r="P1137" s="107" t="s">
        <v>3177</v>
      </c>
      <c r="Q1137" s="197">
        <v>4120000</v>
      </c>
      <c r="R1137" s="63">
        <v>1</v>
      </c>
      <c r="S1137" s="198">
        <f>19776000-5520800</f>
        <v>14255200</v>
      </c>
      <c r="T1137" s="112" t="s">
        <v>888</v>
      </c>
      <c r="U1137" s="63" t="s">
        <v>445</v>
      </c>
      <c r="V1137" s="81">
        <v>42757</v>
      </c>
      <c r="W1137" s="63">
        <v>8</v>
      </c>
      <c r="X1137" s="85" t="s">
        <v>3178</v>
      </c>
      <c r="Y1137" s="81">
        <v>42757</v>
      </c>
      <c r="Z1137" s="196">
        <v>19776000</v>
      </c>
      <c r="AA1137" s="116" t="s">
        <v>3179</v>
      </c>
      <c r="AB1137" s="63">
        <v>558</v>
      </c>
      <c r="AC1137" s="81">
        <v>42757</v>
      </c>
      <c r="AD1137" s="198">
        <v>19776000</v>
      </c>
      <c r="AE1137" s="63"/>
      <c r="AF1137" s="63">
        <v>470</v>
      </c>
      <c r="AG1137" s="81">
        <v>43126</v>
      </c>
      <c r="AH1137" s="196">
        <v>14255200</v>
      </c>
      <c r="AI1137" s="84" t="s">
        <v>3180</v>
      </c>
      <c r="AJ1137" s="63">
        <v>397</v>
      </c>
      <c r="AK1137" s="133"/>
      <c r="AL1137" s="196">
        <f t="shared" ref="AL1137" si="126">AH1137</f>
        <v>14255200</v>
      </c>
      <c r="AM1137" s="196">
        <f>+VLOOKUP(AF1137,'[2]CRP a 31 Agosto de 2018'!$J$8:$V$2956,13,0)</f>
        <v>14255200</v>
      </c>
      <c r="AN1137" s="196">
        <f>AL1137-AM1137</f>
        <v>0</v>
      </c>
      <c r="AO1137" s="133"/>
      <c r="AP1137" s="133"/>
      <c r="AQ1137" s="85" t="s">
        <v>3181</v>
      </c>
      <c r="AR1137" s="81">
        <v>43122</v>
      </c>
      <c r="AS1137" s="81" t="s">
        <v>2848</v>
      </c>
      <c r="AT1137" s="81">
        <v>43122</v>
      </c>
      <c r="AU1137" s="81" t="s">
        <v>2855</v>
      </c>
      <c r="AV1137" s="62"/>
      <c r="AW1137" s="62"/>
    </row>
    <row r="1138" spans="1:49" ht="357.75" thickTop="1" thickBot="1" x14ac:dyDescent="0.3">
      <c r="A1138" s="193">
        <v>93</v>
      </c>
      <c r="B1138" s="85" t="s">
        <v>3182</v>
      </c>
      <c r="C1138" s="105" t="s">
        <v>2834</v>
      </c>
      <c r="D1138" s="63" t="s">
        <v>714</v>
      </c>
      <c r="E1138" s="106" t="s">
        <v>2835</v>
      </c>
      <c r="F1138" s="63" t="s">
        <v>52</v>
      </c>
      <c r="G1138" s="63" t="s">
        <v>53</v>
      </c>
      <c r="H1138" s="111" t="s">
        <v>733</v>
      </c>
      <c r="I1138" s="63" t="s">
        <v>710</v>
      </c>
      <c r="J1138" s="63" t="s">
        <v>3183</v>
      </c>
      <c r="K1138" s="106">
        <v>801116</v>
      </c>
      <c r="L1138" s="106" t="s">
        <v>2836</v>
      </c>
      <c r="M1138" s="106" t="s">
        <v>2837</v>
      </c>
      <c r="N1138" s="106" t="s">
        <v>2838</v>
      </c>
      <c r="O1138" s="106" t="s">
        <v>2839</v>
      </c>
      <c r="P1138" s="107" t="s">
        <v>3184</v>
      </c>
      <c r="Q1138" s="198">
        <v>5036700</v>
      </c>
      <c r="R1138" s="63">
        <v>1</v>
      </c>
      <c r="S1138" s="198">
        <f>28541300-3357800</f>
        <v>25183500</v>
      </c>
      <c r="T1138" s="112" t="s">
        <v>888</v>
      </c>
      <c r="U1138" s="63" t="s">
        <v>445</v>
      </c>
      <c r="V1138" s="81">
        <v>43296</v>
      </c>
      <c r="W1138" s="199">
        <v>1</v>
      </c>
      <c r="X1138" s="85" t="s">
        <v>3185</v>
      </c>
      <c r="Y1138" s="81">
        <v>43157</v>
      </c>
      <c r="Z1138" s="198">
        <v>28541300</v>
      </c>
      <c r="AA1138" s="84"/>
      <c r="AB1138" s="63">
        <v>983</v>
      </c>
      <c r="AC1138" s="81">
        <v>43298</v>
      </c>
      <c r="AD1138" s="198">
        <v>25183500</v>
      </c>
      <c r="AE1138" s="198">
        <f>Z1138-AD1138</f>
        <v>3357800</v>
      </c>
      <c r="AF1138" s="63">
        <v>2592</v>
      </c>
      <c r="AG1138" s="81">
        <v>43315</v>
      </c>
      <c r="AH1138" s="196">
        <v>25183500</v>
      </c>
      <c r="AI1138" s="84" t="s">
        <v>3186</v>
      </c>
      <c r="AJ1138" s="63">
        <v>475</v>
      </c>
      <c r="AK1138" s="63"/>
      <c r="AL1138" s="196">
        <v>25183500</v>
      </c>
      <c r="AM1138" s="196">
        <f>+VLOOKUP(AF1138,'[2]CRP a 31 Agosto de 2018'!$J$8:$V$2956,13,0)</f>
        <v>0</v>
      </c>
      <c r="AN1138" s="196">
        <f>AL1138-AM1138</f>
        <v>25183500</v>
      </c>
      <c r="AO1138" s="63"/>
      <c r="AP1138" s="63"/>
      <c r="AQ1138" s="63"/>
      <c r="AR1138" s="81"/>
      <c r="AS1138" s="63"/>
      <c r="AT1138" s="81"/>
      <c r="AU1138" s="63"/>
      <c r="AV1138" s="63"/>
      <c r="AW1138" s="63"/>
    </row>
    <row r="1139" spans="1:49" ht="357.75" thickTop="1" thickBot="1" x14ac:dyDescent="0.3">
      <c r="A1139" s="193">
        <v>94</v>
      </c>
      <c r="B1139" s="85" t="s">
        <v>3187</v>
      </c>
      <c r="C1139" s="105" t="s">
        <v>2834</v>
      </c>
      <c r="D1139" s="63" t="s">
        <v>714</v>
      </c>
      <c r="E1139" s="106" t="s">
        <v>2835</v>
      </c>
      <c r="F1139" s="63" t="s">
        <v>52</v>
      </c>
      <c r="G1139" s="63" t="s">
        <v>53</v>
      </c>
      <c r="H1139" s="111" t="s">
        <v>733</v>
      </c>
      <c r="I1139" s="63" t="s">
        <v>710</v>
      </c>
      <c r="J1139" s="63" t="s">
        <v>3183</v>
      </c>
      <c r="K1139" s="106">
        <v>801116</v>
      </c>
      <c r="L1139" s="106" t="s">
        <v>2836</v>
      </c>
      <c r="M1139" s="106" t="s">
        <v>2837</v>
      </c>
      <c r="N1139" s="106" t="s">
        <v>2838</v>
      </c>
      <c r="O1139" s="106" t="s">
        <v>2839</v>
      </c>
      <c r="P1139" s="107" t="s">
        <v>3188</v>
      </c>
      <c r="Q1139" s="198">
        <v>5253000</v>
      </c>
      <c r="R1139" s="63">
        <v>1</v>
      </c>
      <c r="S1139" s="198">
        <f>29767000-29767000</f>
        <v>0</v>
      </c>
      <c r="T1139" s="112" t="s">
        <v>888</v>
      </c>
      <c r="U1139" s="63" t="s">
        <v>445</v>
      </c>
      <c r="V1139" s="81">
        <v>43296</v>
      </c>
      <c r="W1139" s="199">
        <v>1</v>
      </c>
      <c r="X1139" s="85" t="s">
        <v>3189</v>
      </c>
      <c r="Y1139" s="81"/>
      <c r="Z1139" s="198"/>
      <c r="AA1139" s="84"/>
      <c r="AB1139" s="63"/>
      <c r="AC1139" s="207"/>
      <c r="AD1139" s="198">
        <v>16955000</v>
      </c>
      <c r="AE1139" s="63"/>
      <c r="AF1139" s="63"/>
      <c r="AG1139" s="81"/>
      <c r="AH1139" s="196"/>
      <c r="AI1139" s="84"/>
      <c r="AJ1139" s="63"/>
      <c r="AK1139" s="63"/>
      <c r="AL1139" s="196"/>
      <c r="AM1139" s="196">
        <v>0</v>
      </c>
      <c r="AN1139" s="196"/>
      <c r="AO1139" s="63"/>
      <c r="AP1139" s="63"/>
      <c r="AQ1139" s="63"/>
      <c r="AR1139" s="81"/>
      <c r="AS1139" s="63"/>
      <c r="AT1139" s="81"/>
      <c r="AU1139" s="63"/>
      <c r="AV1139" s="63"/>
      <c r="AW1139" s="63"/>
    </row>
    <row r="1140" spans="1:49" ht="357.75" thickTop="1" thickBot="1" x14ac:dyDescent="0.3">
      <c r="A1140" s="193">
        <v>95</v>
      </c>
      <c r="B1140" s="85" t="s">
        <v>3190</v>
      </c>
      <c r="C1140" s="105" t="s">
        <v>2834</v>
      </c>
      <c r="D1140" s="63" t="s">
        <v>714</v>
      </c>
      <c r="E1140" s="106" t="s">
        <v>2835</v>
      </c>
      <c r="F1140" s="63" t="s">
        <v>52</v>
      </c>
      <c r="G1140" s="63" t="s">
        <v>53</v>
      </c>
      <c r="H1140" s="111" t="s">
        <v>733</v>
      </c>
      <c r="I1140" s="63" t="s">
        <v>710</v>
      </c>
      <c r="J1140" s="63" t="s">
        <v>3183</v>
      </c>
      <c r="K1140" s="106">
        <v>801116</v>
      </c>
      <c r="L1140" s="106" t="s">
        <v>2836</v>
      </c>
      <c r="M1140" s="106" t="s">
        <v>2837</v>
      </c>
      <c r="N1140" s="106" t="s">
        <v>2838</v>
      </c>
      <c r="O1140" s="106" t="s">
        <v>2839</v>
      </c>
      <c r="P1140" s="107" t="s">
        <v>3191</v>
      </c>
      <c r="Q1140" s="198">
        <v>3399000</v>
      </c>
      <c r="R1140" s="63">
        <v>1</v>
      </c>
      <c r="S1140" s="198">
        <v>19261000</v>
      </c>
      <c r="T1140" s="112" t="s">
        <v>888</v>
      </c>
      <c r="U1140" s="63" t="s">
        <v>445</v>
      </c>
      <c r="V1140" s="81">
        <v>43296</v>
      </c>
      <c r="W1140" s="199">
        <v>1</v>
      </c>
      <c r="X1140" s="85" t="s">
        <v>3192</v>
      </c>
      <c r="Y1140" s="81">
        <v>43157</v>
      </c>
      <c r="Z1140" s="198">
        <v>19261000</v>
      </c>
      <c r="AA1140" s="84"/>
      <c r="AB1140" s="63">
        <v>933</v>
      </c>
      <c r="AC1140" s="81">
        <v>43280</v>
      </c>
      <c r="AD1140" s="198">
        <v>20600000</v>
      </c>
      <c r="AE1140" s="63"/>
      <c r="AF1140" s="63">
        <v>2519</v>
      </c>
      <c r="AG1140" s="81">
        <v>43304</v>
      </c>
      <c r="AH1140" s="196">
        <v>19261000</v>
      </c>
      <c r="AI1140" s="84" t="s">
        <v>3193</v>
      </c>
      <c r="AJ1140" s="63">
        <v>451</v>
      </c>
      <c r="AK1140" s="63"/>
      <c r="AL1140" s="198">
        <v>19261000</v>
      </c>
      <c r="AM1140" s="196">
        <f>+VLOOKUP(AF1140,'[2]CRP a 31 Agosto de 2018'!$J$8:$V$2956,13,0)</f>
        <v>793100</v>
      </c>
      <c r="AN1140" s="196">
        <f>+AL1140-AM1140</f>
        <v>18467900</v>
      </c>
      <c r="AO1140" s="63"/>
      <c r="AP1140" s="63"/>
      <c r="AQ1140" s="63"/>
      <c r="AR1140" s="81"/>
      <c r="AS1140" s="63"/>
      <c r="AT1140" s="81"/>
      <c r="AU1140" s="63"/>
      <c r="AV1140" s="63"/>
      <c r="AW1140" s="63"/>
    </row>
    <row r="1141" spans="1:49" ht="357.75" thickTop="1" thickBot="1" x14ac:dyDescent="0.3">
      <c r="A1141" s="193">
        <v>96</v>
      </c>
      <c r="B1141" s="85" t="s">
        <v>3194</v>
      </c>
      <c r="C1141" s="105" t="s">
        <v>2834</v>
      </c>
      <c r="D1141" s="63" t="s">
        <v>714</v>
      </c>
      <c r="E1141" s="106" t="s">
        <v>2835</v>
      </c>
      <c r="F1141" s="63" t="s">
        <v>52</v>
      </c>
      <c r="G1141" s="63" t="s">
        <v>53</v>
      </c>
      <c r="H1141" s="111" t="s">
        <v>733</v>
      </c>
      <c r="I1141" s="63" t="s">
        <v>710</v>
      </c>
      <c r="J1141" s="63" t="s">
        <v>3183</v>
      </c>
      <c r="K1141" s="106">
        <v>801116</v>
      </c>
      <c r="L1141" s="106" t="s">
        <v>2836</v>
      </c>
      <c r="M1141" s="106" t="s">
        <v>2837</v>
      </c>
      <c r="N1141" s="106" t="s">
        <v>2838</v>
      </c>
      <c r="O1141" s="106" t="s">
        <v>2839</v>
      </c>
      <c r="P1141" s="107" t="s">
        <v>3195</v>
      </c>
      <c r="Q1141" s="198">
        <v>3399000</v>
      </c>
      <c r="R1141" s="63">
        <v>1</v>
      </c>
      <c r="S1141" s="198">
        <v>0</v>
      </c>
      <c r="T1141" s="112" t="s">
        <v>888</v>
      </c>
      <c r="U1141" s="63" t="s">
        <v>445</v>
      </c>
      <c r="V1141" s="81">
        <v>43296</v>
      </c>
      <c r="W1141" s="199">
        <v>1</v>
      </c>
      <c r="X1141" s="85" t="s">
        <v>3196</v>
      </c>
      <c r="Y1141" s="81"/>
      <c r="Z1141" s="198"/>
      <c r="AA1141" s="84"/>
      <c r="AB1141" s="63"/>
      <c r="AC1141" s="81"/>
      <c r="AD1141" s="198">
        <v>12360000</v>
      </c>
      <c r="AE1141" s="63"/>
      <c r="AF1141" s="63"/>
      <c r="AG1141" s="81"/>
      <c r="AH1141" s="196"/>
      <c r="AI1141" s="84"/>
      <c r="AJ1141" s="63"/>
      <c r="AK1141" s="63"/>
      <c r="AL1141" s="196"/>
      <c r="AM1141" s="196">
        <v>0</v>
      </c>
      <c r="AN1141" s="196"/>
      <c r="AO1141" s="63"/>
      <c r="AP1141" s="63"/>
      <c r="AQ1141" s="63"/>
      <c r="AR1141" s="81"/>
      <c r="AS1141" s="63"/>
      <c r="AT1141" s="81"/>
      <c r="AU1141" s="63"/>
      <c r="AV1141" s="63"/>
      <c r="AW1141" s="63"/>
    </row>
    <row r="1142" spans="1:49" ht="357.75" thickTop="1" thickBot="1" x14ac:dyDescent="0.3">
      <c r="A1142" s="193">
        <v>97</v>
      </c>
      <c r="B1142" s="85" t="s">
        <v>3197</v>
      </c>
      <c r="C1142" s="105" t="s">
        <v>2834</v>
      </c>
      <c r="D1142" s="63" t="s">
        <v>714</v>
      </c>
      <c r="E1142" s="106" t="s">
        <v>2835</v>
      </c>
      <c r="F1142" s="63" t="s">
        <v>52</v>
      </c>
      <c r="G1142" s="63" t="s">
        <v>53</v>
      </c>
      <c r="H1142" s="111" t="s">
        <v>733</v>
      </c>
      <c r="I1142" s="63" t="s">
        <v>710</v>
      </c>
      <c r="J1142" s="63" t="s">
        <v>3183</v>
      </c>
      <c r="K1142" s="106">
        <v>801116</v>
      </c>
      <c r="L1142" s="106" t="s">
        <v>2836</v>
      </c>
      <c r="M1142" s="106" t="s">
        <v>2837</v>
      </c>
      <c r="N1142" s="106" t="s">
        <v>2838</v>
      </c>
      <c r="O1142" s="106" t="s">
        <v>2839</v>
      </c>
      <c r="P1142" s="107" t="s">
        <v>3191</v>
      </c>
      <c r="Q1142" s="198">
        <v>3399000</v>
      </c>
      <c r="R1142" s="63">
        <v>1</v>
      </c>
      <c r="S1142" s="198">
        <f>19261000-2379300</f>
        <v>16881700</v>
      </c>
      <c r="T1142" s="112" t="s">
        <v>888</v>
      </c>
      <c r="U1142" s="63" t="s">
        <v>445</v>
      </c>
      <c r="V1142" s="81">
        <v>43296</v>
      </c>
      <c r="W1142" s="199">
        <v>1</v>
      </c>
      <c r="X1142" s="85" t="s">
        <v>3198</v>
      </c>
      <c r="Y1142" s="81">
        <v>43157</v>
      </c>
      <c r="Z1142" s="198">
        <v>19261000</v>
      </c>
      <c r="AA1142" s="84"/>
      <c r="AB1142" s="63">
        <v>956</v>
      </c>
      <c r="AC1142" s="81">
        <v>43262</v>
      </c>
      <c r="AD1142" s="198">
        <v>16955000</v>
      </c>
      <c r="AE1142" s="198">
        <v>2379300</v>
      </c>
      <c r="AF1142" s="63">
        <v>2542</v>
      </c>
      <c r="AG1142" s="81">
        <v>43305</v>
      </c>
      <c r="AH1142" s="196">
        <v>16881700</v>
      </c>
      <c r="AI1142" s="84" t="s">
        <v>3199</v>
      </c>
      <c r="AJ1142" s="63">
        <v>450</v>
      </c>
      <c r="AK1142" s="63"/>
      <c r="AL1142" s="196">
        <v>16881700</v>
      </c>
      <c r="AM1142" s="196">
        <f>+VLOOKUP(AF1142,'[2]CRP a 31 Agosto de 2018'!$J$8:$V$2956,13,0)</f>
        <v>113300</v>
      </c>
      <c r="AN1142" s="196">
        <f>+AL1142-AM1142</f>
        <v>16768400</v>
      </c>
      <c r="AO1142" s="63"/>
      <c r="AP1142" s="63"/>
      <c r="AQ1142" s="63"/>
      <c r="AR1142" s="81"/>
      <c r="AS1142" s="63"/>
      <c r="AT1142" s="81"/>
      <c r="AU1142" s="63"/>
      <c r="AV1142" s="63"/>
      <c r="AW1142" s="63"/>
    </row>
    <row r="1143" spans="1:49" ht="357.75" thickTop="1" thickBot="1" x14ac:dyDescent="0.3">
      <c r="A1143" s="193">
        <v>98</v>
      </c>
      <c r="B1143" s="85" t="s">
        <v>3200</v>
      </c>
      <c r="C1143" s="105" t="s">
        <v>2834</v>
      </c>
      <c r="D1143" s="63" t="s">
        <v>714</v>
      </c>
      <c r="E1143" s="106" t="s">
        <v>2835</v>
      </c>
      <c r="F1143" s="63" t="s">
        <v>52</v>
      </c>
      <c r="G1143" s="63" t="s">
        <v>53</v>
      </c>
      <c r="H1143" s="111" t="s">
        <v>733</v>
      </c>
      <c r="I1143" s="63" t="s">
        <v>710</v>
      </c>
      <c r="J1143" s="63" t="s">
        <v>3183</v>
      </c>
      <c r="K1143" s="106">
        <v>801116</v>
      </c>
      <c r="L1143" s="106" t="s">
        <v>2836</v>
      </c>
      <c r="M1143" s="106" t="s">
        <v>2837</v>
      </c>
      <c r="N1143" s="106" t="s">
        <v>2838</v>
      </c>
      <c r="O1143" s="106" t="s">
        <v>2839</v>
      </c>
      <c r="P1143" s="107" t="s">
        <v>3201</v>
      </c>
      <c r="Q1143" s="198">
        <v>4120000</v>
      </c>
      <c r="R1143" s="63">
        <v>1</v>
      </c>
      <c r="S1143" s="198">
        <f>23346666-9750667</f>
        <v>13595999</v>
      </c>
      <c r="T1143" s="112" t="s">
        <v>888</v>
      </c>
      <c r="U1143" s="63" t="s">
        <v>445</v>
      </c>
      <c r="V1143" s="81">
        <v>43296</v>
      </c>
      <c r="W1143" s="199">
        <v>1</v>
      </c>
      <c r="X1143" s="85" t="s">
        <v>3202</v>
      </c>
      <c r="Y1143" s="81">
        <v>43157</v>
      </c>
      <c r="Z1143" s="198">
        <v>23346666.666666668</v>
      </c>
      <c r="AA1143" s="84"/>
      <c r="AB1143" s="63">
        <v>953</v>
      </c>
      <c r="AC1143" s="81">
        <v>43262</v>
      </c>
      <c r="AD1143" s="198">
        <v>23346666.666666668</v>
      </c>
      <c r="AE1143" s="115">
        <f>+AD1143-AH1143</f>
        <v>9750666.6666666679</v>
      </c>
      <c r="AF1143" s="63">
        <v>2784</v>
      </c>
      <c r="AG1143" s="81">
        <v>43346</v>
      </c>
      <c r="AH1143" s="196">
        <v>13596000</v>
      </c>
      <c r="AI1143" s="84" t="s">
        <v>3203</v>
      </c>
      <c r="AJ1143" s="63">
        <v>548</v>
      </c>
      <c r="AK1143" s="63"/>
      <c r="AL1143" s="198"/>
      <c r="AM1143" s="196">
        <v>0</v>
      </c>
      <c r="AN1143" s="196"/>
      <c r="AO1143" s="63"/>
      <c r="AP1143" s="63"/>
      <c r="AQ1143" s="63"/>
      <c r="AR1143" s="81"/>
      <c r="AS1143" s="63"/>
      <c r="AT1143" s="81"/>
      <c r="AU1143" s="63"/>
      <c r="AV1143" s="63"/>
      <c r="AW1143" s="63"/>
    </row>
    <row r="1144" spans="1:49" ht="357.75" thickTop="1" thickBot="1" x14ac:dyDescent="0.3">
      <c r="A1144" s="193">
        <v>99</v>
      </c>
      <c r="B1144" s="85" t="s">
        <v>3204</v>
      </c>
      <c r="C1144" s="105" t="s">
        <v>2834</v>
      </c>
      <c r="D1144" s="63" t="s">
        <v>714</v>
      </c>
      <c r="E1144" s="106" t="s">
        <v>2835</v>
      </c>
      <c r="F1144" s="63" t="s">
        <v>52</v>
      </c>
      <c r="G1144" s="63" t="s">
        <v>53</v>
      </c>
      <c r="H1144" s="111" t="s">
        <v>733</v>
      </c>
      <c r="I1144" s="63" t="s">
        <v>710</v>
      </c>
      <c r="J1144" s="63" t="s">
        <v>3183</v>
      </c>
      <c r="K1144" s="106">
        <v>801116</v>
      </c>
      <c r="L1144" s="106" t="s">
        <v>2836</v>
      </c>
      <c r="M1144" s="106" t="s">
        <v>2837</v>
      </c>
      <c r="N1144" s="106" t="s">
        <v>2838</v>
      </c>
      <c r="O1144" s="106" t="s">
        <v>2839</v>
      </c>
      <c r="P1144" s="107" t="s">
        <v>3191</v>
      </c>
      <c r="Q1144" s="198">
        <v>4120000</v>
      </c>
      <c r="R1144" s="63">
        <v>1</v>
      </c>
      <c r="S1144" s="198">
        <f>23346666-5493334-17853332</f>
        <v>0</v>
      </c>
      <c r="T1144" s="112" t="s">
        <v>888</v>
      </c>
      <c r="U1144" s="63" t="s">
        <v>445</v>
      </c>
      <c r="V1144" s="81">
        <v>43296</v>
      </c>
      <c r="W1144" s="199">
        <v>1</v>
      </c>
      <c r="X1144" s="85" t="s">
        <v>3205</v>
      </c>
      <c r="Y1144" s="81">
        <v>43157</v>
      </c>
      <c r="Z1144" s="198">
        <v>23346666.666666668</v>
      </c>
      <c r="AA1144" s="84"/>
      <c r="AB1144" s="63"/>
      <c r="AC1144" s="81"/>
      <c r="AD1144" s="198">
        <v>8755000</v>
      </c>
      <c r="AE1144" s="63"/>
      <c r="AF1144" s="63"/>
      <c r="AG1144" s="81"/>
      <c r="AH1144" s="196"/>
      <c r="AI1144" s="84"/>
      <c r="AJ1144" s="63"/>
      <c r="AK1144" s="63"/>
      <c r="AL1144" s="196"/>
      <c r="AM1144" s="196">
        <v>0</v>
      </c>
      <c r="AN1144" s="196"/>
      <c r="AO1144" s="63"/>
      <c r="AP1144" s="63"/>
      <c r="AQ1144" s="63" t="s">
        <v>3206</v>
      </c>
      <c r="AR1144" s="81"/>
      <c r="AS1144" s="63"/>
      <c r="AT1144" s="81"/>
      <c r="AU1144" s="63"/>
      <c r="AV1144" s="63"/>
      <c r="AW1144" s="63"/>
    </row>
    <row r="1145" spans="1:49" ht="357.75" thickTop="1" thickBot="1" x14ac:dyDescent="0.3">
      <c r="A1145" s="193">
        <v>100</v>
      </c>
      <c r="B1145" s="85" t="s">
        <v>3207</v>
      </c>
      <c r="C1145" s="105" t="s">
        <v>2834</v>
      </c>
      <c r="D1145" s="63" t="s">
        <v>714</v>
      </c>
      <c r="E1145" s="106" t="s">
        <v>2835</v>
      </c>
      <c r="F1145" s="63" t="s">
        <v>52</v>
      </c>
      <c r="G1145" s="63" t="s">
        <v>53</v>
      </c>
      <c r="H1145" s="111" t="s">
        <v>733</v>
      </c>
      <c r="I1145" s="63" t="s">
        <v>710</v>
      </c>
      <c r="J1145" s="63" t="s">
        <v>3183</v>
      </c>
      <c r="K1145" s="106">
        <v>801116</v>
      </c>
      <c r="L1145" s="106" t="s">
        <v>2836</v>
      </c>
      <c r="M1145" s="106" t="s">
        <v>2837</v>
      </c>
      <c r="N1145" s="106" t="s">
        <v>2838</v>
      </c>
      <c r="O1145" s="106" t="s">
        <v>2839</v>
      </c>
      <c r="P1145" s="107" t="s">
        <v>3208</v>
      </c>
      <c r="Q1145" s="198">
        <v>2472000</v>
      </c>
      <c r="R1145" s="63">
        <v>1</v>
      </c>
      <c r="S1145" s="198">
        <f>14008000-14008000</f>
        <v>0</v>
      </c>
      <c r="T1145" s="112" t="s">
        <v>888</v>
      </c>
      <c r="U1145" s="63" t="s">
        <v>445</v>
      </c>
      <c r="V1145" s="81">
        <v>43296</v>
      </c>
      <c r="W1145" s="199">
        <v>1</v>
      </c>
      <c r="X1145" s="85" t="s">
        <v>3209</v>
      </c>
      <c r="Y1145" s="81">
        <v>43157</v>
      </c>
      <c r="Z1145" s="198">
        <v>14008000</v>
      </c>
      <c r="AA1145" s="84"/>
      <c r="AB1145" s="63"/>
      <c r="AC1145" s="81"/>
      <c r="AD1145" s="198">
        <v>26265000</v>
      </c>
      <c r="AE1145" s="63"/>
      <c r="AF1145" s="63"/>
      <c r="AG1145" s="81"/>
      <c r="AH1145" s="196"/>
      <c r="AI1145" s="84"/>
      <c r="AJ1145" s="63"/>
      <c r="AK1145" s="63"/>
      <c r="AL1145" s="196"/>
      <c r="AM1145" s="196">
        <v>0</v>
      </c>
      <c r="AN1145" s="196"/>
      <c r="AO1145" s="63"/>
      <c r="AP1145" s="63"/>
      <c r="AQ1145" s="63" t="s">
        <v>3210</v>
      </c>
      <c r="AR1145" s="81"/>
      <c r="AS1145" s="63"/>
      <c r="AT1145" s="81"/>
      <c r="AU1145" s="63"/>
      <c r="AV1145" s="63"/>
      <c r="AW1145" s="63"/>
    </row>
    <row r="1146" spans="1:49" ht="357.75" thickTop="1" thickBot="1" x14ac:dyDescent="0.3">
      <c r="A1146" s="193">
        <v>101</v>
      </c>
      <c r="B1146" s="85" t="s">
        <v>3211</v>
      </c>
      <c r="C1146" s="105" t="s">
        <v>2834</v>
      </c>
      <c r="D1146" s="63" t="s">
        <v>714</v>
      </c>
      <c r="E1146" s="106" t="s">
        <v>2835</v>
      </c>
      <c r="F1146" s="63" t="s">
        <v>52</v>
      </c>
      <c r="G1146" s="63" t="s">
        <v>53</v>
      </c>
      <c r="H1146" s="111" t="s">
        <v>733</v>
      </c>
      <c r="I1146" s="63" t="s">
        <v>710</v>
      </c>
      <c r="J1146" s="63" t="s">
        <v>3183</v>
      </c>
      <c r="K1146" s="106">
        <v>801116</v>
      </c>
      <c r="L1146" s="106" t="s">
        <v>2836</v>
      </c>
      <c r="M1146" s="106" t="s">
        <v>2837</v>
      </c>
      <c r="N1146" s="106" t="s">
        <v>2838</v>
      </c>
      <c r="O1146" s="106" t="s">
        <v>2839</v>
      </c>
      <c r="P1146" s="107" t="s">
        <v>3212</v>
      </c>
      <c r="Q1146" s="198">
        <v>4120000</v>
      </c>
      <c r="R1146" s="63">
        <v>1</v>
      </c>
      <c r="S1146" s="198">
        <f>23346666-2746667</f>
        <v>20599999</v>
      </c>
      <c r="T1146" s="112" t="s">
        <v>888</v>
      </c>
      <c r="U1146" s="63" t="s">
        <v>445</v>
      </c>
      <c r="V1146" s="81">
        <v>43296</v>
      </c>
      <c r="W1146" s="199">
        <v>1</v>
      </c>
      <c r="X1146" s="85" t="s">
        <v>3213</v>
      </c>
      <c r="Y1146" s="81">
        <v>43157</v>
      </c>
      <c r="Z1146" s="198">
        <v>23346666.666666668</v>
      </c>
      <c r="AA1146" s="84"/>
      <c r="AB1146" s="63">
        <v>961</v>
      </c>
      <c r="AC1146" s="81">
        <v>43262</v>
      </c>
      <c r="AD1146" s="198">
        <v>20600000</v>
      </c>
      <c r="AE1146" s="198">
        <f t="shared" ref="AE1146:AE1153" si="127">Z1146-AD1146</f>
        <v>2746666.6666666679</v>
      </c>
      <c r="AF1146" s="63">
        <v>2536</v>
      </c>
      <c r="AG1146" s="81">
        <v>43305</v>
      </c>
      <c r="AH1146" s="196">
        <v>20600000</v>
      </c>
      <c r="AI1146" s="84" t="s">
        <v>3214</v>
      </c>
      <c r="AJ1146" s="63">
        <v>459</v>
      </c>
      <c r="AK1146" s="63"/>
      <c r="AL1146" s="196">
        <v>20600000</v>
      </c>
      <c r="AM1146" s="196">
        <f>+VLOOKUP(AF1146,'[2]CRP a 31 Agosto de 2018'!$J$8:$V$2956,13,0)</f>
        <v>824000</v>
      </c>
      <c r="AN1146" s="196">
        <f t="shared" ref="AN1146:AN1154" si="128">+AL1146-AM1146</f>
        <v>19776000</v>
      </c>
      <c r="AO1146" s="63"/>
      <c r="AP1146" s="63"/>
      <c r="AQ1146" s="63"/>
      <c r="AR1146" s="81"/>
      <c r="AS1146" s="63"/>
      <c r="AT1146" s="81"/>
      <c r="AU1146" s="63"/>
      <c r="AV1146" s="63"/>
      <c r="AW1146" s="63"/>
    </row>
    <row r="1147" spans="1:49" ht="357.75" thickTop="1" thickBot="1" x14ac:dyDescent="0.3">
      <c r="A1147" s="193">
        <v>102</v>
      </c>
      <c r="B1147" s="85" t="s">
        <v>3215</v>
      </c>
      <c r="C1147" s="105" t="s">
        <v>2834</v>
      </c>
      <c r="D1147" s="63" t="s">
        <v>714</v>
      </c>
      <c r="E1147" s="106" t="s">
        <v>2835</v>
      </c>
      <c r="F1147" s="63" t="s">
        <v>52</v>
      </c>
      <c r="G1147" s="63" t="s">
        <v>53</v>
      </c>
      <c r="H1147" s="111" t="s">
        <v>733</v>
      </c>
      <c r="I1147" s="63" t="s">
        <v>710</v>
      </c>
      <c r="J1147" s="63" t="s">
        <v>3183</v>
      </c>
      <c r="K1147" s="106">
        <v>801116</v>
      </c>
      <c r="L1147" s="106" t="s">
        <v>2836</v>
      </c>
      <c r="M1147" s="106" t="s">
        <v>2837</v>
      </c>
      <c r="N1147" s="106" t="s">
        <v>2838</v>
      </c>
      <c r="O1147" s="106" t="s">
        <v>2839</v>
      </c>
      <c r="P1147" s="107" t="s">
        <v>3195</v>
      </c>
      <c r="Q1147" s="198">
        <v>2472000</v>
      </c>
      <c r="R1147" s="63">
        <v>1</v>
      </c>
      <c r="S1147" s="198">
        <f>14008000-1648000</f>
        <v>12360000</v>
      </c>
      <c r="T1147" s="112" t="s">
        <v>888</v>
      </c>
      <c r="U1147" s="63" t="s">
        <v>445</v>
      </c>
      <c r="V1147" s="81">
        <v>43296</v>
      </c>
      <c r="W1147" s="199">
        <v>1</v>
      </c>
      <c r="X1147" s="85" t="s">
        <v>3216</v>
      </c>
      <c r="Y1147" s="81">
        <v>43277</v>
      </c>
      <c r="Z1147" s="198">
        <v>14008000</v>
      </c>
      <c r="AA1147" s="84"/>
      <c r="AB1147" s="63">
        <v>962</v>
      </c>
      <c r="AC1147" s="81">
        <v>43262</v>
      </c>
      <c r="AD1147" s="198">
        <v>12360000</v>
      </c>
      <c r="AE1147" s="198">
        <f t="shared" si="127"/>
        <v>1648000</v>
      </c>
      <c r="AF1147" s="63">
        <v>2547</v>
      </c>
      <c r="AG1147" s="81">
        <v>43308</v>
      </c>
      <c r="AH1147" s="196">
        <v>12360000</v>
      </c>
      <c r="AI1147" s="84" t="s">
        <v>3217</v>
      </c>
      <c r="AJ1147" s="63">
        <v>470</v>
      </c>
      <c r="AK1147" s="63"/>
      <c r="AL1147" s="196">
        <v>12360000</v>
      </c>
      <c r="AM1147" s="196">
        <f>+VLOOKUP(AF1147,'[2]CRP a 31 Agosto de 2018'!$J$8:$V$2956,13,0)</f>
        <v>82400</v>
      </c>
      <c r="AN1147" s="196">
        <f t="shared" si="128"/>
        <v>12277600</v>
      </c>
      <c r="AO1147" s="63"/>
      <c r="AP1147" s="63"/>
      <c r="AQ1147" s="63"/>
      <c r="AR1147" s="81"/>
      <c r="AS1147" s="63"/>
      <c r="AT1147" s="81"/>
      <c r="AU1147" s="63"/>
      <c r="AV1147" s="63"/>
      <c r="AW1147" s="63"/>
    </row>
    <row r="1148" spans="1:49" ht="357.75" thickTop="1" thickBot="1" x14ac:dyDescent="0.3">
      <c r="A1148" s="193">
        <v>103</v>
      </c>
      <c r="B1148" s="85" t="s">
        <v>3218</v>
      </c>
      <c r="C1148" s="105" t="s">
        <v>2834</v>
      </c>
      <c r="D1148" s="63" t="s">
        <v>714</v>
      </c>
      <c r="E1148" s="106" t="s">
        <v>2835</v>
      </c>
      <c r="F1148" s="63" t="s">
        <v>52</v>
      </c>
      <c r="G1148" s="63" t="s">
        <v>53</v>
      </c>
      <c r="H1148" s="111" t="s">
        <v>733</v>
      </c>
      <c r="I1148" s="63" t="s">
        <v>710</v>
      </c>
      <c r="J1148" s="63" t="s">
        <v>3183</v>
      </c>
      <c r="K1148" s="106">
        <v>801116</v>
      </c>
      <c r="L1148" s="106" t="s">
        <v>2836</v>
      </c>
      <c r="M1148" s="106" t="s">
        <v>2837</v>
      </c>
      <c r="N1148" s="106" t="s">
        <v>2838</v>
      </c>
      <c r="O1148" s="106" t="s">
        <v>2839</v>
      </c>
      <c r="P1148" s="107" t="s">
        <v>3195</v>
      </c>
      <c r="Q1148" s="198">
        <v>2472000</v>
      </c>
      <c r="R1148" s="63">
        <v>1</v>
      </c>
      <c r="S1148" s="198">
        <f>14008000-1648000</f>
        <v>12360000</v>
      </c>
      <c r="T1148" s="112" t="s">
        <v>888</v>
      </c>
      <c r="U1148" s="63" t="s">
        <v>445</v>
      </c>
      <c r="V1148" s="81">
        <v>43296</v>
      </c>
      <c r="W1148" s="199">
        <v>1</v>
      </c>
      <c r="X1148" s="85" t="s">
        <v>3219</v>
      </c>
      <c r="Y1148" s="81">
        <v>43157</v>
      </c>
      <c r="Z1148" s="198">
        <v>14008000</v>
      </c>
      <c r="AA1148" s="84"/>
      <c r="AB1148" s="63">
        <v>957</v>
      </c>
      <c r="AC1148" s="81">
        <v>43262</v>
      </c>
      <c r="AD1148" s="198">
        <v>12360000</v>
      </c>
      <c r="AE1148" s="198">
        <f t="shared" si="127"/>
        <v>1648000</v>
      </c>
      <c r="AF1148" s="63">
        <v>2544</v>
      </c>
      <c r="AG1148" s="81">
        <v>43307</v>
      </c>
      <c r="AH1148" s="196">
        <v>12360000</v>
      </c>
      <c r="AI1148" s="84" t="s">
        <v>3220</v>
      </c>
      <c r="AJ1148" s="63">
        <v>461</v>
      </c>
      <c r="AK1148" s="63"/>
      <c r="AL1148" s="196">
        <v>12360000</v>
      </c>
      <c r="AM1148" s="196">
        <f>+VLOOKUP(AF1148,'[2]CRP a 31 Agosto de 2018'!$J$8:$V$2956,13,0)</f>
        <v>412000</v>
      </c>
      <c r="AN1148" s="196">
        <f t="shared" si="128"/>
        <v>11948000</v>
      </c>
      <c r="AO1148" s="63"/>
      <c r="AP1148" s="63"/>
      <c r="AQ1148" s="63"/>
      <c r="AR1148" s="81"/>
      <c r="AS1148" s="63"/>
      <c r="AT1148" s="81"/>
      <c r="AU1148" s="63"/>
      <c r="AV1148" s="63"/>
      <c r="AW1148" s="63"/>
    </row>
    <row r="1149" spans="1:49" ht="357.75" thickTop="1" thickBot="1" x14ac:dyDescent="0.3">
      <c r="A1149" s="193">
        <v>104</v>
      </c>
      <c r="B1149" s="85" t="s">
        <v>3221</v>
      </c>
      <c r="C1149" s="105" t="s">
        <v>2834</v>
      </c>
      <c r="D1149" s="63" t="s">
        <v>714</v>
      </c>
      <c r="E1149" s="106" t="s">
        <v>2835</v>
      </c>
      <c r="F1149" s="63" t="s">
        <v>52</v>
      </c>
      <c r="G1149" s="63" t="s">
        <v>53</v>
      </c>
      <c r="H1149" s="111" t="s">
        <v>733</v>
      </c>
      <c r="I1149" s="63" t="s">
        <v>710</v>
      </c>
      <c r="J1149" s="63" t="s">
        <v>3183</v>
      </c>
      <c r="K1149" s="106">
        <v>801116</v>
      </c>
      <c r="L1149" s="106" t="s">
        <v>2836</v>
      </c>
      <c r="M1149" s="106" t="s">
        <v>2837</v>
      </c>
      <c r="N1149" s="106" t="s">
        <v>2838</v>
      </c>
      <c r="O1149" s="106" t="s">
        <v>2839</v>
      </c>
      <c r="P1149" s="107" t="s">
        <v>3222</v>
      </c>
      <c r="Q1149" s="198">
        <v>2472000</v>
      </c>
      <c r="R1149" s="63">
        <v>1</v>
      </c>
      <c r="S1149" s="198">
        <f>14008000-1067767-580232</f>
        <v>12360001</v>
      </c>
      <c r="T1149" s="112" t="s">
        <v>888</v>
      </c>
      <c r="U1149" s="63" t="s">
        <v>445</v>
      </c>
      <c r="V1149" s="81">
        <v>43296</v>
      </c>
      <c r="W1149" s="199">
        <v>1</v>
      </c>
      <c r="X1149" s="85" t="s">
        <v>3223</v>
      </c>
      <c r="Y1149" s="81">
        <v>43157</v>
      </c>
      <c r="Z1149" s="198">
        <v>14008000</v>
      </c>
      <c r="AA1149" s="84"/>
      <c r="AB1149" s="63">
        <v>958</v>
      </c>
      <c r="AC1149" s="81">
        <v>43262</v>
      </c>
      <c r="AD1149" s="198">
        <v>12360000</v>
      </c>
      <c r="AE1149" s="198">
        <f t="shared" si="127"/>
        <v>1648000</v>
      </c>
      <c r="AF1149" s="63">
        <v>2535</v>
      </c>
      <c r="AG1149" s="81">
        <v>43305</v>
      </c>
      <c r="AH1149" s="196">
        <v>12360000</v>
      </c>
      <c r="AI1149" s="84" t="s">
        <v>3224</v>
      </c>
      <c r="AJ1149" s="63">
        <v>458</v>
      </c>
      <c r="AK1149" s="63"/>
      <c r="AL1149" s="196">
        <v>12360000</v>
      </c>
      <c r="AM1149" s="196">
        <f>+VLOOKUP(AF1149,'[2]CRP a 31 Agosto de 2018'!$J$8:$V$2956,13,0)</f>
        <v>412000</v>
      </c>
      <c r="AN1149" s="196">
        <f t="shared" si="128"/>
        <v>11948000</v>
      </c>
      <c r="AO1149" s="63"/>
      <c r="AP1149" s="63"/>
      <c r="AQ1149" s="63"/>
      <c r="AR1149" s="81"/>
      <c r="AS1149" s="63"/>
      <c r="AT1149" s="81"/>
      <c r="AU1149" s="63"/>
      <c r="AV1149" s="63"/>
      <c r="AW1149" s="63"/>
    </row>
    <row r="1150" spans="1:49" ht="357.75" thickTop="1" thickBot="1" x14ac:dyDescent="0.3">
      <c r="A1150" s="193">
        <v>105</v>
      </c>
      <c r="B1150" s="85" t="s">
        <v>3225</v>
      </c>
      <c r="C1150" s="105" t="s">
        <v>2834</v>
      </c>
      <c r="D1150" s="63" t="s">
        <v>714</v>
      </c>
      <c r="E1150" s="106" t="s">
        <v>2835</v>
      </c>
      <c r="F1150" s="63" t="s">
        <v>52</v>
      </c>
      <c r="G1150" s="63" t="s">
        <v>53</v>
      </c>
      <c r="H1150" s="111" t="s">
        <v>733</v>
      </c>
      <c r="I1150" s="63" t="s">
        <v>710</v>
      </c>
      <c r="J1150" s="63" t="s">
        <v>3183</v>
      </c>
      <c r="K1150" s="106">
        <v>801116</v>
      </c>
      <c r="L1150" s="106" t="s">
        <v>2836</v>
      </c>
      <c r="M1150" s="106" t="s">
        <v>2837</v>
      </c>
      <c r="N1150" s="106" t="s">
        <v>2838</v>
      </c>
      <c r="O1150" s="106" t="s">
        <v>2839</v>
      </c>
      <c r="P1150" s="107" t="s">
        <v>3226</v>
      </c>
      <c r="Q1150" s="198">
        <v>1751000</v>
      </c>
      <c r="R1150" s="63">
        <v>1</v>
      </c>
      <c r="S1150" s="198">
        <f>9922333-1167333</f>
        <v>8755000</v>
      </c>
      <c r="T1150" s="112" t="s">
        <v>888</v>
      </c>
      <c r="U1150" s="63" t="s">
        <v>445</v>
      </c>
      <c r="V1150" s="81">
        <v>43296</v>
      </c>
      <c r="W1150" s="199">
        <v>1</v>
      </c>
      <c r="X1150" s="85" t="s">
        <v>3227</v>
      </c>
      <c r="Y1150" s="81">
        <v>43157</v>
      </c>
      <c r="Z1150" s="198">
        <v>9922333</v>
      </c>
      <c r="AA1150" s="84"/>
      <c r="AB1150" s="63">
        <v>964</v>
      </c>
      <c r="AC1150" s="81">
        <v>43262</v>
      </c>
      <c r="AD1150" s="198">
        <v>8755000</v>
      </c>
      <c r="AE1150" s="198">
        <f t="shared" si="127"/>
        <v>1167333</v>
      </c>
      <c r="AF1150" s="63">
        <v>2539</v>
      </c>
      <c r="AG1150" s="81">
        <v>43305</v>
      </c>
      <c r="AH1150" s="196">
        <v>8755000</v>
      </c>
      <c r="AI1150" s="84" t="s">
        <v>3228</v>
      </c>
      <c r="AJ1150" s="63">
        <v>456</v>
      </c>
      <c r="AK1150" s="63"/>
      <c r="AL1150" s="196">
        <v>8755000</v>
      </c>
      <c r="AM1150" s="196">
        <f>+VLOOKUP(AF1150,'[2]CRP a 31 Agosto de 2018'!$J$8:$V$2956,13,0)</f>
        <v>350200</v>
      </c>
      <c r="AN1150" s="196">
        <f t="shared" si="128"/>
        <v>8404800</v>
      </c>
      <c r="AO1150" s="63"/>
      <c r="AP1150" s="63"/>
      <c r="AQ1150" s="63"/>
      <c r="AR1150" s="81"/>
      <c r="AS1150" s="63"/>
      <c r="AT1150" s="81"/>
      <c r="AU1150" s="63"/>
      <c r="AV1150" s="63"/>
      <c r="AW1150" s="63"/>
    </row>
    <row r="1151" spans="1:49" ht="357.75" thickTop="1" thickBot="1" x14ac:dyDescent="0.3">
      <c r="A1151" s="193">
        <v>106</v>
      </c>
      <c r="B1151" s="85" t="s">
        <v>3229</v>
      </c>
      <c r="C1151" s="105" t="s">
        <v>2834</v>
      </c>
      <c r="D1151" s="63" t="s">
        <v>714</v>
      </c>
      <c r="E1151" s="106" t="s">
        <v>2835</v>
      </c>
      <c r="F1151" s="63" t="s">
        <v>52</v>
      </c>
      <c r="G1151" s="63" t="s">
        <v>53</v>
      </c>
      <c r="H1151" s="111" t="s">
        <v>733</v>
      </c>
      <c r="I1151" s="63" t="s">
        <v>710</v>
      </c>
      <c r="J1151" s="63" t="s">
        <v>3183</v>
      </c>
      <c r="K1151" s="106">
        <v>801116</v>
      </c>
      <c r="L1151" s="106" t="s">
        <v>2836</v>
      </c>
      <c r="M1151" s="106" t="s">
        <v>2837</v>
      </c>
      <c r="N1151" s="106" t="s">
        <v>2838</v>
      </c>
      <c r="O1151" s="106" t="s">
        <v>2839</v>
      </c>
      <c r="P1151" s="107" t="s">
        <v>3230</v>
      </c>
      <c r="Q1151" s="198">
        <v>5253000</v>
      </c>
      <c r="R1151" s="63">
        <v>1</v>
      </c>
      <c r="S1151" s="198">
        <f>29767000-3502000</f>
        <v>26265000</v>
      </c>
      <c r="T1151" s="112" t="s">
        <v>888</v>
      </c>
      <c r="U1151" s="63" t="s">
        <v>445</v>
      </c>
      <c r="V1151" s="81">
        <v>43296</v>
      </c>
      <c r="W1151" s="199">
        <v>1</v>
      </c>
      <c r="X1151" s="85" t="s">
        <v>3231</v>
      </c>
      <c r="Y1151" s="81">
        <v>43157</v>
      </c>
      <c r="Z1151" s="198">
        <v>29767000</v>
      </c>
      <c r="AA1151" s="84"/>
      <c r="AB1151" s="63">
        <v>965</v>
      </c>
      <c r="AC1151" s="81">
        <v>43262</v>
      </c>
      <c r="AD1151" s="198">
        <v>26265000</v>
      </c>
      <c r="AE1151" s="198">
        <f t="shared" si="127"/>
        <v>3502000</v>
      </c>
      <c r="AF1151" s="63">
        <v>2537</v>
      </c>
      <c r="AG1151" s="81">
        <v>43305</v>
      </c>
      <c r="AH1151" s="196">
        <v>26265000</v>
      </c>
      <c r="AI1151" s="84" t="s">
        <v>3232</v>
      </c>
      <c r="AJ1151" s="63">
        <v>453</v>
      </c>
      <c r="AK1151" s="63"/>
      <c r="AL1151" s="196">
        <v>26265000</v>
      </c>
      <c r="AM1151" s="196">
        <f>+VLOOKUP(AF1151,'[2]CRP a 31 Agosto de 2018'!$J$8:$V$2956,13,0)</f>
        <v>1050600</v>
      </c>
      <c r="AN1151" s="196">
        <f t="shared" si="128"/>
        <v>25214400</v>
      </c>
      <c r="AO1151" s="63"/>
      <c r="AP1151" s="63"/>
      <c r="AQ1151" s="63"/>
      <c r="AR1151" s="81"/>
      <c r="AS1151" s="63"/>
      <c r="AT1151" s="81"/>
      <c r="AU1151" s="63"/>
      <c r="AV1151" s="63"/>
      <c r="AW1151" s="63"/>
    </row>
    <row r="1152" spans="1:49" ht="357.75" thickTop="1" thickBot="1" x14ac:dyDescent="0.3">
      <c r="A1152" s="193">
        <v>107</v>
      </c>
      <c r="B1152" s="85" t="s">
        <v>3233</v>
      </c>
      <c r="C1152" s="105" t="s">
        <v>2834</v>
      </c>
      <c r="D1152" s="63" t="s">
        <v>714</v>
      </c>
      <c r="E1152" s="106" t="s">
        <v>2835</v>
      </c>
      <c r="F1152" s="63" t="s">
        <v>52</v>
      </c>
      <c r="G1152" s="63" t="s">
        <v>53</v>
      </c>
      <c r="H1152" s="111" t="s">
        <v>733</v>
      </c>
      <c r="I1152" s="63" t="s">
        <v>710</v>
      </c>
      <c r="J1152" s="63" t="s">
        <v>3183</v>
      </c>
      <c r="K1152" s="106">
        <v>801116</v>
      </c>
      <c r="L1152" s="106" t="s">
        <v>2836</v>
      </c>
      <c r="M1152" s="106" t="s">
        <v>2837</v>
      </c>
      <c r="N1152" s="106" t="s">
        <v>2838</v>
      </c>
      <c r="O1152" s="106" t="s">
        <v>2839</v>
      </c>
      <c r="P1152" s="107" t="s">
        <v>3188</v>
      </c>
      <c r="Q1152" s="198">
        <v>3553500</v>
      </c>
      <c r="R1152" s="63">
        <v>1</v>
      </c>
      <c r="S1152" s="198">
        <f>20136500-2369000</f>
        <v>17767500</v>
      </c>
      <c r="T1152" s="112" t="s">
        <v>888</v>
      </c>
      <c r="U1152" s="63" t="s">
        <v>445</v>
      </c>
      <c r="V1152" s="81">
        <v>43296</v>
      </c>
      <c r="W1152" s="199">
        <v>1</v>
      </c>
      <c r="X1152" s="85" t="s">
        <v>3234</v>
      </c>
      <c r="Y1152" s="81">
        <v>43157</v>
      </c>
      <c r="Z1152" s="198">
        <v>20136500</v>
      </c>
      <c r="AA1152" s="84"/>
      <c r="AB1152" s="63">
        <v>954</v>
      </c>
      <c r="AC1152" s="81">
        <v>43262</v>
      </c>
      <c r="AD1152" s="198">
        <v>17767500</v>
      </c>
      <c r="AE1152" s="198">
        <f t="shared" si="127"/>
        <v>2369000</v>
      </c>
      <c r="AF1152" s="63">
        <v>2533</v>
      </c>
      <c r="AG1152" s="81">
        <v>43305</v>
      </c>
      <c r="AH1152" s="196">
        <v>17767500</v>
      </c>
      <c r="AI1152" s="84" t="s">
        <v>3235</v>
      </c>
      <c r="AJ1152" s="63">
        <v>457</v>
      </c>
      <c r="AK1152" s="63"/>
      <c r="AL1152" s="196">
        <v>17767500</v>
      </c>
      <c r="AM1152" s="196">
        <f>+VLOOKUP(AF1152,'[2]CRP a 31 Agosto de 2018'!$J$8:$V$2956,13,0)</f>
        <v>710700</v>
      </c>
      <c r="AN1152" s="196">
        <f t="shared" si="128"/>
        <v>17056800</v>
      </c>
      <c r="AO1152" s="63"/>
      <c r="AP1152" s="63"/>
      <c r="AQ1152" s="63"/>
      <c r="AR1152" s="81"/>
      <c r="AS1152" s="63"/>
      <c r="AT1152" s="81"/>
      <c r="AU1152" s="63"/>
      <c r="AV1152" s="63"/>
      <c r="AW1152" s="63"/>
    </row>
    <row r="1153" spans="1:49" ht="357.75" thickTop="1" thickBot="1" x14ac:dyDescent="0.3">
      <c r="A1153" s="193">
        <v>108</v>
      </c>
      <c r="B1153" s="85" t="s">
        <v>3236</v>
      </c>
      <c r="C1153" s="105" t="s">
        <v>2834</v>
      </c>
      <c r="D1153" s="63" t="s">
        <v>714</v>
      </c>
      <c r="E1153" s="106" t="s">
        <v>2835</v>
      </c>
      <c r="F1153" s="63" t="s">
        <v>52</v>
      </c>
      <c r="G1153" s="63" t="s">
        <v>53</v>
      </c>
      <c r="H1153" s="111" t="s">
        <v>733</v>
      </c>
      <c r="I1153" s="63" t="s">
        <v>710</v>
      </c>
      <c r="J1153" s="63" t="s">
        <v>3183</v>
      </c>
      <c r="K1153" s="106">
        <v>801116</v>
      </c>
      <c r="L1153" s="106" t="s">
        <v>2836</v>
      </c>
      <c r="M1153" s="106" t="s">
        <v>2837</v>
      </c>
      <c r="N1153" s="106" t="s">
        <v>2838</v>
      </c>
      <c r="O1153" s="106" t="s">
        <v>2839</v>
      </c>
      <c r="P1153" s="107" t="s">
        <v>3188</v>
      </c>
      <c r="Q1153" s="198">
        <v>3399000</v>
      </c>
      <c r="R1153" s="63">
        <v>1</v>
      </c>
      <c r="S1153" s="198">
        <f>19261000-2266000</f>
        <v>16995000</v>
      </c>
      <c r="T1153" s="112" t="s">
        <v>888</v>
      </c>
      <c r="U1153" s="63" t="s">
        <v>445</v>
      </c>
      <c r="V1153" s="81">
        <v>43296</v>
      </c>
      <c r="W1153" s="199">
        <v>1</v>
      </c>
      <c r="X1153" s="85" t="s">
        <v>3237</v>
      </c>
      <c r="Y1153" s="81">
        <v>43157</v>
      </c>
      <c r="Z1153" s="198">
        <v>19261000</v>
      </c>
      <c r="AA1153" s="84"/>
      <c r="AB1153" s="63">
        <v>955</v>
      </c>
      <c r="AC1153" s="81">
        <v>43262</v>
      </c>
      <c r="AD1153" s="198">
        <v>16995000</v>
      </c>
      <c r="AE1153" s="198">
        <f t="shared" si="127"/>
        <v>2266000</v>
      </c>
      <c r="AF1153" s="63">
        <v>2545</v>
      </c>
      <c r="AG1153" s="81">
        <v>43308</v>
      </c>
      <c r="AH1153" s="196">
        <v>16995000</v>
      </c>
      <c r="AI1153" s="84" t="s">
        <v>3238</v>
      </c>
      <c r="AJ1153" s="63">
        <v>464</v>
      </c>
      <c r="AK1153" s="63"/>
      <c r="AL1153" s="196">
        <v>16995000</v>
      </c>
      <c r="AM1153" s="196">
        <f>+VLOOKUP(AF1153,'[2]CRP a 31 Agosto de 2018'!$J$8:$V$2956,13,0)</f>
        <v>0</v>
      </c>
      <c r="AN1153" s="196">
        <f t="shared" si="128"/>
        <v>16995000</v>
      </c>
      <c r="AO1153" s="63"/>
      <c r="AP1153" s="63"/>
      <c r="AQ1153" s="63"/>
      <c r="AR1153" s="81"/>
      <c r="AS1153" s="63"/>
      <c r="AT1153" s="81"/>
      <c r="AU1153" s="63"/>
      <c r="AV1153" s="63"/>
      <c r="AW1153" s="63"/>
    </row>
    <row r="1154" spans="1:49" ht="357.75" thickTop="1" thickBot="1" x14ac:dyDescent="0.3">
      <c r="A1154" s="193">
        <v>109</v>
      </c>
      <c r="B1154" s="85" t="s">
        <v>3239</v>
      </c>
      <c r="C1154" s="105" t="s">
        <v>2834</v>
      </c>
      <c r="D1154" s="63" t="s">
        <v>714</v>
      </c>
      <c r="E1154" s="106" t="s">
        <v>2835</v>
      </c>
      <c r="F1154" s="63" t="s">
        <v>52</v>
      </c>
      <c r="G1154" s="63" t="s">
        <v>53</v>
      </c>
      <c r="H1154" s="111" t="s">
        <v>733</v>
      </c>
      <c r="I1154" s="63" t="s">
        <v>710</v>
      </c>
      <c r="J1154" s="63" t="s">
        <v>3183</v>
      </c>
      <c r="K1154" s="106">
        <v>801116</v>
      </c>
      <c r="L1154" s="106" t="s">
        <v>2836</v>
      </c>
      <c r="M1154" s="106" t="s">
        <v>2837</v>
      </c>
      <c r="N1154" s="106" t="s">
        <v>2838</v>
      </c>
      <c r="O1154" s="106" t="s">
        <v>2839</v>
      </c>
      <c r="P1154" s="107" t="s">
        <v>3188</v>
      </c>
      <c r="Q1154" s="198">
        <v>3399000</v>
      </c>
      <c r="R1154" s="63">
        <v>1</v>
      </c>
      <c r="S1154" s="198">
        <f>19261000-2266000</f>
        <v>16995000</v>
      </c>
      <c r="T1154" s="112" t="s">
        <v>888</v>
      </c>
      <c r="U1154" s="63" t="s">
        <v>445</v>
      </c>
      <c r="V1154" s="81">
        <v>43296</v>
      </c>
      <c r="W1154" s="199">
        <v>1</v>
      </c>
      <c r="X1154" s="85" t="s">
        <v>3240</v>
      </c>
      <c r="Y1154" s="81">
        <v>43157</v>
      </c>
      <c r="Z1154" s="198">
        <v>19261000</v>
      </c>
      <c r="AA1154" s="84"/>
      <c r="AB1154" s="63">
        <v>960</v>
      </c>
      <c r="AC1154" s="81">
        <v>43262</v>
      </c>
      <c r="AD1154" s="198">
        <v>16995000</v>
      </c>
      <c r="AE1154" s="198">
        <f>Z1154-AD1154</f>
        <v>2266000</v>
      </c>
      <c r="AF1154" s="63">
        <v>2680</v>
      </c>
      <c r="AG1154" s="81">
        <v>43329</v>
      </c>
      <c r="AH1154" s="196">
        <v>16995000</v>
      </c>
      <c r="AI1154" s="84" t="s">
        <v>3241</v>
      </c>
      <c r="AJ1154" s="63">
        <v>503</v>
      </c>
      <c r="AK1154" s="63"/>
      <c r="AL1154" s="196">
        <v>16995000</v>
      </c>
      <c r="AM1154" s="196">
        <f>+VLOOKUP(AF1154,'[2]CRP a 31 Agosto de 2018'!$J$8:$V$2956,13,0)</f>
        <v>0</v>
      </c>
      <c r="AN1154" s="196">
        <f t="shared" si="128"/>
        <v>16995000</v>
      </c>
      <c r="AO1154" s="63"/>
      <c r="AP1154" s="63"/>
      <c r="AQ1154" s="63"/>
      <c r="AR1154" s="81"/>
      <c r="AS1154" s="63"/>
      <c r="AT1154" s="81"/>
      <c r="AU1154" s="63"/>
      <c r="AV1154" s="63"/>
      <c r="AW1154" s="63"/>
    </row>
    <row r="1155" spans="1:49" ht="357.75" thickTop="1" thickBot="1" x14ac:dyDescent="0.3">
      <c r="A1155" s="193">
        <v>110</v>
      </c>
      <c r="B1155" s="85" t="s">
        <v>3242</v>
      </c>
      <c r="C1155" s="105" t="s">
        <v>2834</v>
      </c>
      <c r="D1155" s="63" t="s">
        <v>714</v>
      </c>
      <c r="E1155" s="106" t="s">
        <v>2835</v>
      </c>
      <c r="F1155" s="63" t="s">
        <v>52</v>
      </c>
      <c r="G1155" s="63" t="s">
        <v>53</v>
      </c>
      <c r="H1155" s="111" t="s">
        <v>733</v>
      </c>
      <c r="I1155" s="63" t="s">
        <v>710</v>
      </c>
      <c r="J1155" s="63" t="s">
        <v>3183</v>
      </c>
      <c r="K1155" s="106">
        <v>801116</v>
      </c>
      <c r="L1155" s="106" t="s">
        <v>2836</v>
      </c>
      <c r="M1155" s="106" t="s">
        <v>2837</v>
      </c>
      <c r="N1155" s="106" t="s">
        <v>2838</v>
      </c>
      <c r="O1155" s="106" t="s">
        <v>2839</v>
      </c>
      <c r="P1155" s="107" t="s">
        <v>3188</v>
      </c>
      <c r="Q1155" s="198">
        <v>3553500</v>
      </c>
      <c r="R1155" s="63">
        <v>1</v>
      </c>
      <c r="S1155" s="198">
        <f>20136500-2369000</f>
        <v>17767500</v>
      </c>
      <c r="T1155" s="112" t="s">
        <v>888</v>
      </c>
      <c r="U1155" s="63" t="s">
        <v>445</v>
      </c>
      <c r="V1155" s="81">
        <v>43296</v>
      </c>
      <c r="W1155" s="199">
        <v>1</v>
      </c>
      <c r="X1155" s="85" t="s">
        <v>3243</v>
      </c>
      <c r="Y1155" s="81">
        <v>43157</v>
      </c>
      <c r="Z1155" s="198">
        <v>20136500</v>
      </c>
      <c r="AA1155" s="84"/>
      <c r="AB1155" s="63">
        <v>934</v>
      </c>
      <c r="AC1155" s="81">
        <v>43285</v>
      </c>
      <c r="AD1155" s="198">
        <v>17767500</v>
      </c>
      <c r="AE1155" s="198">
        <f t="shared" ref="AE1155:AE1156" si="129">Z1155-AD1155</f>
        <v>2369000</v>
      </c>
      <c r="AF1155" s="63">
        <v>2564</v>
      </c>
      <c r="AG1155" s="81">
        <v>43314</v>
      </c>
      <c r="AH1155" s="196">
        <v>17767500</v>
      </c>
      <c r="AI1155" s="84" t="s">
        <v>3244</v>
      </c>
      <c r="AJ1155" s="63">
        <v>473</v>
      </c>
      <c r="AK1155" s="63"/>
      <c r="AL1155" s="196">
        <v>17767500</v>
      </c>
      <c r="AM1155" s="196">
        <f>+VLOOKUP(AF1155,'[2]CRP a 31 Agosto de 2018'!$J$8:$V$2956,13,0)</f>
        <v>0</v>
      </c>
      <c r="AN1155" s="196">
        <f>AL1155-AM1155</f>
        <v>17767500</v>
      </c>
      <c r="AO1155" s="63"/>
      <c r="AP1155" s="63"/>
      <c r="AQ1155" s="63"/>
      <c r="AR1155" s="81"/>
      <c r="AS1155" s="63"/>
      <c r="AT1155" s="81"/>
      <c r="AU1155" s="63"/>
      <c r="AV1155" s="63"/>
      <c r="AW1155" s="63"/>
    </row>
    <row r="1156" spans="1:49" ht="357.75" thickTop="1" thickBot="1" x14ac:dyDescent="0.3">
      <c r="A1156" s="193">
        <v>111</v>
      </c>
      <c r="B1156" s="85" t="s">
        <v>3245</v>
      </c>
      <c r="C1156" s="105" t="s">
        <v>2834</v>
      </c>
      <c r="D1156" s="63" t="s">
        <v>714</v>
      </c>
      <c r="E1156" s="106" t="s">
        <v>2835</v>
      </c>
      <c r="F1156" s="63" t="s">
        <v>52</v>
      </c>
      <c r="G1156" s="63" t="s">
        <v>53</v>
      </c>
      <c r="H1156" s="111" t="s">
        <v>733</v>
      </c>
      <c r="I1156" s="63" t="s">
        <v>710</v>
      </c>
      <c r="J1156" s="63" t="s">
        <v>3183</v>
      </c>
      <c r="K1156" s="106">
        <v>801116</v>
      </c>
      <c r="L1156" s="106" t="s">
        <v>2836</v>
      </c>
      <c r="M1156" s="106" t="s">
        <v>2837</v>
      </c>
      <c r="N1156" s="106" t="s">
        <v>2838</v>
      </c>
      <c r="O1156" s="106" t="s">
        <v>2839</v>
      </c>
      <c r="P1156" s="107" t="s">
        <v>3188</v>
      </c>
      <c r="Q1156" s="198">
        <v>3399000</v>
      </c>
      <c r="R1156" s="63">
        <v>1</v>
      </c>
      <c r="S1156" s="198">
        <f>19261000-2266000</f>
        <v>16995000</v>
      </c>
      <c r="T1156" s="112" t="s">
        <v>888</v>
      </c>
      <c r="U1156" s="63" t="s">
        <v>445</v>
      </c>
      <c r="V1156" s="81">
        <v>43296</v>
      </c>
      <c r="W1156" s="199">
        <v>1</v>
      </c>
      <c r="X1156" s="85" t="s">
        <v>3246</v>
      </c>
      <c r="Y1156" s="81">
        <v>43279</v>
      </c>
      <c r="Z1156" s="198">
        <v>19261000</v>
      </c>
      <c r="AA1156" s="84"/>
      <c r="AB1156" s="63">
        <v>959</v>
      </c>
      <c r="AC1156" s="81">
        <v>43262</v>
      </c>
      <c r="AD1156" s="198">
        <v>16995000</v>
      </c>
      <c r="AE1156" s="198">
        <f t="shared" si="129"/>
        <v>2266000</v>
      </c>
      <c r="AF1156" s="63">
        <v>2538</v>
      </c>
      <c r="AG1156" s="81">
        <v>43305</v>
      </c>
      <c r="AH1156" s="196">
        <v>16995000</v>
      </c>
      <c r="AI1156" s="84" t="s">
        <v>3247</v>
      </c>
      <c r="AJ1156" s="63">
        <v>454</v>
      </c>
      <c r="AK1156" s="63"/>
      <c r="AL1156" s="196">
        <v>16995000</v>
      </c>
      <c r="AM1156" s="196">
        <f>+VLOOKUP(AF1156,'[2]CRP a 31 Agosto de 2018'!$J$8:$V$2956,13,0)</f>
        <v>793100</v>
      </c>
      <c r="AN1156" s="196">
        <f>AL1156-AM1156</f>
        <v>16201900</v>
      </c>
      <c r="AO1156" s="63"/>
      <c r="AP1156" s="63"/>
      <c r="AQ1156" s="63"/>
      <c r="AR1156" s="81"/>
      <c r="AS1156" s="63"/>
      <c r="AT1156" s="81"/>
      <c r="AU1156" s="63"/>
      <c r="AV1156" s="63"/>
      <c r="AW1156" s="63"/>
    </row>
    <row r="1157" spans="1:49" ht="357.75" thickTop="1" thickBot="1" x14ac:dyDescent="0.3">
      <c r="A1157" s="193">
        <v>112</v>
      </c>
      <c r="B1157" s="85" t="s">
        <v>3248</v>
      </c>
      <c r="C1157" s="105" t="s">
        <v>2834</v>
      </c>
      <c r="D1157" s="63" t="s">
        <v>714</v>
      </c>
      <c r="E1157" s="106" t="s">
        <v>2835</v>
      </c>
      <c r="F1157" s="63" t="s">
        <v>52</v>
      </c>
      <c r="G1157" s="63" t="s">
        <v>53</v>
      </c>
      <c r="H1157" s="111" t="s">
        <v>733</v>
      </c>
      <c r="I1157" s="63" t="s">
        <v>710</v>
      </c>
      <c r="J1157" s="63" t="s">
        <v>3183</v>
      </c>
      <c r="K1157" s="106">
        <v>801116</v>
      </c>
      <c r="L1157" s="106" t="s">
        <v>2836</v>
      </c>
      <c r="M1157" s="106" t="s">
        <v>2837</v>
      </c>
      <c r="N1157" s="106" t="s">
        <v>2838</v>
      </c>
      <c r="O1157" s="106" t="s">
        <v>2839</v>
      </c>
      <c r="P1157" s="107" t="s">
        <v>3249</v>
      </c>
      <c r="Q1157" s="198">
        <v>3553500</v>
      </c>
      <c r="R1157" s="63">
        <v>1</v>
      </c>
      <c r="S1157" s="198">
        <f>18952000-17175250-1776750</f>
        <v>0</v>
      </c>
      <c r="T1157" s="112" t="s">
        <v>888</v>
      </c>
      <c r="U1157" s="63" t="s">
        <v>445</v>
      </c>
      <c r="V1157" s="81">
        <v>43296</v>
      </c>
      <c r="W1157" s="199">
        <v>1</v>
      </c>
      <c r="X1157" s="85"/>
      <c r="Y1157" s="81"/>
      <c r="Z1157" s="198"/>
      <c r="AA1157" s="84"/>
      <c r="AB1157" s="63"/>
      <c r="AC1157" s="81"/>
      <c r="AD1157" s="198"/>
      <c r="AE1157" s="198"/>
      <c r="AF1157" s="63"/>
      <c r="AG1157" s="81"/>
      <c r="AH1157" s="196"/>
      <c r="AI1157" s="84"/>
      <c r="AJ1157" s="63"/>
      <c r="AK1157" s="63"/>
      <c r="AL1157" s="196"/>
      <c r="AM1157" s="196">
        <v>0</v>
      </c>
      <c r="AN1157" s="196"/>
      <c r="AO1157" s="63"/>
      <c r="AP1157" s="63"/>
      <c r="AQ1157" s="63"/>
      <c r="AR1157" s="81"/>
      <c r="AS1157" s="63"/>
      <c r="AT1157" s="81"/>
      <c r="AU1157" s="63"/>
      <c r="AV1157" s="63"/>
      <c r="AW1157" s="63"/>
    </row>
    <row r="1158" spans="1:49" ht="357.75" thickTop="1" thickBot="1" x14ac:dyDescent="0.3">
      <c r="A1158" s="193">
        <v>113</v>
      </c>
      <c r="B1158" s="85" t="s">
        <v>3250</v>
      </c>
      <c r="C1158" s="105" t="s">
        <v>2834</v>
      </c>
      <c r="D1158" s="63" t="s">
        <v>714</v>
      </c>
      <c r="E1158" s="106" t="s">
        <v>2835</v>
      </c>
      <c r="F1158" s="63" t="s">
        <v>52</v>
      </c>
      <c r="G1158" s="63" t="s">
        <v>53</v>
      </c>
      <c r="H1158" s="111" t="s">
        <v>733</v>
      </c>
      <c r="I1158" s="63" t="s">
        <v>710</v>
      </c>
      <c r="J1158" s="63" t="s">
        <v>3183</v>
      </c>
      <c r="K1158" s="106">
        <v>801116</v>
      </c>
      <c r="L1158" s="106" t="s">
        <v>2836</v>
      </c>
      <c r="M1158" s="106" t="s">
        <v>2837</v>
      </c>
      <c r="N1158" s="106" t="s">
        <v>2838</v>
      </c>
      <c r="O1158" s="106" t="s">
        <v>2839</v>
      </c>
      <c r="P1158" s="111" t="s">
        <v>3226</v>
      </c>
      <c r="Q1158" s="198">
        <v>1751000</v>
      </c>
      <c r="R1158" s="63">
        <v>1</v>
      </c>
      <c r="S1158" s="198">
        <f>9338667-8463167-875500</f>
        <v>0</v>
      </c>
      <c r="T1158" s="112" t="s">
        <v>888</v>
      </c>
      <c r="U1158" s="63" t="s">
        <v>445</v>
      </c>
      <c r="V1158" s="81">
        <v>43296</v>
      </c>
      <c r="W1158" s="199">
        <v>1</v>
      </c>
      <c r="X1158" s="85"/>
      <c r="Y1158" s="81"/>
      <c r="Z1158" s="198"/>
      <c r="AA1158" s="84"/>
      <c r="AB1158" s="63"/>
      <c r="AC1158" s="81"/>
      <c r="AD1158" s="198"/>
      <c r="AE1158" s="198"/>
      <c r="AF1158" s="63"/>
      <c r="AG1158" s="81"/>
      <c r="AH1158" s="196"/>
      <c r="AI1158" s="84"/>
      <c r="AJ1158" s="63"/>
      <c r="AK1158" s="63"/>
      <c r="AL1158" s="196"/>
      <c r="AM1158" s="196">
        <v>0</v>
      </c>
      <c r="AN1158" s="196"/>
      <c r="AO1158" s="63"/>
      <c r="AP1158" s="63"/>
      <c r="AQ1158" s="63"/>
      <c r="AR1158" s="81"/>
      <c r="AS1158" s="63"/>
      <c r="AT1158" s="81"/>
      <c r="AU1158" s="63"/>
      <c r="AV1158" s="63"/>
      <c r="AW1158" s="63"/>
    </row>
    <row r="1159" spans="1:49" ht="357.75" thickTop="1" thickBot="1" x14ac:dyDescent="0.3">
      <c r="A1159" s="193">
        <v>114</v>
      </c>
      <c r="B1159" s="85" t="s">
        <v>3251</v>
      </c>
      <c r="C1159" s="105" t="s">
        <v>2834</v>
      </c>
      <c r="D1159" s="63" t="s">
        <v>714</v>
      </c>
      <c r="E1159" s="106" t="s">
        <v>2835</v>
      </c>
      <c r="F1159" s="63" t="s">
        <v>52</v>
      </c>
      <c r="G1159" s="63" t="s">
        <v>53</v>
      </c>
      <c r="H1159" s="111" t="s">
        <v>733</v>
      </c>
      <c r="I1159" s="63" t="s">
        <v>710</v>
      </c>
      <c r="J1159" s="63" t="s">
        <v>3183</v>
      </c>
      <c r="K1159" s="106">
        <v>801116</v>
      </c>
      <c r="L1159" s="106" t="s">
        <v>2836</v>
      </c>
      <c r="M1159" s="106" t="s">
        <v>2837</v>
      </c>
      <c r="N1159" s="106" t="s">
        <v>2838</v>
      </c>
      <c r="O1159" s="106" t="s">
        <v>2839</v>
      </c>
      <c r="P1159" s="111" t="s">
        <v>3226</v>
      </c>
      <c r="Q1159" s="198">
        <v>1751000</v>
      </c>
      <c r="R1159" s="63">
        <v>1</v>
      </c>
      <c r="S1159" s="198">
        <f>9338667-8463167-193983-681517</f>
        <v>0</v>
      </c>
      <c r="T1159" s="112" t="s">
        <v>888</v>
      </c>
      <c r="U1159" s="63" t="s">
        <v>445</v>
      </c>
      <c r="V1159" s="81">
        <v>43296</v>
      </c>
      <c r="W1159" s="199">
        <v>1</v>
      </c>
      <c r="X1159" s="85"/>
      <c r="Y1159" s="81"/>
      <c r="Z1159" s="198"/>
      <c r="AA1159" s="84"/>
      <c r="AB1159" s="63"/>
      <c r="AC1159" s="81"/>
      <c r="AD1159" s="198"/>
      <c r="AE1159" s="198"/>
      <c r="AF1159" s="63"/>
      <c r="AG1159" s="81"/>
      <c r="AH1159" s="196"/>
      <c r="AI1159" s="84"/>
      <c r="AJ1159" s="63"/>
      <c r="AK1159" s="63"/>
      <c r="AL1159" s="196"/>
      <c r="AM1159" s="196">
        <v>0</v>
      </c>
      <c r="AN1159" s="196"/>
      <c r="AO1159" s="63"/>
      <c r="AP1159" s="63"/>
      <c r="AQ1159" s="63"/>
      <c r="AR1159" s="81"/>
      <c r="AS1159" s="63"/>
      <c r="AT1159" s="81"/>
      <c r="AU1159" s="63"/>
      <c r="AV1159" s="63"/>
      <c r="AW1159" s="63"/>
    </row>
    <row r="1160" spans="1:49" ht="357.75" thickTop="1" thickBot="1" x14ac:dyDescent="0.3">
      <c r="A1160" s="193">
        <v>115</v>
      </c>
      <c r="B1160" s="85" t="s">
        <v>3252</v>
      </c>
      <c r="C1160" s="105" t="s">
        <v>2834</v>
      </c>
      <c r="D1160" s="63" t="s">
        <v>714</v>
      </c>
      <c r="E1160" s="106" t="s">
        <v>2835</v>
      </c>
      <c r="F1160" s="63" t="s">
        <v>52</v>
      </c>
      <c r="G1160" s="63" t="s">
        <v>53</v>
      </c>
      <c r="H1160" s="111" t="s">
        <v>733</v>
      </c>
      <c r="I1160" s="63" t="s">
        <v>710</v>
      </c>
      <c r="J1160" s="63" t="s">
        <v>3183</v>
      </c>
      <c r="K1160" s="106">
        <v>801116</v>
      </c>
      <c r="L1160" s="106" t="s">
        <v>2836</v>
      </c>
      <c r="M1160" s="106" t="s">
        <v>2837</v>
      </c>
      <c r="N1160" s="106" t="s">
        <v>2838</v>
      </c>
      <c r="O1160" s="106" t="s">
        <v>2839</v>
      </c>
      <c r="P1160" s="111" t="s">
        <v>3070</v>
      </c>
      <c r="Q1160" s="198">
        <v>4532000</v>
      </c>
      <c r="R1160" s="63">
        <v>1</v>
      </c>
      <c r="S1160" s="198">
        <f>20394000-20394000</f>
        <v>0</v>
      </c>
      <c r="T1160" s="112" t="s">
        <v>888</v>
      </c>
      <c r="U1160" s="63" t="s">
        <v>445</v>
      </c>
      <c r="V1160" s="81">
        <v>43296</v>
      </c>
      <c r="W1160" s="199">
        <v>1</v>
      </c>
      <c r="X1160" s="85"/>
      <c r="Y1160" s="81"/>
      <c r="Z1160" s="198"/>
      <c r="AA1160" s="84"/>
      <c r="AB1160" s="63"/>
      <c r="AC1160" s="81"/>
      <c r="AD1160" s="198"/>
      <c r="AE1160" s="198"/>
      <c r="AF1160" s="63"/>
      <c r="AG1160" s="81"/>
      <c r="AH1160" s="196"/>
      <c r="AI1160" s="84"/>
      <c r="AJ1160" s="63"/>
      <c r="AK1160" s="63"/>
      <c r="AL1160" s="196"/>
      <c r="AM1160" s="196">
        <v>0</v>
      </c>
      <c r="AN1160" s="196"/>
      <c r="AO1160" s="63"/>
      <c r="AP1160" s="63"/>
      <c r="AQ1160" s="63"/>
      <c r="AR1160" s="81"/>
      <c r="AS1160" s="63"/>
      <c r="AT1160" s="81"/>
      <c r="AU1160" s="63"/>
      <c r="AV1160" s="63"/>
      <c r="AW1160" s="63"/>
    </row>
    <row r="1161" spans="1:49" ht="357.75" thickTop="1" thickBot="1" x14ac:dyDescent="0.3">
      <c r="A1161" s="193">
        <v>116</v>
      </c>
      <c r="B1161" s="85" t="s">
        <v>3253</v>
      </c>
      <c r="C1161" s="105" t="s">
        <v>2834</v>
      </c>
      <c r="D1161" s="63" t="s">
        <v>714</v>
      </c>
      <c r="E1161" s="106" t="s">
        <v>2835</v>
      </c>
      <c r="F1161" s="63" t="s">
        <v>52</v>
      </c>
      <c r="G1161" s="63" t="s">
        <v>53</v>
      </c>
      <c r="H1161" s="111" t="s">
        <v>733</v>
      </c>
      <c r="I1161" s="63" t="s">
        <v>710</v>
      </c>
      <c r="J1161" s="63" t="s">
        <v>3183</v>
      </c>
      <c r="K1161" s="106">
        <v>801116</v>
      </c>
      <c r="L1161" s="106" t="s">
        <v>2836</v>
      </c>
      <c r="M1161" s="106" t="s">
        <v>2837</v>
      </c>
      <c r="N1161" s="106" t="s">
        <v>2838</v>
      </c>
      <c r="O1161" s="106" t="s">
        <v>2839</v>
      </c>
      <c r="P1161" s="111" t="s">
        <v>3254</v>
      </c>
      <c r="Q1161" s="198">
        <v>6695000</v>
      </c>
      <c r="R1161" s="63">
        <v>1</v>
      </c>
      <c r="S1161" s="198">
        <f>30127500-30127500</f>
        <v>0</v>
      </c>
      <c r="T1161" s="112" t="s">
        <v>888</v>
      </c>
      <c r="U1161" s="63" t="s">
        <v>445</v>
      </c>
      <c r="V1161" s="81">
        <v>43296</v>
      </c>
      <c r="W1161" s="199">
        <v>1</v>
      </c>
      <c r="X1161" s="85"/>
      <c r="Y1161" s="81"/>
      <c r="Z1161" s="198"/>
      <c r="AA1161" s="84"/>
      <c r="AB1161" s="63"/>
      <c r="AC1161" s="81"/>
      <c r="AD1161" s="198"/>
      <c r="AE1161" s="198"/>
      <c r="AF1161" s="63"/>
      <c r="AG1161" s="81"/>
      <c r="AH1161" s="196"/>
      <c r="AI1161" s="84"/>
      <c r="AJ1161" s="63"/>
      <c r="AK1161" s="63"/>
      <c r="AL1161" s="196"/>
      <c r="AM1161" s="196">
        <v>0</v>
      </c>
      <c r="AN1161" s="196"/>
      <c r="AO1161" s="63"/>
      <c r="AP1161" s="63"/>
      <c r="AQ1161" s="63"/>
      <c r="AR1161" s="81"/>
      <c r="AS1161" s="63"/>
      <c r="AT1161" s="81"/>
      <c r="AU1161" s="63"/>
      <c r="AV1161" s="63"/>
      <c r="AW1161" s="63"/>
    </row>
    <row r="1162" spans="1:49" ht="357.75" thickTop="1" thickBot="1" x14ac:dyDescent="0.3">
      <c r="A1162" s="193">
        <v>117</v>
      </c>
      <c r="B1162" s="85" t="s">
        <v>3255</v>
      </c>
      <c r="C1162" s="105" t="s">
        <v>2834</v>
      </c>
      <c r="D1162" s="63" t="s">
        <v>714</v>
      </c>
      <c r="E1162" s="106" t="s">
        <v>2835</v>
      </c>
      <c r="F1162" s="63" t="s">
        <v>52</v>
      </c>
      <c r="G1162" s="63" t="s">
        <v>53</v>
      </c>
      <c r="H1162" s="111" t="s">
        <v>733</v>
      </c>
      <c r="I1162" s="63" t="s">
        <v>710</v>
      </c>
      <c r="J1162" s="63" t="s">
        <v>3183</v>
      </c>
      <c r="K1162" s="106">
        <v>801116</v>
      </c>
      <c r="L1162" s="106" t="s">
        <v>2836</v>
      </c>
      <c r="M1162" s="106" t="s">
        <v>2837</v>
      </c>
      <c r="N1162" s="106" t="s">
        <v>2838</v>
      </c>
      <c r="O1162" s="106" t="s">
        <v>2839</v>
      </c>
      <c r="P1162" s="111" t="s">
        <v>3226</v>
      </c>
      <c r="Q1162" s="198">
        <v>1751000</v>
      </c>
      <c r="R1162" s="63">
        <v>1</v>
      </c>
      <c r="S1162" s="198">
        <f>8171333-8171333</f>
        <v>0</v>
      </c>
      <c r="T1162" s="112" t="s">
        <v>888</v>
      </c>
      <c r="U1162" s="63" t="s">
        <v>445</v>
      </c>
      <c r="V1162" s="81">
        <v>43296</v>
      </c>
      <c r="W1162" s="199">
        <v>1</v>
      </c>
      <c r="X1162" s="85"/>
      <c r="Y1162" s="81"/>
      <c r="Z1162" s="198"/>
      <c r="AA1162" s="84"/>
      <c r="AB1162" s="63"/>
      <c r="AC1162" s="81"/>
      <c r="AD1162" s="198"/>
      <c r="AE1162" s="198"/>
      <c r="AF1162" s="63"/>
      <c r="AG1162" s="81"/>
      <c r="AH1162" s="196"/>
      <c r="AI1162" s="84"/>
      <c r="AJ1162" s="63"/>
      <c r="AK1162" s="63"/>
      <c r="AL1162" s="196"/>
      <c r="AM1162" s="196">
        <v>0</v>
      </c>
      <c r="AN1162" s="196"/>
      <c r="AO1162" s="63"/>
      <c r="AP1162" s="63"/>
      <c r="AQ1162" s="63"/>
      <c r="AR1162" s="81"/>
      <c r="AS1162" s="63"/>
      <c r="AT1162" s="81"/>
      <c r="AU1162" s="63"/>
      <c r="AV1162" s="63"/>
      <c r="AW1162" s="63"/>
    </row>
    <row r="1163" spans="1:49" ht="357.75" thickTop="1" thickBot="1" x14ac:dyDescent="0.3">
      <c r="A1163" s="193">
        <v>118</v>
      </c>
      <c r="B1163" s="85" t="s">
        <v>3256</v>
      </c>
      <c r="C1163" s="105" t="s">
        <v>2834</v>
      </c>
      <c r="D1163" s="63" t="s">
        <v>714</v>
      </c>
      <c r="E1163" s="106" t="s">
        <v>2835</v>
      </c>
      <c r="F1163" s="63" t="s">
        <v>52</v>
      </c>
      <c r="G1163" s="63" t="s">
        <v>53</v>
      </c>
      <c r="H1163" s="111" t="s">
        <v>733</v>
      </c>
      <c r="I1163" s="63" t="s">
        <v>710</v>
      </c>
      <c r="J1163" s="63" t="s">
        <v>3183</v>
      </c>
      <c r="K1163" s="106">
        <v>801116</v>
      </c>
      <c r="L1163" s="106" t="s">
        <v>2836</v>
      </c>
      <c r="M1163" s="106" t="s">
        <v>2837</v>
      </c>
      <c r="N1163" s="106" t="s">
        <v>2838</v>
      </c>
      <c r="O1163" s="106" t="s">
        <v>2839</v>
      </c>
      <c r="P1163" s="111" t="s">
        <v>3254</v>
      </c>
      <c r="Q1163" s="198">
        <v>8240000</v>
      </c>
      <c r="R1163" s="63">
        <v>1</v>
      </c>
      <c r="S1163" s="198">
        <f>39826666-39826666</f>
        <v>0</v>
      </c>
      <c r="T1163" s="112" t="s">
        <v>888</v>
      </c>
      <c r="U1163" s="63" t="s">
        <v>445</v>
      </c>
      <c r="V1163" s="81">
        <v>43296</v>
      </c>
      <c r="W1163" s="199">
        <v>1</v>
      </c>
      <c r="X1163" s="85"/>
      <c r="Y1163" s="81"/>
      <c r="Z1163" s="198"/>
      <c r="AA1163" s="84"/>
      <c r="AB1163" s="63"/>
      <c r="AC1163" s="81"/>
      <c r="AD1163" s="198"/>
      <c r="AE1163" s="198"/>
      <c r="AF1163" s="63"/>
      <c r="AG1163" s="81"/>
      <c r="AH1163" s="196"/>
      <c r="AI1163" s="84"/>
      <c r="AJ1163" s="63"/>
      <c r="AK1163" s="63"/>
      <c r="AL1163" s="196"/>
      <c r="AM1163" s="196">
        <v>0</v>
      </c>
      <c r="AN1163" s="196"/>
      <c r="AO1163" s="63"/>
      <c r="AP1163" s="63"/>
      <c r="AQ1163" s="63"/>
      <c r="AR1163" s="81"/>
      <c r="AS1163" s="63"/>
      <c r="AT1163" s="81"/>
      <c r="AU1163" s="63"/>
      <c r="AV1163" s="63"/>
      <c r="AW1163" s="63"/>
    </row>
    <row r="1164" spans="1:49" ht="357.75" thickTop="1" thickBot="1" x14ac:dyDescent="0.3">
      <c r="A1164" s="193">
        <v>119</v>
      </c>
      <c r="B1164" s="85" t="s">
        <v>3257</v>
      </c>
      <c r="C1164" s="105" t="s">
        <v>2834</v>
      </c>
      <c r="D1164" s="63" t="s">
        <v>714</v>
      </c>
      <c r="E1164" s="106" t="s">
        <v>2835</v>
      </c>
      <c r="F1164" s="63" t="s">
        <v>52</v>
      </c>
      <c r="G1164" s="63" t="s">
        <v>53</v>
      </c>
      <c r="H1164" s="111" t="s">
        <v>733</v>
      </c>
      <c r="I1164" s="63" t="s">
        <v>710</v>
      </c>
      <c r="J1164" s="63" t="s">
        <v>3183</v>
      </c>
      <c r="K1164" s="106">
        <v>801116</v>
      </c>
      <c r="L1164" s="106" t="s">
        <v>2836</v>
      </c>
      <c r="M1164" s="106" t="s">
        <v>2837</v>
      </c>
      <c r="N1164" s="106" t="s">
        <v>2838</v>
      </c>
      <c r="O1164" s="106" t="s">
        <v>2839</v>
      </c>
      <c r="P1164" s="111" t="s">
        <v>3258</v>
      </c>
      <c r="Q1164" s="198">
        <v>4532000</v>
      </c>
      <c r="R1164" s="63">
        <v>1</v>
      </c>
      <c r="S1164" s="198">
        <f>21149333-21149333</f>
        <v>0</v>
      </c>
      <c r="T1164" s="112" t="s">
        <v>888</v>
      </c>
      <c r="U1164" s="63" t="s">
        <v>445</v>
      </c>
      <c r="V1164" s="81">
        <v>43296</v>
      </c>
      <c r="W1164" s="199">
        <v>1</v>
      </c>
      <c r="X1164" s="85"/>
      <c r="Y1164" s="81"/>
      <c r="Z1164" s="198"/>
      <c r="AA1164" s="84"/>
      <c r="AB1164" s="63"/>
      <c r="AC1164" s="81"/>
      <c r="AD1164" s="198"/>
      <c r="AE1164" s="198"/>
      <c r="AF1164" s="63"/>
      <c r="AG1164" s="81"/>
      <c r="AH1164" s="196"/>
      <c r="AI1164" s="84"/>
      <c r="AJ1164" s="63"/>
      <c r="AK1164" s="63"/>
      <c r="AL1164" s="196"/>
      <c r="AM1164" s="196">
        <v>0</v>
      </c>
      <c r="AN1164" s="196"/>
      <c r="AO1164" s="63"/>
      <c r="AP1164" s="63"/>
      <c r="AQ1164" s="63"/>
      <c r="AR1164" s="81"/>
      <c r="AS1164" s="63"/>
      <c r="AT1164" s="81"/>
      <c r="AU1164" s="63"/>
      <c r="AV1164" s="63"/>
      <c r="AW1164" s="63"/>
    </row>
    <row r="1165" spans="1:49" ht="409.6" thickTop="1" thickBot="1" x14ac:dyDescent="0.3">
      <c r="A1165" s="193">
        <v>120</v>
      </c>
      <c r="B1165" s="85" t="s">
        <v>3259</v>
      </c>
      <c r="C1165" s="105" t="s">
        <v>2834</v>
      </c>
      <c r="D1165" s="63" t="s">
        <v>714</v>
      </c>
      <c r="E1165" s="106" t="s">
        <v>2835</v>
      </c>
      <c r="F1165" s="63" t="s">
        <v>52</v>
      </c>
      <c r="G1165" s="63" t="s">
        <v>53</v>
      </c>
      <c r="H1165" s="111" t="s">
        <v>733</v>
      </c>
      <c r="I1165" s="63" t="s">
        <v>710</v>
      </c>
      <c r="J1165" s="63" t="s">
        <v>3183</v>
      </c>
      <c r="K1165" s="106">
        <v>801116</v>
      </c>
      <c r="L1165" s="106" t="s">
        <v>2836</v>
      </c>
      <c r="M1165" s="106" t="s">
        <v>2837</v>
      </c>
      <c r="N1165" s="106" t="s">
        <v>2838</v>
      </c>
      <c r="O1165" s="106" t="s">
        <v>2839</v>
      </c>
      <c r="P1165" s="111" t="s">
        <v>2888</v>
      </c>
      <c r="Q1165" s="198">
        <v>3129655</v>
      </c>
      <c r="R1165" s="63">
        <v>1</v>
      </c>
      <c r="S1165" s="198">
        <f>12518620-12518620</f>
        <v>0</v>
      </c>
      <c r="T1165" s="112" t="s">
        <v>888</v>
      </c>
      <c r="U1165" s="63" t="s">
        <v>445</v>
      </c>
      <c r="V1165" s="81">
        <v>43296</v>
      </c>
      <c r="W1165" s="199">
        <v>1</v>
      </c>
      <c r="X1165" s="85"/>
      <c r="Y1165" s="81"/>
      <c r="Z1165" s="198"/>
      <c r="AA1165" s="84"/>
      <c r="AB1165" s="63"/>
      <c r="AC1165" s="81"/>
      <c r="AD1165" s="198"/>
      <c r="AE1165" s="198"/>
      <c r="AF1165" s="63"/>
      <c r="AG1165" s="81"/>
      <c r="AH1165" s="196"/>
      <c r="AI1165" s="84"/>
      <c r="AJ1165" s="63"/>
      <c r="AK1165" s="63"/>
      <c r="AL1165" s="196"/>
      <c r="AM1165" s="196">
        <v>0</v>
      </c>
      <c r="AN1165" s="196"/>
      <c r="AO1165" s="63"/>
      <c r="AP1165" s="63"/>
      <c r="AQ1165" s="63"/>
      <c r="AR1165" s="81"/>
      <c r="AS1165" s="63"/>
      <c r="AT1165" s="81"/>
      <c r="AU1165" s="63"/>
      <c r="AV1165" s="63"/>
      <c r="AW1165" s="63"/>
    </row>
    <row r="1166" spans="1:49" ht="409.6" thickTop="1" thickBot="1" x14ac:dyDescent="0.3">
      <c r="A1166" s="193">
        <v>121</v>
      </c>
      <c r="B1166" s="85" t="s">
        <v>3260</v>
      </c>
      <c r="C1166" s="105" t="s">
        <v>2834</v>
      </c>
      <c r="D1166" s="63" t="s">
        <v>714</v>
      </c>
      <c r="E1166" s="106" t="s">
        <v>2835</v>
      </c>
      <c r="F1166" s="63" t="s">
        <v>52</v>
      </c>
      <c r="G1166" s="63" t="s">
        <v>53</v>
      </c>
      <c r="H1166" s="111" t="s">
        <v>733</v>
      </c>
      <c r="I1166" s="63" t="s">
        <v>710</v>
      </c>
      <c r="J1166" s="63" t="s">
        <v>3183</v>
      </c>
      <c r="K1166" s="106">
        <v>801116</v>
      </c>
      <c r="L1166" s="106" t="s">
        <v>2836</v>
      </c>
      <c r="M1166" s="106" t="s">
        <v>2837</v>
      </c>
      <c r="N1166" s="106" t="s">
        <v>2838</v>
      </c>
      <c r="O1166" s="106" t="s">
        <v>2839</v>
      </c>
      <c r="P1166" s="111" t="s">
        <v>3171</v>
      </c>
      <c r="Q1166" s="198">
        <v>3500970</v>
      </c>
      <c r="R1166" s="63">
        <v>1</v>
      </c>
      <c r="S1166" s="198">
        <f>10502910-4922313-3961380-1619217</f>
        <v>0</v>
      </c>
      <c r="T1166" s="112" t="s">
        <v>888</v>
      </c>
      <c r="U1166" s="63" t="s">
        <v>445</v>
      </c>
      <c r="V1166" s="81">
        <v>43296</v>
      </c>
      <c r="W1166" s="199">
        <v>1</v>
      </c>
      <c r="X1166" s="85"/>
      <c r="Y1166" s="81"/>
      <c r="Z1166" s="198"/>
      <c r="AA1166" s="84"/>
      <c r="AB1166" s="63"/>
      <c r="AC1166" s="81"/>
      <c r="AD1166" s="198"/>
      <c r="AE1166" s="198"/>
      <c r="AF1166" s="63"/>
      <c r="AG1166" s="81"/>
      <c r="AH1166" s="196"/>
      <c r="AI1166" s="84"/>
      <c r="AJ1166" s="63"/>
      <c r="AK1166" s="63"/>
      <c r="AL1166" s="196"/>
      <c r="AM1166" s="196">
        <v>0</v>
      </c>
      <c r="AN1166" s="196"/>
      <c r="AO1166" s="63"/>
      <c r="AP1166" s="63"/>
      <c r="AQ1166" s="63"/>
      <c r="AR1166" s="81"/>
      <c r="AS1166" s="63"/>
      <c r="AT1166" s="81"/>
      <c r="AU1166" s="63"/>
      <c r="AV1166" s="63"/>
      <c r="AW1166" s="63"/>
    </row>
    <row r="1167" spans="1:49" ht="357.75" thickTop="1" thickBot="1" x14ac:dyDescent="0.3">
      <c r="A1167" s="193">
        <v>122</v>
      </c>
      <c r="B1167" s="85" t="s">
        <v>3261</v>
      </c>
      <c r="C1167" s="105" t="s">
        <v>2834</v>
      </c>
      <c r="D1167" s="63" t="s">
        <v>714</v>
      </c>
      <c r="E1167" s="106" t="s">
        <v>2835</v>
      </c>
      <c r="F1167" s="63" t="s">
        <v>52</v>
      </c>
      <c r="G1167" s="63" t="s">
        <v>53</v>
      </c>
      <c r="H1167" s="111" t="s">
        <v>733</v>
      </c>
      <c r="I1167" s="63" t="s">
        <v>710</v>
      </c>
      <c r="J1167" s="63" t="s">
        <v>3183</v>
      </c>
      <c r="K1167" s="106">
        <v>801116</v>
      </c>
      <c r="L1167" s="106" t="s">
        <v>2836</v>
      </c>
      <c r="M1167" s="106" t="s">
        <v>2837</v>
      </c>
      <c r="N1167" s="106" t="s">
        <v>2838</v>
      </c>
      <c r="O1167" s="106" t="s">
        <v>2839</v>
      </c>
      <c r="P1167" s="111" t="s">
        <v>3177</v>
      </c>
      <c r="Q1167" s="198">
        <v>2546160</v>
      </c>
      <c r="R1167" s="63">
        <v>1</v>
      </c>
      <c r="S1167" s="198">
        <f>7638480-7638480</f>
        <v>0</v>
      </c>
      <c r="T1167" s="112" t="s">
        <v>888</v>
      </c>
      <c r="U1167" s="63" t="s">
        <v>445</v>
      </c>
      <c r="V1167" s="81">
        <v>43296</v>
      </c>
      <c r="W1167" s="199">
        <v>1</v>
      </c>
      <c r="X1167" s="85"/>
      <c r="Y1167" s="81"/>
      <c r="Z1167" s="198"/>
      <c r="AA1167" s="84"/>
      <c r="AB1167" s="63"/>
      <c r="AC1167" s="81"/>
      <c r="AD1167" s="198"/>
      <c r="AE1167" s="198"/>
      <c r="AF1167" s="63"/>
      <c r="AG1167" s="81"/>
      <c r="AH1167" s="196"/>
      <c r="AI1167" s="84"/>
      <c r="AJ1167" s="63"/>
      <c r="AK1167" s="63"/>
      <c r="AL1167" s="196"/>
      <c r="AM1167" s="196">
        <v>0</v>
      </c>
      <c r="AN1167" s="196"/>
      <c r="AO1167" s="63"/>
      <c r="AP1167" s="63"/>
      <c r="AQ1167" s="63"/>
      <c r="AR1167" s="81"/>
      <c r="AS1167" s="63"/>
      <c r="AT1167" s="81"/>
      <c r="AU1167" s="63"/>
      <c r="AV1167" s="63"/>
      <c r="AW1167" s="63"/>
    </row>
    <row r="1168" spans="1:49" ht="357.75" thickTop="1" thickBot="1" x14ac:dyDescent="0.3">
      <c r="A1168" s="193">
        <v>123</v>
      </c>
      <c r="B1168" s="85" t="s">
        <v>3262</v>
      </c>
      <c r="C1168" s="105" t="s">
        <v>2834</v>
      </c>
      <c r="D1168" s="63" t="s">
        <v>714</v>
      </c>
      <c r="E1168" s="106" t="s">
        <v>2835</v>
      </c>
      <c r="F1168" s="63" t="s">
        <v>52</v>
      </c>
      <c r="G1168" s="63" t="s">
        <v>53</v>
      </c>
      <c r="H1168" s="111" t="s">
        <v>733</v>
      </c>
      <c r="I1168" s="63" t="s">
        <v>710</v>
      </c>
      <c r="J1168" s="63" t="s">
        <v>3183</v>
      </c>
      <c r="K1168" s="106">
        <v>801116</v>
      </c>
      <c r="L1168" s="106" t="s">
        <v>2836</v>
      </c>
      <c r="M1168" s="106" t="s">
        <v>2837</v>
      </c>
      <c r="N1168" s="106" t="s">
        <v>2838</v>
      </c>
      <c r="O1168" s="106" t="s">
        <v>2839</v>
      </c>
      <c r="P1168" s="119" t="s">
        <v>3263</v>
      </c>
      <c r="Q1168" s="198">
        <v>4532000</v>
      </c>
      <c r="R1168" s="63">
        <v>1</v>
      </c>
      <c r="S1168" s="198">
        <f>24926000-2581810-1510667-2231667-291833-755333-2156190-15398500</f>
        <v>0</v>
      </c>
      <c r="T1168" s="112" t="s">
        <v>888</v>
      </c>
      <c r="U1168" s="63" t="s">
        <v>445</v>
      </c>
      <c r="V1168" s="81">
        <v>43296</v>
      </c>
      <c r="W1168" s="199">
        <v>1</v>
      </c>
      <c r="X1168" s="85"/>
      <c r="Y1168" s="81"/>
      <c r="Z1168" s="198"/>
      <c r="AA1168" s="84"/>
      <c r="AB1168" s="63"/>
      <c r="AC1168" s="81"/>
      <c r="AD1168" s="198"/>
      <c r="AE1168" s="198"/>
      <c r="AF1168" s="63"/>
      <c r="AG1168" s="81"/>
      <c r="AH1168" s="196"/>
      <c r="AI1168" s="84"/>
      <c r="AJ1168" s="63"/>
      <c r="AK1168" s="63"/>
      <c r="AL1168" s="196"/>
      <c r="AM1168" s="196">
        <v>0</v>
      </c>
      <c r="AN1168" s="196"/>
      <c r="AO1168" s="63"/>
      <c r="AP1168" s="63"/>
      <c r="AQ1168" s="63"/>
      <c r="AR1168" s="81"/>
      <c r="AS1168" s="63"/>
      <c r="AT1168" s="81"/>
      <c r="AU1168" s="63"/>
      <c r="AV1168" s="63"/>
      <c r="AW1168" s="63"/>
    </row>
    <row r="1169" spans="1:49" ht="357.75" thickTop="1" thickBot="1" x14ac:dyDescent="0.3">
      <c r="A1169" s="193">
        <v>124</v>
      </c>
      <c r="B1169" s="85" t="s">
        <v>3264</v>
      </c>
      <c r="C1169" s="105" t="s">
        <v>2834</v>
      </c>
      <c r="D1169" s="63" t="s">
        <v>714</v>
      </c>
      <c r="E1169" s="106" t="s">
        <v>2835</v>
      </c>
      <c r="F1169" s="63" t="s">
        <v>52</v>
      </c>
      <c r="G1169" s="63" t="s">
        <v>53</v>
      </c>
      <c r="H1169" s="111" t="s">
        <v>733</v>
      </c>
      <c r="I1169" s="63" t="s">
        <v>710</v>
      </c>
      <c r="J1169" s="63" t="s">
        <v>3183</v>
      </c>
      <c r="K1169" s="106">
        <v>801116</v>
      </c>
      <c r="L1169" s="106" t="s">
        <v>2836</v>
      </c>
      <c r="M1169" s="106" t="s">
        <v>2837</v>
      </c>
      <c r="N1169" s="106" t="s">
        <v>2838</v>
      </c>
      <c r="O1169" s="106" t="s">
        <v>2839</v>
      </c>
      <c r="P1169" s="119" t="s">
        <v>3226</v>
      </c>
      <c r="Q1169" s="198">
        <v>1751000</v>
      </c>
      <c r="R1169" s="63">
        <v>1</v>
      </c>
      <c r="S1169" s="198">
        <f>9572133-8755000-817133</f>
        <v>0</v>
      </c>
      <c r="T1169" s="112" t="s">
        <v>888</v>
      </c>
      <c r="U1169" s="63" t="s">
        <v>445</v>
      </c>
      <c r="V1169" s="81">
        <v>43296</v>
      </c>
      <c r="W1169" s="199">
        <v>1</v>
      </c>
      <c r="X1169" s="85"/>
      <c r="Y1169" s="81"/>
      <c r="Z1169" s="198"/>
      <c r="AA1169" s="84"/>
      <c r="AB1169" s="63"/>
      <c r="AC1169" s="81"/>
      <c r="AD1169" s="198"/>
      <c r="AE1169" s="198"/>
      <c r="AF1169" s="63"/>
      <c r="AG1169" s="81"/>
      <c r="AH1169" s="196"/>
      <c r="AI1169" s="84"/>
      <c r="AJ1169" s="63"/>
      <c r="AK1169" s="63"/>
      <c r="AL1169" s="196"/>
      <c r="AM1169" s="196">
        <v>0</v>
      </c>
      <c r="AN1169" s="196"/>
      <c r="AO1169" s="63"/>
      <c r="AP1169" s="63"/>
      <c r="AQ1169" s="63"/>
      <c r="AR1169" s="81"/>
      <c r="AS1169" s="63"/>
      <c r="AT1169" s="81"/>
      <c r="AU1169" s="63"/>
      <c r="AV1169" s="63"/>
      <c r="AW1169" s="63"/>
    </row>
    <row r="1170" spans="1:49" ht="357.75" thickTop="1" thickBot="1" x14ac:dyDescent="0.3">
      <c r="A1170" s="193">
        <v>125</v>
      </c>
      <c r="B1170" s="85" t="s">
        <v>3265</v>
      </c>
      <c r="C1170" s="105" t="s">
        <v>2834</v>
      </c>
      <c r="D1170" s="63" t="s">
        <v>714</v>
      </c>
      <c r="E1170" s="106" t="s">
        <v>2835</v>
      </c>
      <c r="F1170" s="63" t="s">
        <v>52</v>
      </c>
      <c r="G1170" s="63" t="s">
        <v>53</v>
      </c>
      <c r="H1170" s="111" t="s">
        <v>733</v>
      </c>
      <c r="I1170" s="63" t="s">
        <v>710</v>
      </c>
      <c r="J1170" s="63" t="s">
        <v>3183</v>
      </c>
      <c r="K1170" s="106">
        <v>801116</v>
      </c>
      <c r="L1170" s="106" t="s">
        <v>2836</v>
      </c>
      <c r="M1170" s="106" t="s">
        <v>2837</v>
      </c>
      <c r="N1170" s="106" t="s">
        <v>2838</v>
      </c>
      <c r="O1170" s="106" t="s">
        <v>2839</v>
      </c>
      <c r="P1170" s="119" t="s">
        <v>3266</v>
      </c>
      <c r="Q1170" s="198">
        <v>3399000</v>
      </c>
      <c r="R1170" s="63">
        <v>1</v>
      </c>
      <c r="S1170" s="198">
        <f>18694500-3399000-2169867-13125633</f>
        <v>0</v>
      </c>
      <c r="T1170" s="112" t="s">
        <v>888</v>
      </c>
      <c r="U1170" s="63" t="s">
        <v>445</v>
      </c>
      <c r="V1170" s="81">
        <v>43296</v>
      </c>
      <c r="W1170" s="199">
        <v>1</v>
      </c>
      <c r="X1170" s="85"/>
      <c r="Y1170" s="81"/>
      <c r="Z1170" s="198"/>
      <c r="AA1170" s="84"/>
      <c r="AB1170" s="63"/>
      <c r="AC1170" s="81"/>
      <c r="AD1170" s="198"/>
      <c r="AE1170" s="198"/>
      <c r="AF1170" s="63"/>
      <c r="AG1170" s="81"/>
      <c r="AH1170" s="196"/>
      <c r="AI1170" s="84"/>
      <c r="AJ1170" s="63"/>
      <c r="AK1170" s="63"/>
      <c r="AL1170" s="196"/>
      <c r="AM1170" s="196">
        <v>0</v>
      </c>
      <c r="AN1170" s="196"/>
      <c r="AO1170" s="63"/>
      <c r="AP1170" s="63"/>
      <c r="AQ1170" s="63"/>
      <c r="AR1170" s="81"/>
      <c r="AS1170" s="63"/>
      <c r="AT1170" s="81"/>
      <c r="AU1170" s="63"/>
      <c r="AV1170" s="63"/>
      <c r="AW1170" s="63"/>
    </row>
    <row r="1171" spans="1:49" ht="357.75" thickTop="1" thickBot="1" x14ac:dyDescent="0.3">
      <c r="A1171" s="193">
        <v>126</v>
      </c>
      <c r="B1171" s="85" t="s">
        <v>3267</v>
      </c>
      <c r="C1171" s="105" t="s">
        <v>2834</v>
      </c>
      <c r="D1171" s="63" t="s">
        <v>714</v>
      </c>
      <c r="E1171" s="106" t="s">
        <v>2835</v>
      </c>
      <c r="F1171" s="63" t="s">
        <v>52</v>
      </c>
      <c r="G1171" s="63" t="s">
        <v>53</v>
      </c>
      <c r="H1171" s="111" t="s">
        <v>733</v>
      </c>
      <c r="I1171" s="63" t="s">
        <v>710</v>
      </c>
      <c r="J1171" s="63" t="s">
        <v>3183</v>
      </c>
      <c r="K1171" s="106">
        <v>801116</v>
      </c>
      <c r="L1171" s="106" t="s">
        <v>2836</v>
      </c>
      <c r="M1171" s="106" t="s">
        <v>2837</v>
      </c>
      <c r="N1171" s="106" t="s">
        <v>2838</v>
      </c>
      <c r="O1171" s="106" t="s">
        <v>2839</v>
      </c>
      <c r="P1171" s="119" t="s">
        <v>3188</v>
      </c>
      <c r="Q1171" s="198">
        <v>5253000</v>
      </c>
      <c r="R1171" s="63">
        <v>1</v>
      </c>
      <c r="S1171" s="198">
        <f>28940557-1133000-4639367-16995000-6173190</f>
        <v>0</v>
      </c>
      <c r="T1171" s="112" t="s">
        <v>888</v>
      </c>
      <c r="U1171" s="63" t="s">
        <v>445</v>
      </c>
      <c r="V1171" s="81">
        <v>43296</v>
      </c>
      <c r="W1171" s="199">
        <v>1</v>
      </c>
      <c r="X1171" s="85"/>
      <c r="Y1171" s="81"/>
      <c r="Z1171" s="198"/>
      <c r="AA1171" s="84"/>
      <c r="AB1171" s="63"/>
      <c r="AC1171" s="81"/>
      <c r="AD1171" s="198"/>
      <c r="AE1171" s="198"/>
      <c r="AF1171" s="63"/>
      <c r="AG1171" s="81"/>
      <c r="AH1171" s="196"/>
      <c r="AI1171" s="84"/>
      <c r="AJ1171" s="63"/>
      <c r="AK1171" s="63"/>
      <c r="AL1171" s="196"/>
      <c r="AM1171" s="196">
        <v>0</v>
      </c>
      <c r="AN1171" s="196"/>
      <c r="AO1171" s="63"/>
      <c r="AP1171" s="63"/>
      <c r="AQ1171" s="63"/>
      <c r="AR1171" s="81"/>
      <c r="AS1171" s="63"/>
      <c r="AT1171" s="81"/>
      <c r="AU1171" s="63"/>
      <c r="AV1171" s="63"/>
      <c r="AW1171" s="63"/>
    </row>
    <row r="1172" spans="1:49" ht="357.75" thickTop="1" thickBot="1" x14ac:dyDescent="0.3">
      <c r="A1172" s="193">
        <v>127</v>
      </c>
      <c r="B1172" s="85" t="s">
        <v>3268</v>
      </c>
      <c r="C1172" s="105" t="s">
        <v>2834</v>
      </c>
      <c r="D1172" s="63" t="s">
        <v>714</v>
      </c>
      <c r="E1172" s="106" t="s">
        <v>2835</v>
      </c>
      <c r="F1172" s="63" t="s">
        <v>52</v>
      </c>
      <c r="G1172" s="63" t="s">
        <v>53</v>
      </c>
      <c r="H1172" s="111" t="s">
        <v>733</v>
      </c>
      <c r="I1172" s="63" t="s">
        <v>710</v>
      </c>
      <c r="J1172" s="63" t="s">
        <v>3183</v>
      </c>
      <c r="K1172" s="106">
        <v>801116</v>
      </c>
      <c r="L1172" s="106" t="s">
        <v>2836</v>
      </c>
      <c r="M1172" s="106" t="s">
        <v>2837</v>
      </c>
      <c r="N1172" s="106" t="s">
        <v>2838</v>
      </c>
      <c r="O1172" s="106" t="s">
        <v>2839</v>
      </c>
      <c r="P1172" s="111" t="s">
        <v>3269</v>
      </c>
      <c r="Q1172" s="198"/>
      <c r="R1172" s="63">
        <v>1</v>
      </c>
      <c r="S1172" s="198">
        <v>8755000</v>
      </c>
      <c r="T1172" s="112" t="s">
        <v>888</v>
      </c>
      <c r="U1172" s="63" t="s">
        <v>445</v>
      </c>
      <c r="V1172" s="81">
        <v>43293</v>
      </c>
      <c r="W1172" s="199">
        <v>5</v>
      </c>
      <c r="X1172" s="85" t="s">
        <v>3270</v>
      </c>
      <c r="Y1172" s="81">
        <v>43293</v>
      </c>
      <c r="Z1172" s="196">
        <v>8755000</v>
      </c>
      <c r="AA1172" s="84"/>
      <c r="AB1172" s="63">
        <v>1003</v>
      </c>
      <c r="AC1172" s="81">
        <v>43306</v>
      </c>
      <c r="AD1172" s="196">
        <v>8755000</v>
      </c>
      <c r="AE1172" s="198"/>
      <c r="AF1172" s="63">
        <v>2624</v>
      </c>
      <c r="AG1172" s="81">
        <v>43325</v>
      </c>
      <c r="AH1172" s="196">
        <v>8755000</v>
      </c>
      <c r="AI1172" s="84" t="s">
        <v>3271</v>
      </c>
      <c r="AJ1172" s="63">
        <v>480</v>
      </c>
      <c r="AK1172" s="63"/>
      <c r="AL1172" s="196">
        <v>8755000</v>
      </c>
      <c r="AM1172" s="196">
        <f>+VLOOKUP(AF1172,'[2]CRP a 31 Agosto de 2018'!$J$8:$V$2956,13,0)</f>
        <v>0</v>
      </c>
      <c r="AN1172" s="196">
        <f>AL1172-AM1172</f>
        <v>8755000</v>
      </c>
      <c r="AO1172" s="63"/>
      <c r="AP1172" s="63"/>
      <c r="AQ1172" s="63"/>
      <c r="AR1172" s="81"/>
      <c r="AS1172" s="63"/>
      <c r="AT1172" s="81"/>
      <c r="AU1172" s="63"/>
      <c r="AV1172" s="63"/>
      <c r="AW1172" s="63"/>
    </row>
    <row r="1173" spans="1:49" ht="357.75" thickTop="1" thickBot="1" x14ac:dyDescent="0.3">
      <c r="A1173" s="193">
        <v>128</v>
      </c>
      <c r="B1173" s="85" t="s">
        <v>3272</v>
      </c>
      <c r="C1173" s="105" t="s">
        <v>2834</v>
      </c>
      <c r="D1173" s="63" t="s">
        <v>714</v>
      </c>
      <c r="E1173" s="106" t="s">
        <v>2835</v>
      </c>
      <c r="F1173" s="63" t="s">
        <v>52</v>
      </c>
      <c r="G1173" s="63" t="s">
        <v>53</v>
      </c>
      <c r="H1173" s="111" t="s">
        <v>733</v>
      </c>
      <c r="I1173" s="63" t="s">
        <v>710</v>
      </c>
      <c r="J1173" s="63" t="s">
        <v>3183</v>
      </c>
      <c r="K1173" s="106">
        <v>801116</v>
      </c>
      <c r="L1173" s="106" t="s">
        <v>2836</v>
      </c>
      <c r="M1173" s="106" t="s">
        <v>2837</v>
      </c>
      <c r="N1173" s="106" t="s">
        <v>2838</v>
      </c>
      <c r="O1173" s="106" t="s">
        <v>2839</v>
      </c>
      <c r="P1173" s="111" t="s">
        <v>3188</v>
      </c>
      <c r="Q1173" s="198"/>
      <c r="R1173" s="63">
        <v>1</v>
      </c>
      <c r="S1173" s="198">
        <f>29767000+1133000-4120000</f>
        <v>26780000</v>
      </c>
      <c r="T1173" s="112" t="s">
        <v>888</v>
      </c>
      <c r="U1173" s="63" t="s">
        <v>445</v>
      </c>
      <c r="V1173" s="81">
        <v>43293</v>
      </c>
      <c r="W1173" s="199">
        <v>5</v>
      </c>
      <c r="X1173" s="85" t="s">
        <v>3273</v>
      </c>
      <c r="Y1173" s="81" t="s">
        <v>3274</v>
      </c>
      <c r="Z1173" s="198">
        <v>30900000</v>
      </c>
      <c r="AA1173" s="84"/>
      <c r="AB1173" s="63">
        <v>977</v>
      </c>
      <c r="AC1173" s="81">
        <v>43297</v>
      </c>
      <c r="AD1173" s="198">
        <v>30900000</v>
      </c>
      <c r="AE1173" s="198">
        <f>Z1173-AH1173</f>
        <v>4120000</v>
      </c>
      <c r="AF1173" s="63">
        <v>2770</v>
      </c>
      <c r="AG1173" s="81">
        <v>43343</v>
      </c>
      <c r="AH1173" s="196">
        <v>26780000</v>
      </c>
      <c r="AI1173" s="84" t="s">
        <v>3275</v>
      </c>
      <c r="AJ1173" s="63">
        <v>542</v>
      </c>
      <c r="AK1173" s="63"/>
      <c r="AL1173" s="196">
        <v>26780000</v>
      </c>
      <c r="AM1173" s="196">
        <f>+VLOOKUP(AF1173,'[2]CRP a 31 Agosto de 2018'!$J$8:$V$2956,13,0)</f>
        <v>0</v>
      </c>
      <c r="AN1173" s="196">
        <f>AL1173-AM1173</f>
        <v>26780000</v>
      </c>
      <c r="AO1173" s="63"/>
      <c r="AP1173" s="63"/>
      <c r="AQ1173" s="63"/>
      <c r="AR1173" s="81"/>
      <c r="AS1173" s="63"/>
      <c r="AT1173" s="81"/>
      <c r="AU1173" s="63"/>
      <c r="AV1173" s="63"/>
      <c r="AW1173" s="63"/>
    </row>
    <row r="1174" spans="1:49" ht="357.75" thickTop="1" thickBot="1" x14ac:dyDescent="0.3">
      <c r="A1174" s="193">
        <v>129</v>
      </c>
      <c r="B1174" s="85" t="s">
        <v>3276</v>
      </c>
      <c r="C1174" s="105" t="s">
        <v>2834</v>
      </c>
      <c r="D1174" s="63" t="s">
        <v>714</v>
      </c>
      <c r="E1174" s="106" t="s">
        <v>2835</v>
      </c>
      <c r="F1174" s="63" t="s">
        <v>52</v>
      </c>
      <c r="G1174" s="63" t="s">
        <v>53</v>
      </c>
      <c r="H1174" s="111" t="s">
        <v>733</v>
      </c>
      <c r="I1174" s="63" t="s">
        <v>710</v>
      </c>
      <c r="J1174" s="63" t="s">
        <v>3183</v>
      </c>
      <c r="K1174" s="106">
        <v>801116</v>
      </c>
      <c r="L1174" s="106" t="s">
        <v>2836</v>
      </c>
      <c r="M1174" s="106" t="s">
        <v>2837</v>
      </c>
      <c r="N1174" s="106" t="s">
        <v>2838</v>
      </c>
      <c r="O1174" s="106" t="s">
        <v>2839</v>
      </c>
      <c r="P1174" s="111" t="s">
        <v>3266</v>
      </c>
      <c r="Q1174" s="198">
        <v>4532000</v>
      </c>
      <c r="R1174" s="63">
        <v>1</v>
      </c>
      <c r="S1174" s="198">
        <f>+Q1174*5</f>
        <v>22660000</v>
      </c>
      <c r="T1174" s="112" t="s">
        <v>888</v>
      </c>
      <c r="U1174" s="63" t="s">
        <v>445</v>
      </c>
      <c r="V1174" s="81">
        <v>43293</v>
      </c>
      <c r="W1174" s="199">
        <v>5</v>
      </c>
      <c r="X1174" s="85" t="s">
        <v>3277</v>
      </c>
      <c r="Y1174" s="81" t="s">
        <v>3274</v>
      </c>
      <c r="Z1174" s="198">
        <v>22660000</v>
      </c>
      <c r="AA1174" s="84"/>
      <c r="AB1174" s="63">
        <v>978</v>
      </c>
      <c r="AC1174" s="81">
        <v>43297</v>
      </c>
      <c r="AD1174" s="198">
        <v>22660000</v>
      </c>
      <c r="AE1174" s="198"/>
      <c r="AF1174" s="63">
        <v>2588</v>
      </c>
      <c r="AG1174" s="81">
        <v>43315</v>
      </c>
      <c r="AH1174" s="196">
        <v>22660000</v>
      </c>
      <c r="AI1174" s="84" t="s">
        <v>3278</v>
      </c>
      <c r="AJ1174" s="63">
        <v>479</v>
      </c>
      <c r="AK1174" s="63"/>
      <c r="AL1174" s="196">
        <v>22660000</v>
      </c>
      <c r="AM1174" s="196">
        <f>+VLOOKUP(AF1174,'[2]CRP a 31 Agosto de 2018'!$J$8:$V$2956,13,0)</f>
        <v>0</v>
      </c>
      <c r="AN1174" s="196">
        <f>AL1174-AM1174</f>
        <v>22660000</v>
      </c>
      <c r="AO1174" s="63"/>
      <c r="AP1174" s="63"/>
      <c r="AQ1174" s="63"/>
      <c r="AR1174" s="81"/>
      <c r="AS1174" s="63"/>
      <c r="AT1174" s="81"/>
      <c r="AU1174" s="63"/>
      <c r="AV1174" s="63"/>
      <c r="AW1174" s="63"/>
    </row>
    <row r="1175" spans="1:49" ht="357.75" thickTop="1" thickBot="1" x14ac:dyDescent="0.3">
      <c r="A1175" s="193">
        <v>130</v>
      </c>
      <c r="B1175" s="85" t="s">
        <v>3279</v>
      </c>
      <c r="C1175" s="105" t="s">
        <v>2834</v>
      </c>
      <c r="D1175" s="63" t="s">
        <v>714</v>
      </c>
      <c r="E1175" s="106" t="s">
        <v>2835</v>
      </c>
      <c r="F1175" s="63" t="s">
        <v>52</v>
      </c>
      <c r="G1175" s="63" t="s">
        <v>53</v>
      </c>
      <c r="H1175" s="111" t="s">
        <v>733</v>
      </c>
      <c r="I1175" s="63" t="s">
        <v>55</v>
      </c>
      <c r="J1175" s="106" t="s">
        <v>56</v>
      </c>
      <c r="K1175" s="106">
        <v>801116</v>
      </c>
      <c r="L1175" s="106" t="s">
        <v>2836</v>
      </c>
      <c r="M1175" s="106" t="s">
        <v>2837</v>
      </c>
      <c r="N1175" s="106" t="s">
        <v>2838</v>
      </c>
      <c r="O1175" s="106" t="s">
        <v>2839</v>
      </c>
      <c r="P1175" s="111" t="s">
        <v>3280</v>
      </c>
      <c r="Q1175" s="198">
        <f>+S1175/5</f>
        <v>0</v>
      </c>
      <c r="R1175" s="63">
        <v>1</v>
      </c>
      <c r="S1175" s="198">
        <f>15000000+7335000+2848500-15000000-7335000-2848500</f>
        <v>0</v>
      </c>
      <c r="T1175" s="112" t="s">
        <v>888</v>
      </c>
      <c r="U1175" s="63" t="s">
        <v>445</v>
      </c>
      <c r="V1175" s="81">
        <v>43293</v>
      </c>
      <c r="W1175" s="199">
        <v>5</v>
      </c>
      <c r="X1175" s="85" t="s">
        <v>3281</v>
      </c>
      <c r="Y1175" s="81"/>
      <c r="Z1175" s="198"/>
      <c r="AA1175" s="84"/>
      <c r="AB1175" s="63"/>
      <c r="AC1175" s="81"/>
      <c r="AD1175" s="198"/>
      <c r="AE1175" s="198"/>
      <c r="AF1175" s="63"/>
      <c r="AG1175" s="81"/>
      <c r="AH1175" s="196"/>
      <c r="AI1175" s="84"/>
      <c r="AJ1175" s="63"/>
      <c r="AK1175" s="63"/>
      <c r="AL1175" s="196"/>
      <c r="AM1175" s="196">
        <v>0</v>
      </c>
      <c r="AN1175" s="196"/>
      <c r="AO1175" s="63"/>
      <c r="AP1175" s="63"/>
      <c r="AQ1175" s="63" t="s">
        <v>3282</v>
      </c>
      <c r="AR1175" s="81"/>
      <c r="AS1175" s="63"/>
      <c r="AT1175" s="81"/>
      <c r="AU1175" s="63"/>
      <c r="AV1175" s="63"/>
      <c r="AW1175" s="63"/>
    </row>
    <row r="1176" spans="1:49" ht="343.5" thickTop="1" thickBot="1" x14ac:dyDescent="0.3">
      <c r="A1176" s="193">
        <v>131</v>
      </c>
      <c r="B1176" s="85" t="s">
        <v>3283</v>
      </c>
      <c r="C1176" s="105" t="s">
        <v>2834</v>
      </c>
      <c r="D1176" s="63" t="s">
        <v>714</v>
      </c>
      <c r="E1176" s="106" t="s">
        <v>2843</v>
      </c>
      <c r="F1176" s="63" t="s">
        <v>52</v>
      </c>
      <c r="G1176" s="63" t="s">
        <v>53</v>
      </c>
      <c r="H1176" s="111" t="s">
        <v>733</v>
      </c>
      <c r="I1176" s="63" t="s">
        <v>55</v>
      </c>
      <c r="J1176" s="106" t="s">
        <v>56</v>
      </c>
      <c r="K1176" s="106">
        <v>801116</v>
      </c>
      <c r="L1176" s="106" t="s">
        <v>2836</v>
      </c>
      <c r="M1176" s="106" t="s">
        <v>2837</v>
      </c>
      <c r="N1176" s="106" t="s">
        <v>2838</v>
      </c>
      <c r="O1176" s="106" t="s">
        <v>2839</v>
      </c>
      <c r="P1176" s="111" t="s">
        <v>3284</v>
      </c>
      <c r="Q1176" s="198">
        <f t="shared" ref="Q1176:Q1181" si="130">+S1176/W1176</f>
        <v>9800000</v>
      </c>
      <c r="R1176" s="63">
        <v>1</v>
      </c>
      <c r="S1176" s="198">
        <v>49000000</v>
      </c>
      <c r="T1176" s="112" t="s">
        <v>888</v>
      </c>
      <c r="U1176" s="63" t="s">
        <v>445</v>
      </c>
      <c r="V1176" s="81">
        <v>43305</v>
      </c>
      <c r="W1176" s="199">
        <v>5</v>
      </c>
      <c r="X1176" s="85" t="s">
        <v>3285</v>
      </c>
      <c r="Y1176" s="81">
        <v>43306</v>
      </c>
      <c r="Z1176" s="198">
        <v>49000000</v>
      </c>
      <c r="AA1176" s="84"/>
      <c r="AB1176" s="63">
        <v>1007</v>
      </c>
      <c r="AC1176" s="81">
        <v>43308</v>
      </c>
      <c r="AD1176" s="198"/>
      <c r="AE1176" s="198"/>
      <c r="AF1176" s="63">
        <v>2591</v>
      </c>
      <c r="AG1176" s="81">
        <v>43315</v>
      </c>
      <c r="AH1176" s="196">
        <v>49000000</v>
      </c>
      <c r="AI1176" s="84" t="s">
        <v>3286</v>
      </c>
      <c r="AJ1176" s="63">
        <v>481</v>
      </c>
      <c r="AK1176" s="63"/>
      <c r="AL1176" s="196">
        <v>49000000</v>
      </c>
      <c r="AM1176" s="196">
        <f>+VLOOKUP(AF1176,'[2]CRP a 31 Agosto de 2018'!$J$8:$V$2956,13,0)</f>
        <v>0</v>
      </c>
      <c r="AN1176" s="196">
        <f t="shared" ref="AN1176:AN1186" si="131">AL1176-AM1176</f>
        <v>49000000</v>
      </c>
      <c r="AO1176" s="63"/>
      <c r="AP1176" s="63"/>
      <c r="AQ1176" s="63"/>
      <c r="AR1176" s="81"/>
      <c r="AS1176" s="63"/>
      <c r="AT1176" s="81"/>
      <c r="AU1176" s="63"/>
      <c r="AV1176" s="63"/>
      <c r="AW1176" s="63"/>
    </row>
    <row r="1177" spans="1:49" ht="409.6" thickTop="1" thickBot="1" x14ac:dyDescent="0.3">
      <c r="A1177" s="193">
        <v>132</v>
      </c>
      <c r="B1177" s="85" t="s">
        <v>3287</v>
      </c>
      <c r="C1177" s="105" t="s">
        <v>2834</v>
      </c>
      <c r="D1177" s="63" t="s">
        <v>714</v>
      </c>
      <c r="E1177" s="106" t="s">
        <v>2835</v>
      </c>
      <c r="F1177" s="63" t="s">
        <v>52</v>
      </c>
      <c r="G1177" s="63" t="s">
        <v>53</v>
      </c>
      <c r="H1177" s="111" t="s">
        <v>733</v>
      </c>
      <c r="I1177" s="63" t="s">
        <v>55</v>
      </c>
      <c r="J1177" s="106" t="s">
        <v>56</v>
      </c>
      <c r="K1177" s="106">
        <v>801116</v>
      </c>
      <c r="L1177" s="106" t="s">
        <v>2836</v>
      </c>
      <c r="M1177" s="106" t="s">
        <v>2837</v>
      </c>
      <c r="N1177" s="106" t="s">
        <v>2838</v>
      </c>
      <c r="O1177" s="106" t="s">
        <v>2839</v>
      </c>
      <c r="P1177" s="111" t="s">
        <v>3288</v>
      </c>
      <c r="Q1177" s="198">
        <f t="shared" si="130"/>
        <v>6695000</v>
      </c>
      <c r="R1177" s="63">
        <v>1</v>
      </c>
      <c r="S1177" s="198">
        <f>3450000+4950000+3300000+4950000+3450000+4000000+3300000+1273500+4801500</f>
        <v>33475000</v>
      </c>
      <c r="T1177" s="112" t="s">
        <v>888</v>
      </c>
      <c r="U1177" s="63" t="s">
        <v>445</v>
      </c>
      <c r="V1177" s="81">
        <v>43293</v>
      </c>
      <c r="W1177" s="199">
        <v>5</v>
      </c>
      <c r="X1177" s="85" t="s">
        <v>3289</v>
      </c>
      <c r="Y1177" s="81">
        <v>43306</v>
      </c>
      <c r="Z1177" s="198">
        <f>3450000+4950000+3300000+4950000+3450000+4000000+3300000+1273500+4801500</f>
        <v>33475000</v>
      </c>
      <c r="AA1177" s="84"/>
      <c r="AB1177" s="63">
        <v>1006</v>
      </c>
      <c r="AC1177" s="81">
        <v>43308</v>
      </c>
      <c r="AD1177" s="196">
        <v>33475000</v>
      </c>
      <c r="AE1177" s="198"/>
      <c r="AF1177" s="63">
        <v>2596</v>
      </c>
      <c r="AG1177" s="81">
        <v>43315</v>
      </c>
      <c r="AH1177" s="196">
        <v>33475000</v>
      </c>
      <c r="AI1177" s="84" t="s">
        <v>3290</v>
      </c>
      <c r="AJ1177" s="63">
        <v>478</v>
      </c>
      <c r="AK1177" s="63"/>
      <c r="AL1177" s="196">
        <v>33475000</v>
      </c>
      <c r="AM1177" s="196">
        <f>+VLOOKUP(AF1177,'[2]CRP a 31 Agosto de 2018'!$J$8:$V$2956,13,0)</f>
        <v>0</v>
      </c>
      <c r="AN1177" s="196">
        <f t="shared" si="131"/>
        <v>33475000</v>
      </c>
      <c r="AO1177" s="63"/>
      <c r="AP1177" s="63"/>
      <c r="AQ1177" s="63"/>
      <c r="AR1177" s="81"/>
      <c r="AS1177" s="63"/>
      <c r="AT1177" s="81"/>
      <c r="AU1177" s="63"/>
      <c r="AV1177" s="63"/>
      <c r="AW1177" s="63"/>
    </row>
    <row r="1178" spans="1:49" ht="357.75" thickTop="1" thickBot="1" x14ac:dyDescent="0.3">
      <c r="A1178" s="193">
        <v>133</v>
      </c>
      <c r="B1178" s="85" t="s">
        <v>3291</v>
      </c>
      <c r="C1178" s="105" t="s">
        <v>2834</v>
      </c>
      <c r="D1178" s="63" t="s">
        <v>714</v>
      </c>
      <c r="E1178" s="106" t="s">
        <v>2835</v>
      </c>
      <c r="F1178" s="63" t="s">
        <v>52</v>
      </c>
      <c r="G1178" s="63" t="s">
        <v>53</v>
      </c>
      <c r="H1178" s="111" t="s">
        <v>733</v>
      </c>
      <c r="I1178" s="63" t="s">
        <v>710</v>
      </c>
      <c r="J1178" s="63" t="s">
        <v>3183</v>
      </c>
      <c r="K1178" s="106">
        <v>801116</v>
      </c>
      <c r="L1178" s="106" t="s">
        <v>2836</v>
      </c>
      <c r="M1178" s="106" t="s">
        <v>2837</v>
      </c>
      <c r="N1178" s="106" t="s">
        <v>2838</v>
      </c>
      <c r="O1178" s="106" t="s">
        <v>2839</v>
      </c>
      <c r="P1178" s="111" t="s">
        <v>3292</v>
      </c>
      <c r="Q1178" s="198">
        <f t="shared" si="130"/>
        <v>3172400</v>
      </c>
      <c r="R1178" s="63">
        <v>1</v>
      </c>
      <c r="S1178" s="198">
        <f>16995000-1133000</f>
        <v>15862000</v>
      </c>
      <c r="T1178" s="112" t="s">
        <v>888</v>
      </c>
      <c r="U1178" s="63" t="s">
        <v>445</v>
      </c>
      <c r="V1178" s="81">
        <v>43293</v>
      </c>
      <c r="W1178" s="199">
        <v>5</v>
      </c>
      <c r="X1178" s="85" t="s">
        <v>3293</v>
      </c>
      <c r="Y1178" s="81">
        <v>43307</v>
      </c>
      <c r="Z1178" s="198">
        <v>16995000</v>
      </c>
      <c r="AA1178" s="84"/>
      <c r="AB1178" s="63">
        <v>1010</v>
      </c>
      <c r="AC1178" s="81">
        <v>43311</v>
      </c>
      <c r="AD1178" s="198">
        <v>15862000</v>
      </c>
      <c r="AE1178" s="198">
        <f>Z1178-AD1178</f>
        <v>1133000</v>
      </c>
      <c r="AF1178" s="63">
        <v>2654</v>
      </c>
      <c r="AG1178" s="81">
        <v>43326</v>
      </c>
      <c r="AH1178" s="196">
        <v>15862000</v>
      </c>
      <c r="AI1178" s="84" t="s">
        <v>3294</v>
      </c>
      <c r="AJ1178" s="63">
        <v>496</v>
      </c>
      <c r="AK1178" s="63"/>
      <c r="AL1178" s="196">
        <v>15862000</v>
      </c>
      <c r="AM1178" s="196">
        <f>+VLOOKUP(AF1178,'[2]CRP a 31 Agosto de 2018'!$J$8:$V$2956,13,0)</f>
        <v>0</v>
      </c>
      <c r="AN1178" s="196">
        <f t="shared" si="131"/>
        <v>15862000</v>
      </c>
      <c r="AO1178" s="63"/>
      <c r="AP1178" s="63"/>
      <c r="AQ1178" s="63"/>
      <c r="AR1178" s="81"/>
      <c r="AS1178" s="63"/>
      <c r="AT1178" s="81"/>
      <c r="AU1178" s="63"/>
      <c r="AV1178" s="63"/>
      <c r="AW1178" s="63"/>
    </row>
    <row r="1179" spans="1:49" ht="357.75" thickTop="1" thickBot="1" x14ac:dyDescent="0.3">
      <c r="A1179" s="193">
        <v>134</v>
      </c>
      <c r="B1179" s="85" t="s">
        <v>3295</v>
      </c>
      <c r="C1179" s="105" t="s">
        <v>2834</v>
      </c>
      <c r="D1179" s="63" t="s">
        <v>714</v>
      </c>
      <c r="E1179" s="106" t="s">
        <v>2835</v>
      </c>
      <c r="F1179" s="63" t="s">
        <v>52</v>
      </c>
      <c r="G1179" s="63" t="s">
        <v>53</v>
      </c>
      <c r="H1179" s="111" t="s">
        <v>733</v>
      </c>
      <c r="I1179" s="63" t="s">
        <v>710</v>
      </c>
      <c r="J1179" s="63" t="s">
        <v>3183</v>
      </c>
      <c r="K1179" s="106">
        <v>801116</v>
      </c>
      <c r="L1179" s="106" t="s">
        <v>2836</v>
      </c>
      <c r="M1179" s="106" t="s">
        <v>2837</v>
      </c>
      <c r="N1179" s="106" t="s">
        <v>2838</v>
      </c>
      <c r="O1179" s="106" t="s">
        <v>2839</v>
      </c>
      <c r="P1179" s="111" t="s">
        <v>3296</v>
      </c>
      <c r="Q1179" s="198">
        <f t="shared" si="130"/>
        <v>3316600</v>
      </c>
      <c r="R1179" s="63">
        <v>1</v>
      </c>
      <c r="S1179" s="198">
        <f>17765000-1182000</f>
        <v>16583000</v>
      </c>
      <c r="T1179" s="112" t="s">
        <v>888</v>
      </c>
      <c r="U1179" s="63" t="s">
        <v>445</v>
      </c>
      <c r="V1179" s="81">
        <v>43293</v>
      </c>
      <c r="W1179" s="199">
        <v>5</v>
      </c>
      <c r="X1179" s="85" t="s">
        <v>3297</v>
      </c>
      <c r="Y1179" s="81">
        <v>43307</v>
      </c>
      <c r="Z1179" s="198">
        <v>17765000</v>
      </c>
      <c r="AA1179" s="84"/>
      <c r="AB1179" s="63">
        <v>934</v>
      </c>
      <c r="AC1179" s="81">
        <v>43314</v>
      </c>
      <c r="AD1179" s="198">
        <v>16583000</v>
      </c>
      <c r="AE1179" s="198">
        <f>Z1179-AD1179</f>
        <v>1182000</v>
      </c>
      <c r="AF1179" s="63">
        <v>2670</v>
      </c>
      <c r="AG1179" s="81">
        <v>43329</v>
      </c>
      <c r="AH1179" s="196">
        <v>16583000</v>
      </c>
      <c r="AI1179" s="84" t="s">
        <v>3298</v>
      </c>
      <c r="AJ1179" s="63">
        <v>499</v>
      </c>
      <c r="AK1179" s="63"/>
      <c r="AL1179" s="196">
        <v>16583000</v>
      </c>
      <c r="AM1179" s="196">
        <f>+VLOOKUP(AF1179,'[2]CRP a 31 Agosto de 2018'!$J$8:$V$2956,13,0)</f>
        <v>0</v>
      </c>
      <c r="AN1179" s="196">
        <f t="shared" si="131"/>
        <v>16583000</v>
      </c>
      <c r="AO1179" s="63"/>
      <c r="AP1179" s="63"/>
      <c r="AQ1179" s="63"/>
      <c r="AR1179" s="81"/>
      <c r="AS1179" s="63"/>
      <c r="AT1179" s="81"/>
      <c r="AU1179" s="63"/>
      <c r="AV1179" s="63"/>
      <c r="AW1179" s="63"/>
    </row>
    <row r="1180" spans="1:49" ht="357.75" thickTop="1" thickBot="1" x14ac:dyDescent="0.3">
      <c r="A1180" s="193">
        <v>135</v>
      </c>
      <c r="B1180" s="85" t="s">
        <v>3299</v>
      </c>
      <c r="C1180" s="105" t="s">
        <v>2834</v>
      </c>
      <c r="D1180" s="63" t="s">
        <v>714</v>
      </c>
      <c r="E1180" s="106" t="s">
        <v>2835</v>
      </c>
      <c r="F1180" s="63" t="s">
        <v>52</v>
      </c>
      <c r="G1180" s="63" t="s">
        <v>53</v>
      </c>
      <c r="H1180" s="111" t="s">
        <v>733</v>
      </c>
      <c r="I1180" s="63" t="s">
        <v>710</v>
      </c>
      <c r="J1180" s="63" t="s">
        <v>3183</v>
      </c>
      <c r="K1180" s="106">
        <v>801116</v>
      </c>
      <c r="L1180" s="106" t="s">
        <v>2836</v>
      </c>
      <c r="M1180" s="106" t="s">
        <v>2837</v>
      </c>
      <c r="N1180" s="106" t="s">
        <v>2838</v>
      </c>
      <c r="O1180" s="106" t="s">
        <v>2839</v>
      </c>
      <c r="P1180" s="111" t="s">
        <v>3292</v>
      </c>
      <c r="Q1180" s="198">
        <f t="shared" si="130"/>
        <v>3399000</v>
      </c>
      <c r="R1180" s="63">
        <v>1</v>
      </c>
      <c r="S1180" s="198">
        <v>16995000</v>
      </c>
      <c r="T1180" s="112" t="s">
        <v>888</v>
      </c>
      <c r="U1180" s="63" t="s">
        <v>445</v>
      </c>
      <c r="V1180" s="81">
        <v>43293</v>
      </c>
      <c r="W1180" s="199">
        <v>5</v>
      </c>
      <c r="X1180" s="85" t="s">
        <v>3300</v>
      </c>
      <c r="Y1180" s="81">
        <v>43308</v>
      </c>
      <c r="Z1180" s="198">
        <v>16995000</v>
      </c>
      <c r="AA1180" s="84"/>
      <c r="AB1180" s="63">
        <v>1023</v>
      </c>
      <c r="AC1180" s="81">
        <v>43314</v>
      </c>
      <c r="AD1180" s="198">
        <v>16995000</v>
      </c>
      <c r="AE1180" s="63"/>
      <c r="AF1180" s="63">
        <v>2684</v>
      </c>
      <c r="AG1180" s="81">
        <v>43329</v>
      </c>
      <c r="AH1180" s="196">
        <v>16995000</v>
      </c>
      <c r="AI1180" s="84" t="s">
        <v>3301</v>
      </c>
      <c r="AJ1180" s="63">
        <v>498</v>
      </c>
      <c r="AK1180" s="63"/>
      <c r="AL1180" s="196">
        <v>16995000</v>
      </c>
      <c r="AM1180" s="196">
        <f>+VLOOKUP(AF1180,'[2]CRP a 31 Agosto de 2018'!$J$8:$V$2956,13,0)</f>
        <v>0</v>
      </c>
      <c r="AN1180" s="196">
        <f t="shared" si="131"/>
        <v>16995000</v>
      </c>
      <c r="AO1180" s="63"/>
      <c r="AP1180" s="63"/>
      <c r="AQ1180" s="63"/>
      <c r="AR1180" s="81"/>
      <c r="AS1180" s="63"/>
      <c r="AT1180" s="81"/>
      <c r="AU1180" s="63"/>
      <c r="AV1180" s="63"/>
      <c r="AW1180" s="63"/>
    </row>
    <row r="1181" spans="1:49" ht="357.75" thickTop="1" thickBot="1" x14ac:dyDescent="0.3">
      <c r="A1181" s="193">
        <v>136</v>
      </c>
      <c r="B1181" s="85" t="s">
        <v>3302</v>
      </c>
      <c r="C1181" s="105" t="s">
        <v>2834</v>
      </c>
      <c r="D1181" s="63" t="s">
        <v>714</v>
      </c>
      <c r="E1181" s="106" t="s">
        <v>2835</v>
      </c>
      <c r="F1181" s="63" t="s">
        <v>52</v>
      </c>
      <c r="G1181" s="63" t="s">
        <v>53</v>
      </c>
      <c r="H1181" s="111" t="s">
        <v>733</v>
      </c>
      <c r="I1181" s="63" t="s">
        <v>710</v>
      </c>
      <c r="J1181" s="63" t="s">
        <v>3183</v>
      </c>
      <c r="K1181" s="106">
        <v>801116</v>
      </c>
      <c r="L1181" s="106" t="s">
        <v>2836</v>
      </c>
      <c r="M1181" s="106" t="s">
        <v>2837</v>
      </c>
      <c r="N1181" s="106" t="s">
        <v>2838</v>
      </c>
      <c r="O1181" s="106" t="s">
        <v>2839</v>
      </c>
      <c r="P1181" s="111" t="s">
        <v>2914</v>
      </c>
      <c r="Q1181" s="198">
        <f t="shared" si="130"/>
        <v>1517533.4</v>
      </c>
      <c r="R1181" s="63">
        <v>1</v>
      </c>
      <c r="S1181" s="198">
        <f>8755000-1167333</f>
        <v>7587667</v>
      </c>
      <c r="T1181" s="112" t="s">
        <v>888</v>
      </c>
      <c r="U1181" s="63" t="s">
        <v>445</v>
      </c>
      <c r="V1181" s="81">
        <v>43293</v>
      </c>
      <c r="W1181" s="199">
        <v>5</v>
      </c>
      <c r="X1181" s="85" t="s">
        <v>3303</v>
      </c>
      <c r="Y1181" s="81">
        <v>43307</v>
      </c>
      <c r="Z1181" s="198">
        <v>8755000</v>
      </c>
      <c r="AA1181" s="84"/>
      <c r="AB1181" s="63">
        <v>1011</v>
      </c>
      <c r="AC1181" s="81">
        <v>43311</v>
      </c>
      <c r="AD1181" s="198">
        <v>7587667</v>
      </c>
      <c r="AE1181" s="198">
        <f>Z1181-AH1181</f>
        <v>1167333</v>
      </c>
      <c r="AF1181" s="63">
        <v>2765</v>
      </c>
      <c r="AG1181" s="81">
        <v>43342</v>
      </c>
      <c r="AH1181" s="196">
        <v>7587667</v>
      </c>
      <c r="AI1181" s="84" t="s">
        <v>3304</v>
      </c>
      <c r="AJ1181" s="63">
        <v>524</v>
      </c>
      <c r="AK1181" s="63"/>
      <c r="AL1181" s="196">
        <v>7587667</v>
      </c>
      <c r="AM1181" s="196">
        <f>+VLOOKUP(AF1181,'[2]CRP a 31 Agosto de 2018'!$J$8:$V$2956,13,0)</f>
        <v>0</v>
      </c>
      <c r="AN1181" s="196">
        <f t="shared" si="131"/>
        <v>7587667</v>
      </c>
      <c r="AO1181" s="63"/>
      <c r="AP1181" s="63"/>
      <c r="AQ1181" s="63"/>
      <c r="AR1181" s="81"/>
      <c r="AS1181" s="63"/>
      <c r="AT1181" s="81"/>
      <c r="AU1181" s="63"/>
      <c r="AV1181" s="63"/>
      <c r="AW1181" s="63"/>
    </row>
    <row r="1182" spans="1:49" ht="357.75" thickTop="1" thickBot="1" x14ac:dyDescent="0.3">
      <c r="A1182" s="193">
        <v>137</v>
      </c>
      <c r="B1182" s="85" t="s">
        <v>3305</v>
      </c>
      <c r="C1182" s="105" t="s">
        <v>2834</v>
      </c>
      <c r="D1182" s="63" t="s">
        <v>714</v>
      </c>
      <c r="E1182" s="106" t="s">
        <v>2835</v>
      </c>
      <c r="F1182" s="63" t="s">
        <v>52</v>
      </c>
      <c r="G1182" s="63" t="s">
        <v>53</v>
      </c>
      <c r="H1182" s="111" t="s">
        <v>733</v>
      </c>
      <c r="I1182" s="63" t="s">
        <v>710</v>
      </c>
      <c r="J1182" s="63" t="s">
        <v>3183</v>
      </c>
      <c r="K1182" s="106">
        <v>801116</v>
      </c>
      <c r="L1182" s="106" t="s">
        <v>2836</v>
      </c>
      <c r="M1182" s="106" t="s">
        <v>2837</v>
      </c>
      <c r="N1182" s="106" t="s">
        <v>2838</v>
      </c>
      <c r="O1182" s="106" t="s">
        <v>2839</v>
      </c>
      <c r="P1182" s="111" t="s">
        <v>3249</v>
      </c>
      <c r="Q1182" s="198"/>
      <c r="R1182" s="63">
        <v>1</v>
      </c>
      <c r="S1182" s="198">
        <v>17175250</v>
      </c>
      <c r="T1182" s="112" t="s">
        <v>888</v>
      </c>
      <c r="U1182" s="63" t="s">
        <v>445</v>
      </c>
      <c r="V1182" s="81">
        <v>43307</v>
      </c>
      <c r="W1182" s="199"/>
      <c r="X1182" s="85" t="s">
        <v>3306</v>
      </c>
      <c r="Y1182" s="81">
        <v>43311</v>
      </c>
      <c r="Z1182" s="198">
        <v>17175250</v>
      </c>
      <c r="AA1182" s="84"/>
      <c r="AB1182" s="63">
        <v>1014</v>
      </c>
      <c r="AC1182" s="81">
        <v>43312</v>
      </c>
      <c r="AD1182" s="198">
        <v>17175250</v>
      </c>
      <c r="AE1182" s="63"/>
      <c r="AF1182" s="63">
        <v>2673</v>
      </c>
      <c r="AG1182" s="81">
        <v>43329</v>
      </c>
      <c r="AH1182" s="196">
        <v>17175250</v>
      </c>
      <c r="AI1182" s="84" t="s">
        <v>3129</v>
      </c>
      <c r="AJ1182" s="63">
        <v>491</v>
      </c>
      <c r="AK1182" s="63"/>
      <c r="AL1182" s="196">
        <v>17175250</v>
      </c>
      <c r="AM1182" s="196">
        <f>+VLOOKUP(AF1182,'[2]CRP a 31 Agosto de 2018'!$J$8:$V$2956,13,0)</f>
        <v>0</v>
      </c>
      <c r="AN1182" s="196">
        <f t="shared" si="131"/>
        <v>17175250</v>
      </c>
      <c r="AO1182" s="63"/>
      <c r="AP1182" s="63"/>
      <c r="AQ1182" s="63"/>
      <c r="AR1182" s="81"/>
      <c r="AS1182" s="63"/>
      <c r="AT1182" s="81"/>
      <c r="AU1182" s="63"/>
      <c r="AV1182" s="63"/>
      <c r="AW1182" s="63"/>
    </row>
    <row r="1183" spans="1:49" ht="357.75" thickTop="1" thickBot="1" x14ac:dyDescent="0.3">
      <c r="A1183" s="193">
        <v>138</v>
      </c>
      <c r="B1183" s="85" t="s">
        <v>3307</v>
      </c>
      <c r="C1183" s="105" t="s">
        <v>2834</v>
      </c>
      <c r="D1183" s="63" t="s">
        <v>714</v>
      </c>
      <c r="E1183" s="106" t="s">
        <v>2835</v>
      </c>
      <c r="F1183" s="63" t="s">
        <v>52</v>
      </c>
      <c r="G1183" s="63" t="s">
        <v>53</v>
      </c>
      <c r="H1183" s="111" t="s">
        <v>733</v>
      </c>
      <c r="I1183" s="63" t="s">
        <v>710</v>
      </c>
      <c r="J1183" s="63" t="s">
        <v>3183</v>
      </c>
      <c r="K1183" s="106">
        <v>801116</v>
      </c>
      <c r="L1183" s="106" t="s">
        <v>2836</v>
      </c>
      <c r="M1183" s="106" t="s">
        <v>2837</v>
      </c>
      <c r="N1183" s="106" t="s">
        <v>2838</v>
      </c>
      <c r="O1183" s="106" t="s">
        <v>2839</v>
      </c>
      <c r="P1183" s="111" t="s">
        <v>3308</v>
      </c>
      <c r="Q1183" s="198"/>
      <c r="R1183" s="63">
        <v>1</v>
      </c>
      <c r="S1183" s="198">
        <v>8463167</v>
      </c>
      <c r="T1183" s="112" t="s">
        <v>888</v>
      </c>
      <c r="U1183" s="63" t="s">
        <v>445</v>
      </c>
      <c r="V1183" s="81">
        <v>43307</v>
      </c>
      <c r="W1183" s="199"/>
      <c r="X1183" s="85" t="s">
        <v>3309</v>
      </c>
      <c r="Y1183" s="81">
        <v>43311</v>
      </c>
      <c r="Z1183" s="198">
        <v>8463167</v>
      </c>
      <c r="AA1183" s="84"/>
      <c r="AB1183" s="63">
        <v>1015</v>
      </c>
      <c r="AC1183" s="81">
        <v>43312</v>
      </c>
      <c r="AD1183" s="198">
        <v>8463167</v>
      </c>
      <c r="AE1183" s="63"/>
      <c r="AF1183" s="63">
        <v>2672</v>
      </c>
      <c r="AG1183" s="81">
        <v>43329</v>
      </c>
      <c r="AH1183" s="196">
        <v>8463167</v>
      </c>
      <c r="AI1183" s="84" t="s">
        <v>3310</v>
      </c>
      <c r="AJ1183" s="63">
        <v>493</v>
      </c>
      <c r="AK1183" s="63"/>
      <c r="AL1183" s="196">
        <v>8463167</v>
      </c>
      <c r="AM1183" s="196">
        <f>+VLOOKUP(AF1183,'[2]CRP a 31 Agosto de 2018'!$J$8:$V$2956,13,0)</f>
        <v>0</v>
      </c>
      <c r="AN1183" s="196">
        <f t="shared" si="131"/>
        <v>8463167</v>
      </c>
      <c r="AO1183" s="63"/>
      <c r="AP1183" s="63"/>
      <c r="AQ1183" s="63"/>
      <c r="AR1183" s="81"/>
      <c r="AS1183" s="63"/>
      <c r="AT1183" s="81"/>
      <c r="AU1183" s="63"/>
      <c r="AV1183" s="63"/>
      <c r="AW1183" s="63"/>
    </row>
    <row r="1184" spans="1:49" ht="357.75" thickTop="1" thickBot="1" x14ac:dyDescent="0.3">
      <c r="A1184" s="193">
        <v>139</v>
      </c>
      <c r="B1184" s="85" t="s">
        <v>3311</v>
      </c>
      <c r="C1184" s="105" t="s">
        <v>2834</v>
      </c>
      <c r="D1184" s="63" t="s">
        <v>714</v>
      </c>
      <c r="E1184" s="106" t="s">
        <v>2835</v>
      </c>
      <c r="F1184" s="63" t="s">
        <v>52</v>
      </c>
      <c r="G1184" s="63" t="s">
        <v>53</v>
      </c>
      <c r="H1184" s="111" t="s">
        <v>733</v>
      </c>
      <c r="I1184" s="63" t="s">
        <v>710</v>
      </c>
      <c r="J1184" s="63" t="s">
        <v>3183</v>
      </c>
      <c r="K1184" s="106">
        <v>801116</v>
      </c>
      <c r="L1184" s="106" t="s">
        <v>2836</v>
      </c>
      <c r="M1184" s="106" t="s">
        <v>2837</v>
      </c>
      <c r="N1184" s="106" t="s">
        <v>2838</v>
      </c>
      <c r="O1184" s="106" t="s">
        <v>2839</v>
      </c>
      <c r="P1184" s="111" t="s">
        <v>3308</v>
      </c>
      <c r="Q1184" s="198"/>
      <c r="R1184" s="63">
        <v>1</v>
      </c>
      <c r="S1184" s="198">
        <v>8463167</v>
      </c>
      <c r="T1184" s="112" t="s">
        <v>888</v>
      </c>
      <c r="U1184" s="63" t="s">
        <v>445</v>
      </c>
      <c r="V1184" s="81">
        <v>43307</v>
      </c>
      <c r="W1184" s="199"/>
      <c r="X1184" s="85" t="s">
        <v>3312</v>
      </c>
      <c r="Y1184" s="81">
        <v>43311</v>
      </c>
      <c r="Z1184" s="198">
        <v>8463167</v>
      </c>
      <c r="AA1184" s="84"/>
      <c r="AB1184" s="63">
        <v>1018</v>
      </c>
      <c r="AC1184" s="81">
        <v>43313</v>
      </c>
      <c r="AD1184" s="198">
        <v>8463167</v>
      </c>
      <c r="AE1184" s="63"/>
      <c r="AF1184" s="63">
        <v>2725</v>
      </c>
      <c r="AG1184" s="81">
        <v>43335</v>
      </c>
      <c r="AH1184" s="196">
        <v>8463167</v>
      </c>
      <c r="AI1184" s="84" t="s">
        <v>3313</v>
      </c>
      <c r="AJ1184" s="63">
        <v>497</v>
      </c>
      <c r="AK1184" s="63"/>
      <c r="AL1184" s="196">
        <v>8463167</v>
      </c>
      <c r="AM1184" s="196">
        <f>+VLOOKUP(AF1184,'[2]CRP a 31 Agosto de 2018'!$J$8:$V$2956,13,0)</f>
        <v>0</v>
      </c>
      <c r="AN1184" s="196">
        <f t="shared" si="131"/>
        <v>8463167</v>
      </c>
      <c r="AO1184" s="63"/>
      <c r="AP1184" s="63"/>
      <c r="AQ1184" s="63"/>
      <c r="AR1184" s="81"/>
      <c r="AS1184" s="63"/>
      <c r="AT1184" s="81"/>
      <c r="AU1184" s="63"/>
      <c r="AV1184" s="63"/>
      <c r="AW1184" s="63"/>
    </row>
    <row r="1185" spans="1:49" ht="357.75" thickTop="1" thickBot="1" x14ac:dyDescent="0.3">
      <c r="A1185" s="193">
        <v>140</v>
      </c>
      <c r="B1185" s="85" t="s">
        <v>3314</v>
      </c>
      <c r="C1185" s="105" t="s">
        <v>2834</v>
      </c>
      <c r="D1185" s="63" t="s">
        <v>714</v>
      </c>
      <c r="E1185" s="106" t="s">
        <v>2835</v>
      </c>
      <c r="F1185" s="63" t="s">
        <v>52</v>
      </c>
      <c r="G1185" s="63" t="s">
        <v>53</v>
      </c>
      <c r="H1185" s="111" t="s">
        <v>733</v>
      </c>
      <c r="I1185" s="63" t="s">
        <v>710</v>
      </c>
      <c r="J1185" s="63" t="s">
        <v>3183</v>
      </c>
      <c r="K1185" s="106">
        <v>801116</v>
      </c>
      <c r="L1185" s="106" t="s">
        <v>2836</v>
      </c>
      <c r="M1185" s="106" t="s">
        <v>2837</v>
      </c>
      <c r="N1185" s="106" t="s">
        <v>2838</v>
      </c>
      <c r="O1185" s="106" t="s">
        <v>2839</v>
      </c>
      <c r="P1185" s="111" t="s">
        <v>3201</v>
      </c>
      <c r="Q1185" s="198"/>
      <c r="R1185" s="63">
        <v>1</v>
      </c>
      <c r="S1185" s="198">
        <f>21904667-18128000-803783-412000-2560884</f>
        <v>0</v>
      </c>
      <c r="T1185" s="112" t="s">
        <v>888</v>
      </c>
      <c r="U1185" s="63" t="s">
        <v>445</v>
      </c>
      <c r="V1185" s="81">
        <v>43307</v>
      </c>
      <c r="W1185" s="199"/>
      <c r="X1185" s="85" t="s">
        <v>3315</v>
      </c>
      <c r="Y1185" s="81">
        <v>43311</v>
      </c>
      <c r="Z1185" s="198">
        <v>21904667</v>
      </c>
      <c r="AA1185" s="84"/>
      <c r="AB1185" s="63"/>
      <c r="AC1185" s="81"/>
      <c r="AD1185" s="198"/>
      <c r="AE1185" s="63"/>
      <c r="AF1185" s="63"/>
      <c r="AG1185" s="81"/>
      <c r="AH1185" s="196"/>
      <c r="AI1185" s="84"/>
      <c r="AJ1185" s="63"/>
      <c r="AK1185" s="63"/>
      <c r="AL1185" s="196"/>
      <c r="AM1185" s="196">
        <v>0</v>
      </c>
      <c r="AN1185" s="196">
        <f t="shared" si="131"/>
        <v>0</v>
      </c>
      <c r="AO1185" s="63"/>
      <c r="AP1185" s="63"/>
      <c r="AQ1185" s="63"/>
      <c r="AR1185" s="81"/>
      <c r="AS1185" s="63"/>
      <c r="AT1185" s="81"/>
      <c r="AU1185" s="63"/>
      <c r="AV1185" s="63"/>
      <c r="AW1185" s="63"/>
    </row>
    <row r="1186" spans="1:49" ht="357.75" thickTop="1" thickBot="1" x14ac:dyDescent="0.3">
      <c r="A1186" s="193">
        <v>141</v>
      </c>
      <c r="B1186" s="85" t="s">
        <v>3316</v>
      </c>
      <c r="C1186" s="105" t="s">
        <v>2834</v>
      </c>
      <c r="D1186" s="63" t="s">
        <v>714</v>
      </c>
      <c r="E1186" s="106" t="s">
        <v>2835</v>
      </c>
      <c r="F1186" s="63" t="s">
        <v>52</v>
      </c>
      <c r="G1186" s="63" t="s">
        <v>53</v>
      </c>
      <c r="H1186" s="111" t="s">
        <v>733</v>
      </c>
      <c r="I1186" s="63" t="s">
        <v>710</v>
      </c>
      <c r="J1186" s="63" t="s">
        <v>3183</v>
      </c>
      <c r="K1186" s="106">
        <v>801116</v>
      </c>
      <c r="L1186" s="106" t="s">
        <v>2836</v>
      </c>
      <c r="M1186" s="106" t="s">
        <v>2837</v>
      </c>
      <c r="N1186" s="106" t="s">
        <v>2838</v>
      </c>
      <c r="O1186" s="106" t="s">
        <v>2839</v>
      </c>
      <c r="P1186" s="111" t="s">
        <v>3254</v>
      </c>
      <c r="Q1186" s="198"/>
      <c r="R1186" s="63">
        <v>1</v>
      </c>
      <c r="S1186" s="198">
        <v>32359167</v>
      </c>
      <c r="T1186" s="112" t="s">
        <v>888</v>
      </c>
      <c r="U1186" s="63" t="s">
        <v>445</v>
      </c>
      <c r="V1186" s="81">
        <v>43307</v>
      </c>
      <c r="W1186" s="199"/>
      <c r="X1186" s="85" t="s">
        <v>3317</v>
      </c>
      <c r="Y1186" s="81">
        <v>43311</v>
      </c>
      <c r="Z1186" s="196" t="s">
        <v>3318</v>
      </c>
      <c r="AA1186" s="84"/>
      <c r="AB1186" s="63">
        <v>1012</v>
      </c>
      <c r="AC1186" s="81">
        <v>43312</v>
      </c>
      <c r="AD1186" s="198">
        <v>32359167</v>
      </c>
      <c r="AE1186" s="63"/>
      <c r="AF1186" s="63">
        <v>2675</v>
      </c>
      <c r="AG1186" s="81">
        <v>43329</v>
      </c>
      <c r="AH1186" s="196">
        <v>32359167</v>
      </c>
      <c r="AI1186" s="84" t="s">
        <v>3319</v>
      </c>
      <c r="AJ1186" s="63">
        <v>495</v>
      </c>
      <c r="AK1186" s="63"/>
      <c r="AL1186" s="196">
        <v>32359167</v>
      </c>
      <c r="AM1186" s="196">
        <f>+VLOOKUP(AF1186,'[2]CRP a 31 Agosto de 2018'!$J$8:$V$2956,13,0)</f>
        <v>0</v>
      </c>
      <c r="AN1186" s="196">
        <f t="shared" si="131"/>
        <v>32359167</v>
      </c>
      <c r="AO1186" s="63"/>
      <c r="AP1186" s="63"/>
      <c r="AQ1186" s="63"/>
      <c r="AR1186" s="81"/>
      <c r="AS1186" s="63"/>
      <c r="AT1186" s="81"/>
      <c r="AU1186" s="63"/>
      <c r="AV1186" s="63"/>
      <c r="AW1186" s="63"/>
    </row>
    <row r="1187" spans="1:49" ht="357.75" thickTop="1" thickBot="1" x14ac:dyDescent="0.3">
      <c r="A1187" s="193">
        <v>142</v>
      </c>
      <c r="B1187" s="85" t="s">
        <v>3320</v>
      </c>
      <c r="C1187" s="105" t="s">
        <v>2834</v>
      </c>
      <c r="D1187" s="63" t="s">
        <v>714</v>
      </c>
      <c r="E1187" s="106" t="s">
        <v>2835</v>
      </c>
      <c r="F1187" s="63" t="s">
        <v>52</v>
      </c>
      <c r="G1187" s="63" t="s">
        <v>53</v>
      </c>
      <c r="H1187" s="111" t="s">
        <v>733</v>
      </c>
      <c r="I1187" s="63" t="s">
        <v>710</v>
      </c>
      <c r="J1187" s="63" t="s">
        <v>3183</v>
      </c>
      <c r="K1187" s="106">
        <v>801116</v>
      </c>
      <c r="L1187" s="106" t="s">
        <v>2836</v>
      </c>
      <c r="M1187" s="106" t="s">
        <v>2837</v>
      </c>
      <c r="N1187" s="106" t="s">
        <v>2838</v>
      </c>
      <c r="O1187" s="106" t="s">
        <v>2839</v>
      </c>
      <c r="P1187" s="111" t="s">
        <v>3308</v>
      </c>
      <c r="Q1187" s="198"/>
      <c r="R1187" s="63">
        <v>1</v>
      </c>
      <c r="S1187" s="198">
        <f>8463167-1974167</f>
        <v>6489000</v>
      </c>
      <c r="T1187" s="112" t="s">
        <v>888</v>
      </c>
      <c r="U1187" s="63" t="s">
        <v>445</v>
      </c>
      <c r="V1187" s="81">
        <v>43307</v>
      </c>
      <c r="W1187" s="199"/>
      <c r="X1187" s="85" t="s">
        <v>3321</v>
      </c>
      <c r="Y1187" s="81">
        <v>43311</v>
      </c>
      <c r="Z1187" s="198">
        <v>8463167</v>
      </c>
      <c r="AA1187" s="84"/>
      <c r="AB1187" s="63">
        <v>1013</v>
      </c>
      <c r="AC1187" s="81">
        <v>43312</v>
      </c>
      <c r="AD1187" s="198">
        <v>8463167</v>
      </c>
      <c r="AE1187" s="198">
        <f>Z1187-AH1187</f>
        <v>1974167</v>
      </c>
      <c r="AF1187" s="63">
        <v>2744</v>
      </c>
      <c r="AG1187" s="81">
        <v>43336</v>
      </c>
      <c r="AH1187" s="196">
        <v>6489000</v>
      </c>
      <c r="AI1187" s="84" t="s">
        <v>3322</v>
      </c>
      <c r="AJ1187" s="63">
        <v>534</v>
      </c>
      <c r="AK1187" s="63"/>
      <c r="AL1187" s="196">
        <v>6489000</v>
      </c>
      <c r="AM1187" s="196">
        <f>+VLOOKUP(AF1187,'[2]CRP a 31 Agosto de 2018'!$J$8:$V$2956,13,0)</f>
        <v>0</v>
      </c>
      <c r="AN1187" s="196">
        <f>AL1187-AM1187</f>
        <v>6489000</v>
      </c>
      <c r="AO1187" s="63"/>
      <c r="AP1187" s="63"/>
      <c r="AQ1187" s="63"/>
      <c r="AR1187" s="81"/>
      <c r="AS1187" s="63"/>
      <c r="AT1187" s="81"/>
      <c r="AU1187" s="63"/>
      <c r="AV1187" s="63"/>
      <c r="AW1187" s="63"/>
    </row>
    <row r="1188" spans="1:49" ht="357.75" thickTop="1" thickBot="1" x14ac:dyDescent="0.3">
      <c r="A1188" s="193">
        <v>143</v>
      </c>
      <c r="B1188" s="85" t="s">
        <v>3323</v>
      </c>
      <c r="C1188" s="105" t="s">
        <v>2834</v>
      </c>
      <c r="D1188" s="63" t="s">
        <v>714</v>
      </c>
      <c r="E1188" s="106" t="s">
        <v>2835</v>
      </c>
      <c r="F1188" s="63" t="s">
        <v>52</v>
      </c>
      <c r="G1188" s="63" t="s">
        <v>53</v>
      </c>
      <c r="H1188" s="111" t="s">
        <v>733</v>
      </c>
      <c r="I1188" s="63" t="s">
        <v>710</v>
      </c>
      <c r="J1188" s="63" t="s">
        <v>3183</v>
      </c>
      <c r="K1188" s="106">
        <v>801116</v>
      </c>
      <c r="L1188" s="106" t="s">
        <v>2836</v>
      </c>
      <c r="M1188" s="106" t="s">
        <v>2837</v>
      </c>
      <c r="N1188" s="106" t="s">
        <v>2838</v>
      </c>
      <c r="O1188" s="106" t="s">
        <v>2839</v>
      </c>
      <c r="P1188" s="111" t="s">
        <v>3254</v>
      </c>
      <c r="Q1188" s="198"/>
      <c r="R1188" s="63">
        <v>1</v>
      </c>
      <c r="S1188" s="198">
        <v>39826667</v>
      </c>
      <c r="T1188" s="112" t="s">
        <v>888</v>
      </c>
      <c r="U1188" s="63" t="s">
        <v>445</v>
      </c>
      <c r="V1188" s="81">
        <v>43307</v>
      </c>
      <c r="W1188" s="199"/>
      <c r="X1188" s="85" t="s">
        <v>3324</v>
      </c>
      <c r="Y1188" s="81">
        <v>43311</v>
      </c>
      <c r="Z1188" s="196">
        <v>39826667</v>
      </c>
      <c r="AA1188" s="84"/>
      <c r="AB1188" s="63">
        <v>1017</v>
      </c>
      <c r="AC1188" s="81">
        <v>43313</v>
      </c>
      <c r="AD1188" s="198">
        <v>39826667</v>
      </c>
      <c r="AE1188" s="63"/>
      <c r="AF1188" s="63">
        <v>2651</v>
      </c>
      <c r="AG1188" s="81">
        <v>43326</v>
      </c>
      <c r="AH1188" s="196">
        <v>39826667</v>
      </c>
      <c r="AI1188" s="84" t="s">
        <v>3325</v>
      </c>
      <c r="AJ1188" s="63">
        <v>489</v>
      </c>
      <c r="AK1188" s="63"/>
      <c r="AL1188" s="196">
        <v>39826667</v>
      </c>
      <c r="AM1188" s="196">
        <f>+VLOOKUP(AF1188,'[2]CRP a 31 Agosto de 2018'!$J$8:$V$2956,13,0)</f>
        <v>0</v>
      </c>
      <c r="AN1188" s="196">
        <f>AL1188-AM1188</f>
        <v>39826667</v>
      </c>
      <c r="AO1188" s="63"/>
      <c r="AP1188" s="63"/>
      <c r="AQ1188" s="63"/>
      <c r="AR1188" s="81"/>
      <c r="AS1188" s="63"/>
      <c r="AT1188" s="81"/>
      <c r="AU1188" s="63"/>
      <c r="AV1188" s="63"/>
      <c r="AW1188" s="63"/>
    </row>
    <row r="1189" spans="1:49" ht="357.75" thickTop="1" thickBot="1" x14ac:dyDescent="0.3">
      <c r="A1189" s="193">
        <v>144</v>
      </c>
      <c r="B1189" s="85" t="s">
        <v>3326</v>
      </c>
      <c r="C1189" s="105" t="s">
        <v>2834</v>
      </c>
      <c r="D1189" s="63" t="s">
        <v>714</v>
      </c>
      <c r="E1189" s="106" t="s">
        <v>2835</v>
      </c>
      <c r="F1189" s="63" t="s">
        <v>52</v>
      </c>
      <c r="G1189" s="63" t="s">
        <v>53</v>
      </c>
      <c r="H1189" s="111" t="s">
        <v>733</v>
      </c>
      <c r="I1189" s="63" t="s">
        <v>710</v>
      </c>
      <c r="J1189" s="63" t="s">
        <v>3183</v>
      </c>
      <c r="K1189" s="106">
        <v>801116</v>
      </c>
      <c r="L1189" s="106" t="s">
        <v>2836</v>
      </c>
      <c r="M1189" s="106" t="s">
        <v>2837</v>
      </c>
      <c r="N1189" s="106" t="s">
        <v>2838</v>
      </c>
      <c r="O1189" s="106" t="s">
        <v>2839</v>
      </c>
      <c r="P1189" s="111" t="s">
        <v>3327</v>
      </c>
      <c r="Q1189" s="198"/>
      <c r="R1189" s="63">
        <v>1</v>
      </c>
      <c r="S1189" s="198">
        <v>21904667</v>
      </c>
      <c r="T1189" s="112" t="s">
        <v>888</v>
      </c>
      <c r="U1189" s="63" t="s">
        <v>445</v>
      </c>
      <c r="V1189" s="81">
        <v>43307</v>
      </c>
      <c r="W1189" s="199"/>
      <c r="X1189" s="85" t="s">
        <v>3328</v>
      </c>
      <c r="Y1189" s="81">
        <v>43311</v>
      </c>
      <c r="Z1189" s="196">
        <v>21904667</v>
      </c>
      <c r="AA1189" s="84"/>
      <c r="AB1189" s="63">
        <v>1020</v>
      </c>
      <c r="AC1189" s="81" t="s">
        <v>3329</v>
      </c>
      <c r="AD1189" s="198">
        <v>21904667</v>
      </c>
      <c r="AE1189" s="63"/>
      <c r="AF1189" s="63">
        <v>2653</v>
      </c>
      <c r="AG1189" s="81">
        <v>43326</v>
      </c>
      <c r="AH1189" s="196">
        <v>21904667</v>
      </c>
      <c r="AI1189" s="84" t="s">
        <v>3330</v>
      </c>
      <c r="AJ1189" s="63">
        <v>494</v>
      </c>
      <c r="AK1189" s="63"/>
      <c r="AL1189" s="196">
        <v>21904667</v>
      </c>
      <c r="AM1189" s="196">
        <f>+VLOOKUP(AF1189,'[2]CRP a 31 Agosto de 2018'!$J$8:$V$2956,13,0)</f>
        <v>0</v>
      </c>
      <c r="AN1189" s="196">
        <f>AL1189-AM1189</f>
        <v>21904667</v>
      </c>
      <c r="AO1189" s="63"/>
      <c r="AP1189" s="63"/>
      <c r="AQ1189" s="63"/>
      <c r="AR1189" s="81"/>
      <c r="AS1189" s="63"/>
      <c r="AT1189" s="81"/>
      <c r="AU1189" s="63"/>
      <c r="AV1189" s="63"/>
      <c r="AW1189" s="63"/>
    </row>
    <row r="1190" spans="1:49" ht="357.75" thickTop="1" thickBot="1" x14ac:dyDescent="0.3">
      <c r="A1190" s="193">
        <v>145</v>
      </c>
      <c r="B1190" s="85" t="s">
        <v>3331</v>
      </c>
      <c r="C1190" s="120" t="s">
        <v>2834</v>
      </c>
      <c r="D1190" s="111" t="s">
        <v>714</v>
      </c>
      <c r="E1190" s="111" t="s">
        <v>2835</v>
      </c>
      <c r="F1190" s="63" t="s">
        <v>52</v>
      </c>
      <c r="G1190" s="63" t="s">
        <v>53</v>
      </c>
      <c r="H1190" s="111" t="s">
        <v>733</v>
      </c>
      <c r="I1190" s="63" t="s">
        <v>55</v>
      </c>
      <c r="J1190" s="106" t="s">
        <v>56</v>
      </c>
      <c r="K1190" s="63">
        <v>801116</v>
      </c>
      <c r="L1190" s="63" t="s">
        <v>2836</v>
      </c>
      <c r="M1190" s="63" t="s">
        <v>2837</v>
      </c>
      <c r="N1190" s="63" t="s">
        <v>2838</v>
      </c>
      <c r="O1190" s="63" t="s">
        <v>2839</v>
      </c>
      <c r="P1190" s="111" t="s">
        <v>3332</v>
      </c>
      <c r="Q1190" s="198"/>
      <c r="R1190" s="63">
        <v>1</v>
      </c>
      <c r="S1190" s="198">
        <v>15862000</v>
      </c>
      <c r="T1190" s="112" t="s">
        <v>888</v>
      </c>
      <c r="U1190" s="63" t="s">
        <v>445</v>
      </c>
      <c r="V1190" s="81">
        <v>43313</v>
      </c>
      <c r="W1190" s="199"/>
      <c r="X1190" s="85" t="s">
        <v>3333</v>
      </c>
      <c r="Y1190" s="81" t="s">
        <v>3334</v>
      </c>
      <c r="Z1190" s="198">
        <v>15862000</v>
      </c>
      <c r="AA1190" s="84"/>
      <c r="AB1190" s="63">
        <v>1034</v>
      </c>
      <c r="AC1190" s="81">
        <v>43320</v>
      </c>
      <c r="AD1190" s="198">
        <v>15862000</v>
      </c>
      <c r="AE1190" s="63"/>
      <c r="AF1190" s="63">
        <v>2685</v>
      </c>
      <c r="AG1190" s="81">
        <v>43329</v>
      </c>
      <c r="AH1190" s="196">
        <v>15862000</v>
      </c>
      <c r="AI1190" s="84" t="s">
        <v>3335</v>
      </c>
      <c r="AJ1190" s="63">
        <v>502</v>
      </c>
      <c r="AK1190" s="63"/>
      <c r="AL1190" s="196">
        <v>15862000</v>
      </c>
      <c r="AM1190" s="196">
        <f>+VLOOKUP(AF1190,'[2]CRP a 31 Agosto de 2018'!$J$8:$V$2956,13,0)</f>
        <v>0</v>
      </c>
      <c r="AN1190" s="196">
        <f>AL1190-AM1190</f>
        <v>15862000</v>
      </c>
      <c r="AO1190" s="63"/>
      <c r="AP1190" s="63"/>
      <c r="AQ1190" s="63"/>
      <c r="AR1190" s="81"/>
      <c r="AS1190" s="63"/>
      <c r="AT1190" s="81"/>
      <c r="AU1190" s="63"/>
      <c r="AV1190" s="63"/>
      <c r="AW1190" s="63"/>
    </row>
    <row r="1191" spans="1:49" ht="357.75" thickTop="1" thickBot="1" x14ac:dyDescent="0.3">
      <c r="A1191" s="193">
        <v>146</v>
      </c>
      <c r="B1191" s="85" t="s">
        <v>3336</v>
      </c>
      <c r="C1191" s="120" t="s">
        <v>2834</v>
      </c>
      <c r="D1191" s="111" t="s">
        <v>714</v>
      </c>
      <c r="E1191" s="111" t="s">
        <v>2835</v>
      </c>
      <c r="F1191" s="63" t="s">
        <v>52</v>
      </c>
      <c r="G1191" s="63" t="s">
        <v>53</v>
      </c>
      <c r="H1191" s="111" t="s">
        <v>733</v>
      </c>
      <c r="I1191" s="63" t="s">
        <v>55</v>
      </c>
      <c r="J1191" s="106" t="s">
        <v>56</v>
      </c>
      <c r="K1191" s="63">
        <v>801116</v>
      </c>
      <c r="L1191" s="63" t="s">
        <v>2836</v>
      </c>
      <c r="M1191" s="63" t="s">
        <v>2837</v>
      </c>
      <c r="N1191" s="63" t="s">
        <v>2838</v>
      </c>
      <c r="O1191" s="63" t="s">
        <v>2839</v>
      </c>
      <c r="P1191" s="111" t="s">
        <v>3280</v>
      </c>
      <c r="Q1191" s="198"/>
      <c r="R1191" s="63">
        <v>1</v>
      </c>
      <c r="S1191" s="198">
        <f>15000000+7335000+3656167+1145333+1258333+2848500</f>
        <v>31243333</v>
      </c>
      <c r="T1191" s="112" t="s">
        <v>888</v>
      </c>
      <c r="U1191" s="63" t="s">
        <v>445</v>
      </c>
      <c r="V1191" s="81">
        <v>43313</v>
      </c>
      <c r="W1191" s="199"/>
      <c r="X1191" s="85" t="s">
        <v>3337</v>
      </c>
      <c r="Y1191" s="81" t="s">
        <v>3334</v>
      </c>
      <c r="Z1191" s="198">
        <f>15000000+7335000+3656167+1145333+1258333+2848500</f>
        <v>31243333</v>
      </c>
      <c r="AA1191" s="84"/>
      <c r="AB1191" s="63">
        <v>1033</v>
      </c>
      <c r="AC1191" s="81">
        <v>43320</v>
      </c>
      <c r="AD1191" s="198">
        <v>31243333</v>
      </c>
      <c r="AE1191" s="63"/>
      <c r="AF1191" s="63">
        <v>2681</v>
      </c>
      <c r="AG1191" s="81">
        <v>43329</v>
      </c>
      <c r="AH1191" s="196">
        <v>31243333</v>
      </c>
      <c r="AI1191" s="84" t="s">
        <v>3338</v>
      </c>
      <c r="AJ1191" s="63">
        <v>501</v>
      </c>
      <c r="AK1191" s="63"/>
      <c r="AL1191" s="196">
        <v>31243333</v>
      </c>
      <c r="AM1191" s="196">
        <f>+VLOOKUP(AF1191,'[2]CRP a 31 Agosto de 2018'!$J$8:$V$2956,13,0)</f>
        <v>0</v>
      </c>
      <c r="AN1191" s="196">
        <f>AL1191-AM1191</f>
        <v>31243333</v>
      </c>
      <c r="AO1191" s="63"/>
      <c r="AP1191" s="63"/>
      <c r="AQ1191" s="63"/>
      <c r="AR1191" s="81"/>
      <c r="AS1191" s="63"/>
      <c r="AT1191" s="81"/>
      <c r="AU1191" s="63"/>
      <c r="AV1191" s="63"/>
      <c r="AW1191" s="63"/>
    </row>
    <row r="1192" spans="1:49" ht="357.75" thickTop="1" thickBot="1" x14ac:dyDescent="0.3">
      <c r="A1192" s="193">
        <v>147</v>
      </c>
      <c r="B1192" s="85" t="s">
        <v>3339</v>
      </c>
      <c r="C1192" s="120" t="s">
        <v>2834</v>
      </c>
      <c r="D1192" s="111" t="s">
        <v>714</v>
      </c>
      <c r="E1192" s="111" t="s">
        <v>2835</v>
      </c>
      <c r="F1192" s="63" t="s">
        <v>52</v>
      </c>
      <c r="G1192" s="63" t="s">
        <v>53</v>
      </c>
      <c r="H1192" s="111" t="s">
        <v>733</v>
      </c>
      <c r="I1192" s="63" t="s">
        <v>710</v>
      </c>
      <c r="J1192" s="106" t="s">
        <v>1046</v>
      </c>
      <c r="K1192" s="63">
        <v>801116</v>
      </c>
      <c r="L1192" s="63" t="s">
        <v>2836</v>
      </c>
      <c r="M1192" s="63" t="s">
        <v>2837</v>
      </c>
      <c r="N1192" s="63" t="s">
        <v>2838</v>
      </c>
      <c r="O1192" s="63" t="s">
        <v>2839</v>
      </c>
      <c r="P1192" s="111" t="s">
        <v>3332</v>
      </c>
      <c r="Q1192" s="198">
        <v>3553000</v>
      </c>
      <c r="R1192" s="63">
        <v>4</v>
      </c>
      <c r="S1192" s="198">
        <f>63954000-13762517-13307600-16480000-10197000-10206883</f>
        <v>0</v>
      </c>
      <c r="T1192" s="112" t="s">
        <v>888</v>
      </c>
      <c r="U1192" s="63" t="s">
        <v>445</v>
      </c>
      <c r="V1192" s="81">
        <v>43322</v>
      </c>
      <c r="W1192" s="199"/>
      <c r="X1192" s="85"/>
      <c r="Y1192" s="81"/>
      <c r="Z1192" s="198"/>
      <c r="AA1192" s="84"/>
      <c r="AB1192" s="63"/>
      <c r="AC1192" s="81"/>
      <c r="AD1192" s="198"/>
      <c r="AE1192" s="63"/>
      <c r="AF1192" s="63"/>
      <c r="AG1192" s="81"/>
      <c r="AH1192" s="196"/>
      <c r="AI1192" s="84"/>
      <c r="AJ1192" s="63"/>
      <c r="AK1192" s="63"/>
      <c r="AL1192" s="196"/>
      <c r="AM1192" s="196">
        <v>0</v>
      </c>
      <c r="AN1192" s="196"/>
      <c r="AO1192" s="63"/>
      <c r="AP1192" s="63"/>
      <c r="AQ1192" s="63"/>
      <c r="AR1192" s="81"/>
      <c r="AS1192" s="63"/>
      <c r="AT1192" s="81"/>
      <c r="AU1192" s="63"/>
      <c r="AV1192" s="63"/>
      <c r="AW1192" s="63"/>
    </row>
    <row r="1193" spans="1:49" ht="357.75" thickTop="1" thickBot="1" x14ac:dyDescent="0.3">
      <c r="A1193" s="193">
        <v>148</v>
      </c>
      <c r="B1193" s="85" t="s">
        <v>3340</v>
      </c>
      <c r="C1193" s="120" t="s">
        <v>2834</v>
      </c>
      <c r="D1193" s="111" t="s">
        <v>714</v>
      </c>
      <c r="E1193" s="111" t="s">
        <v>2835</v>
      </c>
      <c r="F1193" s="63" t="s">
        <v>52</v>
      </c>
      <c r="G1193" s="63" t="s">
        <v>53</v>
      </c>
      <c r="H1193" s="111" t="s">
        <v>733</v>
      </c>
      <c r="I1193" s="63" t="s">
        <v>710</v>
      </c>
      <c r="J1193" s="63" t="s">
        <v>1046</v>
      </c>
      <c r="K1193" s="63">
        <v>801116</v>
      </c>
      <c r="L1193" s="63" t="s">
        <v>2836</v>
      </c>
      <c r="M1193" s="63" t="s">
        <v>2837</v>
      </c>
      <c r="N1193" s="63" t="s">
        <v>2838</v>
      </c>
      <c r="O1193" s="63" t="s">
        <v>2839</v>
      </c>
      <c r="P1193" s="111" t="s">
        <v>3212</v>
      </c>
      <c r="Q1193" s="198">
        <v>4120000</v>
      </c>
      <c r="R1193" s="63">
        <v>6</v>
      </c>
      <c r="S1193" s="198">
        <f>111240000-20394000-29011667-21825700-17853333-22155300</f>
        <v>0</v>
      </c>
      <c r="T1193" s="112" t="s">
        <v>888</v>
      </c>
      <c r="U1193" s="63" t="s">
        <v>445</v>
      </c>
      <c r="V1193" s="81">
        <v>43322</v>
      </c>
      <c r="W1193" s="199"/>
      <c r="X1193" s="85"/>
      <c r="Y1193" s="81"/>
      <c r="Z1193" s="198"/>
      <c r="AA1193" s="84"/>
      <c r="AB1193" s="63"/>
      <c r="AC1193" s="81"/>
      <c r="AD1193" s="198"/>
      <c r="AE1193" s="63"/>
      <c r="AF1193" s="63"/>
      <c r="AG1193" s="81"/>
      <c r="AH1193" s="196"/>
      <c r="AI1193" s="84"/>
      <c r="AJ1193" s="63"/>
      <c r="AK1193" s="63"/>
      <c r="AL1193" s="196"/>
      <c r="AM1193" s="196">
        <v>0</v>
      </c>
      <c r="AN1193" s="196"/>
      <c r="AO1193" s="63"/>
      <c r="AP1193" s="63"/>
      <c r="AQ1193" s="63"/>
      <c r="AR1193" s="81"/>
      <c r="AS1193" s="63"/>
      <c r="AT1193" s="81"/>
      <c r="AU1193" s="63"/>
      <c r="AV1193" s="63"/>
      <c r="AW1193" s="63"/>
    </row>
    <row r="1194" spans="1:49" ht="357.75" thickTop="1" thickBot="1" x14ac:dyDescent="0.3">
      <c r="A1194" s="193">
        <v>149</v>
      </c>
      <c r="B1194" s="85" t="s">
        <v>3341</v>
      </c>
      <c r="C1194" s="120" t="s">
        <v>2834</v>
      </c>
      <c r="D1194" s="111" t="s">
        <v>714</v>
      </c>
      <c r="E1194" s="111" t="s">
        <v>2835</v>
      </c>
      <c r="F1194" s="63" t="s">
        <v>52</v>
      </c>
      <c r="G1194" s="63" t="s">
        <v>53</v>
      </c>
      <c r="H1194" s="111" t="s">
        <v>733</v>
      </c>
      <c r="I1194" s="63" t="s">
        <v>710</v>
      </c>
      <c r="J1194" s="63" t="s">
        <v>1046</v>
      </c>
      <c r="K1194" s="63">
        <v>801116</v>
      </c>
      <c r="L1194" s="63" t="s">
        <v>2836</v>
      </c>
      <c r="M1194" s="63" t="s">
        <v>2837</v>
      </c>
      <c r="N1194" s="63" t="s">
        <v>2838</v>
      </c>
      <c r="O1194" s="63" t="s">
        <v>2839</v>
      </c>
      <c r="P1194" s="111" t="s">
        <v>3342</v>
      </c>
      <c r="Q1194" s="198">
        <v>3553500</v>
      </c>
      <c r="R1194" s="63">
        <v>1</v>
      </c>
      <c r="S1194" s="198">
        <f>15990750-607700-14416567-966483</f>
        <v>0</v>
      </c>
      <c r="T1194" s="112" t="s">
        <v>888</v>
      </c>
      <c r="U1194" s="63" t="s">
        <v>445</v>
      </c>
      <c r="V1194" s="81">
        <v>43322</v>
      </c>
      <c r="W1194" s="199"/>
      <c r="X1194" s="85"/>
      <c r="Y1194" s="81"/>
      <c r="Z1194" s="198"/>
      <c r="AA1194" s="84"/>
      <c r="AB1194" s="63"/>
      <c r="AC1194" s="81"/>
      <c r="AD1194" s="198"/>
      <c r="AE1194" s="63"/>
      <c r="AF1194" s="63"/>
      <c r="AG1194" s="81"/>
      <c r="AH1194" s="196"/>
      <c r="AI1194" s="84"/>
      <c r="AJ1194" s="63"/>
      <c r="AK1194" s="63"/>
      <c r="AL1194" s="196"/>
      <c r="AM1194" s="196">
        <v>0</v>
      </c>
      <c r="AN1194" s="196"/>
      <c r="AO1194" s="63"/>
      <c r="AP1194" s="63"/>
      <c r="AQ1194" s="63"/>
      <c r="AR1194" s="81"/>
      <c r="AS1194" s="63"/>
      <c r="AT1194" s="81"/>
      <c r="AU1194" s="63"/>
      <c r="AV1194" s="63"/>
      <c r="AW1194" s="63"/>
    </row>
    <row r="1195" spans="1:49" ht="357.75" thickTop="1" thickBot="1" x14ac:dyDescent="0.3">
      <c r="A1195" s="193">
        <v>150</v>
      </c>
      <c r="B1195" s="85" t="s">
        <v>3343</v>
      </c>
      <c r="C1195" s="120" t="s">
        <v>2834</v>
      </c>
      <c r="D1195" s="111" t="s">
        <v>714</v>
      </c>
      <c r="E1195" s="111" t="s">
        <v>2835</v>
      </c>
      <c r="F1195" s="63" t="s">
        <v>52</v>
      </c>
      <c r="G1195" s="63" t="s">
        <v>53</v>
      </c>
      <c r="H1195" s="111" t="s">
        <v>733</v>
      </c>
      <c r="I1195" s="63" t="s">
        <v>710</v>
      </c>
      <c r="J1195" s="106" t="s">
        <v>1046</v>
      </c>
      <c r="K1195" s="63">
        <v>801116</v>
      </c>
      <c r="L1195" s="63" t="s">
        <v>2836</v>
      </c>
      <c r="M1195" s="63" t="s">
        <v>2837</v>
      </c>
      <c r="N1195" s="63" t="s">
        <v>2838</v>
      </c>
      <c r="O1195" s="63" t="s">
        <v>2839</v>
      </c>
      <c r="P1195" s="111" t="s">
        <v>3344</v>
      </c>
      <c r="Q1195" s="198">
        <v>1448028</v>
      </c>
      <c r="R1195" s="63">
        <v>2</v>
      </c>
      <c r="S1195" s="198">
        <f>13032250-10634750-2060000-337500</f>
        <v>0</v>
      </c>
      <c r="T1195" s="112" t="s">
        <v>888</v>
      </c>
      <c r="U1195" s="63" t="s">
        <v>445</v>
      </c>
      <c r="V1195" s="81">
        <v>43322</v>
      </c>
      <c r="W1195" s="199"/>
      <c r="X1195" s="85"/>
      <c r="Y1195" s="81"/>
      <c r="Z1195" s="198"/>
      <c r="AA1195" s="84"/>
      <c r="AB1195" s="63"/>
      <c r="AC1195" s="81"/>
      <c r="AD1195" s="198"/>
      <c r="AE1195" s="63"/>
      <c r="AF1195" s="63"/>
      <c r="AG1195" s="81"/>
      <c r="AH1195" s="196"/>
      <c r="AI1195" s="84"/>
      <c r="AJ1195" s="63"/>
      <c r="AK1195" s="63"/>
      <c r="AL1195" s="196"/>
      <c r="AM1195" s="196">
        <v>0</v>
      </c>
      <c r="AN1195" s="196"/>
      <c r="AO1195" s="63"/>
      <c r="AP1195" s="63"/>
      <c r="AQ1195" s="63"/>
      <c r="AR1195" s="81"/>
      <c r="AS1195" s="63"/>
      <c r="AT1195" s="81"/>
      <c r="AU1195" s="63"/>
      <c r="AV1195" s="63"/>
      <c r="AW1195" s="63"/>
    </row>
    <row r="1196" spans="1:49" ht="357.75" thickTop="1" thickBot="1" x14ac:dyDescent="0.3">
      <c r="A1196" s="193">
        <v>151</v>
      </c>
      <c r="B1196" s="85" t="s">
        <v>3345</v>
      </c>
      <c r="C1196" s="120" t="s">
        <v>2834</v>
      </c>
      <c r="D1196" s="111" t="s">
        <v>714</v>
      </c>
      <c r="E1196" s="111" t="s">
        <v>2835</v>
      </c>
      <c r="F1196" s="63" t="s">
        <v>52</v>
      </c>
      <c r="G1196" s="63" t="s">
        <v>53</v>
      </c>
      <c r="H1196" s="111" t="s">
        <v>733</v>
      </c>
      <c r="I1196" s="63" t="s">
        <v>710</v>
      </c>
      <c r="J1196" s="106" t="s">
        <v>1046</v>
      </c>
      <c r="K1196" s="63">
        <v>801116</v>
      </c>
      <c r="L1196" s="63" t="s">
        <v>2836</v>
      </c>
      <c r="M1196" s="63" t="s">
        <v>2837</v>
      </c>
      <c r="N1196" s="63" t="s">
        <v>2838</v>
      </c>
      <c r="O1196" s="63" t="s">
        <v>2839</v>
      </c>
      <c r="P1196" s="111" t="s">
        <v>3266</v>
      </c>
      <c r="Q1196" s="198">
        <f t="shared" ref="Q1196:Q1203" si="132">S1196/W1196</f>
        <v>4532000</v>
      </c>
      <c r="R1196" s="63">
        <v>1</v>
      </c>
      <c r="S1196" s="198">
        <v>20394000</v>
      </c>
      <c r="T1196" s="112" t="s">
        <v>888</v>
      </c>
      <c r="U1196" s="63" t="s">
        <v>445</v>
      </c>
      <c r="V1196" s="81">
        <v>43322</v>
      </c>
      <c r="W1196" s="199">
        <v>4.5</v>
      </c>
      <c r="X1196" s="85" t="s">
        <v>3346</v>
      </c>
      <c r="Y1196" s="81">
        <v>43326</v>
      </c>
      <c r="Z1196" s="198">
        <v>20394000</v>
      </c>
      <c r="AA1196" s="84"/>
      <c r="AB1196" s="63">
        <v>1069</v>
      </c>
      <c r="AC1196" s="81">
        <v>43328</v>
      </c>
      <c r="AD1196" s="198">
        <v>20394000</v>
      </c>
      <c r="AE1196" s="63"/>
      <c r="AF1196" s="63">
        <v>2737</v>
      </c>
      <c r="AG1196" s="81">
        <v>43336</v>
      </c>
      <c r="AH1196" s="196">
        <v>20394000</v>
      </c>
      <c r="AI1196" s="84" t="s">
        <v>3347</v>
      </c>
      <c r="AJ1196" s="63">
        <v>530</v>
      </c>
      <c r="AK1196" s="63"/>
      <c r="AL1196" s="196">
        <v>20394000</v>
      </c>
      <c r="AM1196" s="196">
        <f>+VLOOKUP(AF1196,'[2]CRP a 31 Agosto de 2018'!$J$8:$V$2956,13,0)</f>
        <v>0</v>
      </c>
      <c r="AN1196" s="196">
        <f>AL1196-AM1196</f>
        <v>20394000</v>
      </c>
      <c r="AO1196" s="63"/>
      <c r="AP1196" s="63"/>
      <c r="AQ1196" s="63"/>
      <c r="AR1196" s="81"/>
      <c r="AS1196" s="63"/>
      <c r="AT1196" s="81"/>
      <c r="AU1196" s="63"/>
      <c r="AV1196" s="63"/>
      <c r="AW1196" s="63"/>
    </row>
    <row r="1197" spans="1:49" ht="357.75" thickTop="1" thickBot="1" x14ac:dyDescent="0.3">
      <c r="A1197" s="193">
        <v>152</v>
      </c>
      <c r="B1197" s="85" t="s">
        <v>3348</v>
      </c>
      <c r="C1197" s="120" t="s">
        <v>2834</v>
      </c>
      <c r="D1197" s="111" t="s">
        <v>714</v>
      </c>
      <c r="E1197" s="111" t="s">
        <v>2835</v>
      </c>
      <c r="F1197" s="63" t="s">
        <v>52</v>
      </c>
      <c r="G1197" s="63" t="s">
        <v>53</v>
      </c>
      <c r="H1197" s="111" t="s">
        <v>733</v>
      </c>
      <c r="I1197" s="63" t="s">
        <v>710</v>
      </c>
      <c r="J1197" s="106" t="s">
        <v>3183</v>
      </c>
      <c r="K1197" s="63">
        <v>801116</v>
      </c>
      <c r="L1197" s="63" t="s">
        <v>2836</v>
      </c>
      <c r="M1197" s="63" t="s">
        <v>2837</v>
      </c>
      <c r="N1197" s="63" t="s">
        <v>2838</v>
      </c>
      <c r="O1197" s="63" t="s">
        <v>2839</v>
      </c>
      <c r="P1197" s="111" t="s">
        <v>3201</v>
      </c>
      <c r="Q1197" s="198">
        <f t="shared" si="132"/>
        <v>4120000.2400000188</v>
      </c>
      <c r="R1197" s="63">
        <v>1</v>
      </c>
      <c r="S1197" s="198">
        <v>17853333</v>
      </c>
      <c r="T1197" s="112" t="s">
        <v>888</v>
      </c>
      <c r="U1197" s="63" t="s">
        <v>445</v>
      </c>
      <c r="V1197" s="81">
        <v>43322</v>
      </c>
      <c r="W1197" s="199">
        <v>4.3333329999999997</v>
      </c>
      <c r="X1197" s="85" t="s">
        <v>3349</v>
      </c>
      <c r="Y1197" s="81"/>
      <c r="Z1197" s="198">
        <v>17853333</v>
      </c>
      <c r="AA1197" s="84"/>
      <c r="AB1197" s="63"/>
      <c r="AC1197" s="81"/>
      <c r="AD1197" s="198"/>
      <c r="AE1197" s="63"/>
      <c r="AF1197" s="63"/>
      <c r="AG1197" s="81"/>
      <c r="AH1197" s="196"/>
      <c r="AI1197" s="84"/>
      <c r="AJ1197" s="63"/>
      <c r="AK1197" s="63"/>
      <c r="AL1197" s="196"/>
      <c r="AM1197" s="196">
        <v>0</v>
      </c>
      <c r="AN1197" s="196"/>
      <c r="AO1197" s="63"/>
      <c r="AP1197" s="63"/>
      <c r="AQ1197" s="63"/>
      <c r="AR1197" s="81"/>
      <c r="AS1197" s="63"/>
      <c r="AT1197" s="81"/>
      <c r="AU1197" s="63"/>
      <c r="AV1197" s="63"/>
      <c r="AW1197" s="63"/>
    </row>
    <row r="1198" spans="1:49" ht="300.75" thickTop="1" thickBot="1" x14ac:dyDescent="0.3">
      <c r="A1198" s="193">
        <v>153</v>
      </c>
      <c r="B1198" s="85" t="s">
        <v>3350</v>
      </c>
      <c r="C1198" s="120" t="s">
        <v>2834</v>
      </c>
      <c r="D1198" s="111" t="s">
        <v>714</v>
      </c>
      <c r="E1198" s="111" t="s">
        <v>2843</v>
      </c>
      <c r="F1198" s="63" t="s">
        <v>52</v>
      </c>
      <c r="G1198" s="63" t="s">
        <v>53</v>
      </c>
      <c r="H1198" s="111" t="s">
        <v>733</v>
      </c>
      <c r="I1198" s="63" t="s">
        <v>55</v>
      </c>
      <c r="J1198" s="106" t="s">
        <v>56</v>
      </c>
      <c r="K1198" s="63">
        <v>801116</v>
      </c>
      <c r="L1198" s="63" t="s">
        <v>2836</v>
      </c>
      <c r="M1198" s="63" t="s">
        <v>2837</v>
      </c>
      <c r="N1198" s="63" t="s">
        <v>2838</v>
      </c>
      <c r="O1198" s="63" t="s">
        <v>2839</v>
      </c>
      <c r="P1198" s="111" t="s">
        <v>3344</v>
      </c>
      <c r="Q1198" s="198">
        <f t="shared" si="132"/>
        <v>2472000.190153861</v>
      </c>
      <c r="R1198" s="63">
        <v>1</v>
      </c>
      <c r="S1198" s="198">
        <v>10712000</v>
      </c>
      <c r="T1198" s="112" t="s">
        <v>888</v>
      </c>
      <c r="U1198" s="63" t="s">
        <v>445</v>
      </c>
      <c r="V1198" s="81">
        <v>43322</v>
      </c>
      <c r="W1198" s="199">
        <v>4.3333329999999997</v>
      </c>
      <c r="X1198" s="85" t="s">
        <v>3351</v>
      </c>
      <c r="Y1198" s="81"/>
      <c r="Z1198" s="198">
        <v>10712000</v>
      </c>
      <c r="AA1198" s="84"/>
      <c r="AB1198" s="63"/>
      <c r="AC1198" s="81"/>
      <c r="AD1198" s="198"/>
      <c r="AE1198" s="63"/>
      <c r="AF1198" s="63"/>
      <c r="AG1198" s="81"/>
      <c r="AH1198" s="196"/>
      <c r="AI1198" s="84"/>
      <c r="AJ1198" s="63"/>
      <c r="AK1198" s="63"/>
      <c r="AL1198" s="196"/>
      <c r="AM1198" s="196">
        <v>0</v>
      </c>
      <c r="AN1198" s="196"/>
      <c r="AO1198" s="63"/>
      <c r="AP1198" s="63"/>
      <c r="AQ1198" s="63"/>
      <c r="AR1198" s="81"/>
      <c r="AS1198" s="63"/>
      <c r="AT1198" s="81"/>
      <c r="AU1198" s="63"/>
      <c r="AV1198" s="63"/>
      <c r="AW1198" s="63"/>
    </row>
    <row r="1199" spans="1:49" ht="357.75" thickTop="1" thickBot="1" x14ac:dyDescent="0.3">
      <c r="A1199" s="193">
        <v>154</v>
      </c>
      <c r="B1199" s="85" t="s">
        <v>3352</v>
      </c>
      <c r="C1199" s="120" t="s">
        <v>2834</v>
      </c>
      <c r="D1199" s="111" t="s">
        <v>714</v>
      </c>
      <c r="E1199" s="111" t="s">
        <v>2835</v>
      </c>
      <c r="F1199" s="63" t="s">
        <v>52</v>
      </c>
      <c r="G1199" s="63" t="s">
        <v>53</v>
      </c>
      <c r="H1199" s="111" t="s">
        <v>733</v>
      </c>
      <c r="I1199" s="63" t="s">
        <v>710</v>
      </c>
      <c r="J1199" s="106" t="s">
        <v>3183</v>
      </c>
      <c r="K1199" s="63">
        <v>801116</v>
      </c>
      <c r="L1199" s="63" t="s">
        <v>2836</v>
      </c>
      <c r="M1199" s="63" t="s">
        <v>2837</v>
      </c>
      <c r="N1199" s="63" t="s">
        <v>2838</v>
      </c>
      <c r="O1199" s="63" t="s">
        <v>2839</v>
      </c>
      <c r="P1199" s="111" t="s">
        <v>3342</v>
      </c>
      <c r="Q1199" s="198">
        <f t="shared" si="132"/>
        <v>3553500.273346175</v>
      </c>
      <c r="R1199" s="63">
        <v>1</v>
      </c>
      <c r="S1199" s="198">
        <v>15398500</v>
      </c>
      <c r="T1199" s="112" t="s">
        <v>888</v>
      </c>
      <c r="U1199" s="63" t="s">
        <v>445</v>
      </c>
      <c r="V1199" s="81">
        <v>43322</v>
      </c>
      <c r="W1199" s="199">
        <v>4.3333329999999997</v>
      </c>
      <c r="X1199" s="85" t="s">
        <v>3353</v>
      </c>
      <c r="Y1199" s="81"/>
      <c r="Z1199" s="198">
        <v>15398500</v>
      </c>
      <c r="AA1199" s="84"/>
      <c r="AB1199" s="63">
        <v>1076</v>
      </c>
      <c r="AC1199" s="81">
        <v>43333</v>
      </c>
      <c r="AD1199" s="198">
        <v>15398500</v>
      </c>
      <c r="AE1199" s="63"/>
      <c r="AF1199" s="63">
        <v>2768</v>
      </c>
      <c r="AG1199" s="81">
        <v>43343</v>
      </c>
      <c r="AH1199" s="196">
        <v>15398500</v>
      </c>
      <c r="AI1199" s="84" t="s">
        <v>3354</v>
      </c>
      <c r="AJ1199" s="63">
        <v>545</v>
      </c>
      <c r="AK1199" s="63"/>
      <c r="AL1199" s="196">
        <v>15398500</v>
      </c>
      <c r="AM1199" s="196">
        <f>+VLOOKUP(AF1199,'[2]CRP a 31 Agosto de 2018'!$J$8:$V$2956,13,0)</f>
        <v>0</v>
      </c>
      <c r="AN1199" s="196">
        <f>AL1199-AM1199</f>
        <v>15398500</v>
      </c>
      <c r="AO1199" s="63"/>
      <c r="AP1199" s="63"/>
      <c r="AQ1199" s="63"/>
      <c r="AR1199" s="81"/>
      <c r="AS1199" s="63"/>
      <c r="AT1199" s="81"/>
      <c r="AU1199" s="63"/>
      <c r="AV1199" s="63"/>
      <c r="AW1199" s="63"/>
    </row>
    <row r="1200" spans="1:49" ht="357.75" thickTop="1" thickBot="1" x14ac:dyDescent="0.3">
      <c r="A1200" s="193">
        <v>155</v>
      </c>
      <c r="B1200" s="85" t="s">
        <v>3355</v>
      </c>
      <c r="C1200" s="120" t="s">
        <v>2834</v>
      </c>
      <c r="D1200" s="111" t="s">
        <v>714</v>
      </c>
      <c r="E1200" s="111" t="s">
        <v>2835</v>
      </c>
      <c r="F1200" s="63" t="s">
        <v>52</v>
      </c>
      <c r="G1200" s="63" t="s">
        <v>53</v>
      </c>
      <c r="H1200" s="111" t="s">
        <v>733</v>
      </c>
      <c r="I1200" s="63" t="s">
        <v>55</v>
      </c>
      <c r="J1200" s="106" t="s">
        <v>56</v>
      </c>
      <c r="K1200" s="63">
        <v>801116</v>
      </c>
      <c r="L1200" s="63" t="s">
        <v>2836</v>
      </c>
      <c r="M1200" s="63" t="s">
        <v>2837</v>
      </c>
      <c r="N1200" s="63" t="s">
        <v>2838</v>
      </c>
      <c r="O1200" s="63" t="s">
        <v>2839</v>
      </c>
      <c r="P1200" s="111" t="s">
        <v>3201</v>
      </c>
      <c r="Q1200" s="198">
        <f t="shared" si="132"/>
        <v>4120000.2400000188</v>
      </c>
      <c r="R1200" s="63">
        <v>1</v>
      </c>
      <c r="S1200" s="198">
        <v>17853333</v>
      </c>
      <c r="T1200" s="112" t="s">
        <v>888</v>
      </c>
      <c r="U1200" s="63" t="s">
        <v>445</v>
      </c>
      <c r="V1200" s="81">
        <v>43322</v>
      </c>
      <c r="W1200" s="199">
        <v>4.3333329999999997</v>
      </c>
      <c r="X1200" s="85" t="s">
        <v>3356</v>
      </c>
      <c r="Y1200" s="81"/>
      <c r="Z1200" s="198">
        <v>17853333</v>
      </c>
      <c r="AA1200" s="84"/>
      <c r="AB1200" s="63"/>
      <c r="AC1200" s="81"/>
      <c r="AD1200" s="198"/>
      <c r="AE1200" s="63"/>
      <c r="AF1200" s="63"/>
      <c r="AG1200" s="81"/>
      <c r="AH1200" s="196"/>
      <c r="AI1200" s="84"/>
      <c r="AJ1200" s="63"/>
      <c r="AK1200" s="63"/>
      <c r="AL1200" s="196"/>
      <c r="AM1200" s="196">
        <v>0</v>
      </c>
      <c r="AN1200" s="196"/>
      <c r="AO1200" s="63"/>
      <c r="AP1200" s="63"/>
      <c r="AQ1200" s="63"/>
      <c r="AR1200" s="81"/>
      <c r="AS1200" s="63"/>
      <c r="AT1200" s="81"/>
      <c r="AU1200" s="63"/>
      <c r="AV1200" s="63"/>
      <c r="AW1200" s="63"/>
    </row>
    <row r="1201" spans="1:49" ht="357.75" thickTop="1" thickBot="1" x14ac:dyDescent="0.3">
      <c r="A1201" s="193">
        <v>156</v>
      </c>
      <c r="B1201" s="85" t="s">
        <v>3357</v>
      </c>
      <c r="C1201" s="120" t="s">
        <v>2834</v>
      </c>
      <c r="D1201" s="111" t="s">
        <v>714</v>
      </c>
      <c r="E1201" s="111" t="s">
        <v>2835</v>
      </c>
      <c r="F1201" s="63" t="s">
        <v>52</v>
      </c>
      <c r="G1201" s="63" t="s">
        <v>53</v>
      </c>
      <c r="H1201" s="111" t="s">
        <v>733</v>
      </c>
      <c r="I1201" s="63" t="s">
        <v>710</v>
      </c>
      <c r="J1201" s="106" t="s">
        <v>3183</v>
      </c>
      <c r="K1201" s="63">
        <v>801116</v>
      </c>
      <c r="L1201" s="63" t="s">
        <v>2836</v>
      </c>
      <c r="M1201" s="63" t="s">
        <v>2837</v>
      </c>
      <c r="N1201" s="63" t="s">
        <v>2838</v>
      </c>
      <c r="O1201" s="63" t="s">
        <v>2839</v>
      </c>
      <c r="P1201" s="111" t="s">
        <v>3201</v>
      </c>
      <c r="Q1201" s="198">
        <f t="shared" si="132"/>
        <v>3553500.273346175</v>
      </c>
      <c r="R1201" s="63">
        <v>1</v>
      </c>
      <c r="S1201" s="198">
        <v>15398500</v>
      </c>
      <c r="T1201" s="112" t="s">
        <v>888</v>
      </c>
      <c r="U1201" s="63" t="s">
        <v>445</v>
      </c>
      <c r="V1201" s="81">
        <v>43322</v>
      </c>
      <c r="W1201" s="199">
        <v>4.3333329999999997</v>
      </c>
      <c r="X1201" s="85" t="s">
        <v>3358</v>
      </c>
      <c r="Y1201" s="81"/>
      <c r="Z1201" s="198">
        <v>15398500</v>
      </c>
      <c r="AA1201" s="84"/>
      <c r="AB1201" s="63"/>
      <c r="AC1201" s="81"/>
      <c r="AD1201" s="198"/>
      <c r="AE1201" s="63"/>
      <c r="AF1201" s="63"/>
      <c r="AG1201" s="81"/>
      <c r="AH1201" s="196"/>
      <c r="AI1201" s="84"/>
      <c r="AJ1201" s="63"/>
      <c r="AK1201" s="63"/>
      <c r="AL1201" s="196"/>
      <c r="AM1201" s="196">
        <v>0</v>
      </c>
      <c r="AN1201" s="196"/>
      <c r="AO1201" s="63"/>
      <c r="AP1201" s="63"/>
      <c r="AQ1201" s="63"/>
      <c r="AR1201" s="81"/>
      <c r="AS1201" s="63"/>
      <c r="AT1201" s="81"/>
      <c r="AU1201" s="63"/>
      <c r="AV1201" s="63"/>
      <c r="AW1201" s="63"/>
    </row>
    <row r="1202" spans="1:49" ht="357.75" thickTop="1" thickBot="1" x14ac:dyDescent="0.3">
      <c r="A1202" s="193">
        <v>157</v>
      </c>
      <c r="B1202" s="85" t="s">
        <v>3359</v>
      </c>
      <c r="C1202" s="120" t="s">
        <v>2834</v>
      </c>
      <c r="D1202" s="111" t="s">
        <v>714</v>
      </c>
      <c r="E1202" s="111" t="s">
        <v>2835</v>
      </c>
      <c r="F1202" s="63" t="s">
        <v>52</v>
      </c>
      <c r="G1202" s="63" t="s">
        <v>53</v>
      </c>
      <c r="H1202" s="111" t="s">
        <v>733</v>
      </c>
      <c r="I1202" s="63" t="s">
        <v>710</v>
      </c>
      <c r="J1202" s="106" t="s">
        <v>3183</v>
      </c>
      <c r="K1202" s="63">
        <v>801116</v>
      </c>
      <c r="L1202" s="63" t="s">
        <v>2836</v>
      </c>
      <c r="M1202" s="63" t="s">
        <v>2837</v>
      </c>
      <c r="N1202" s="63" t="s">
        <v>2838</v>
      </c>
      <c r="O1202" s="63" t="s">
        <v>2839</v>
      </c>
      <c r="P1202" s="111" t="s">
        <v>3201</v>
      </c>
      <c r="Q1202" s="198">
        <f t="shared" si="132"/>
        <v>4120000.2400000188</v>
      </c>
      <c r="R1202" s="63">
        <v>1</v>
      </c>
      <c r="S1202" s="198">
        <v>17853333</v>
      </c>
      <c r="T1202" s="112" t="s">
        <v>888</v>
      </c>
      <c r="U1202" s="63" t="s">
        <v>445</v>
      </c>
      <c r="V1202" s="81">
        <v>43322</v>
      </c>
      <c r="W1202" s="199">
        <v>4.3333329999999997</v>
      </c>
      <c r="X1202" s="85" t="s">
        <v>3360</v>
      </c>
      <c r="Y1202" s="81"/>
      <c r="Z1202" s="198">
        <v>17853333</v>
      </c>
      <c r="AA1202" s="84"/>
      <c r="AB1202" s="63"/>
      <c r="AC1202" s="81"/>
      <c r="AD1202" s="198"/>
      <c r="AE1202" s="63"/>
      <c r="AF1202" s="63"/>
      <c r="AG1202" s="81"/>
      <c r="AH1202" s="196"/>
      <c r="AI1202" s="84"/>
      <c r="AJ1202" s="63"/>
      <c r="AK1202" s="63"/>
      <c r="AL1202" s="196"/>
      <c r="AM1202" s="196">
        <v>0</v>
      </c>
      <c r="AN1202" s="196"/>
      <c r="AO1202" s="63"/>
      <c r="AP1202" s="63"/>
      <c r="AQ1202" s="63"/>
      <c r="AR1202" s="81"/>
      <c r="AS1202" s="63"/>
      <c r="AT1202" s="81"/>
      <c r="AU1202" s="63"/>
      <c r="AV1202" s="63"/>
      <c r="AW1202" s="63"/>
    </row>
    <row r="1203" spans="1:49" ht="357.75" thickTop="1" thickBot="1" x14ac:dyDescent="0.3">
      <c r="A1203" s="193">
        <v>158</v>
      </c>
      <c r="B1203" s="85" t="s">
        <v>3361</v>
      </c>
      <c r="C1203" s="120" t="s">
        <v>2834</v>
      </c>
      <c r="D1203" s="111" t="s">
        <v>714</v>
      </c>
      <c r="E1203" s="111" t="s">
        <v>2835</v>
      </c>
      <c r="F1203" s="63" t="s">
        <v>52</v>
      </c>
      <c r="G1203" s="63" t="s">
        <v>53</v>
      </c>
      <c r="H1203" s="111" t="s">
        <v>733</v>
      </c>
      <c r="I1203" s="63" t="s">
        <v>710</v>
      </c>
      <c r="J1203" s="106" t="s">
        <v>3183</v>
      </c>
      <c r="K1203" s="63">
        <v>801116</v>
      </c>
      <c r="L1203" s="63" t="s">
        <v>2836</v>
      </c>
      <c r="M1203" s="63" t="s">
        <v>2837</v>
      </c>
      <c r="N1203" s="63" t="s">
        <v>2838</v>
      </c>
      <c r="O1203" s="63" t="s">
        <v>2839</v>
      </c>
      <c r="P1203" s="111" t="s">
        <v>3201</v>
      </c>
      <c r="Q1203" s="198">
        <f t="shared" si="132"/>
        <v>4067223.3128633322</v>
      </c>
      <c r="R1203" s="63">
        <v>1</v>
      </c>
      <c r="S1203" s="198">
        <f>17853332-228699</f>
        <v>17624633</v>
      </c>
      <c r="T1203" s="112" t="s">
        <v>888</v>
      </c>
      <c r="U1203" s="63" t="s">
        <v>445</v>
      </c>
      <c r="V1203" s="81">
        <v>43322</v>
      </c>
      <c r="W1203" s="199">
        <v>4.3333329999999997</v>
      </c>
      <c r="X1203" s="85" t="s">
        <v>3362</v>
      </c>
      <c r="Y1203" s="81">
        <v>43327</v>
      </c>
      <c r="Z1203" s="198">
        <v>17853332</v>
      </c>
      <c r="AA1203" s="84"/>
      <c r="AB1203" s="63">
        <v>1081</v>
      </c>
      <c r="AC1203" s="81">
        <v>43333</v>
      </c>
      <c r="AD1203" s="198">
        <v>17853332</v>
      </c>
      <c r="AE1203" s="115">
        <f>+AD1203-AH1203</f>
        <v>1373332</v>
      </c>
      <c r="AF1203" s="63">
        <v>2831</v>
      </c>
      <c r="AG1203" s="81">
        <v>43353</v>
      </c>
      <c r="AH1203" s="196">
        <v>16480000</v>
      </c>
      <c r="AI1203" s="84" t="s">
        <v>3363</v>
      </c>
      <c r="AJ1203" s="63">
        <v>556</v>
      </c>
      <c r="AK1203" s="63"/>
      <c r="AL1203" s="196"/>
      <c r="AM1203" s="196">
        <v>0</v>
      </c>
      <c r="AN1203" s="196"/>
      <c r="AO1203" s="63"/>
      <c r="AP1203" s="63"/>
      <c r="AQ1203" s="63"/>
      <c r="AR1203" s="81"/>
      <c r="AS1203" s="63"/>
      <c r="AT1203" s="81"/>
      <c r="AU1203" s="63"/>
      <c r="AV1203" s="63"/>
      <c r="AW1203" s="63"/>
    </row>
    <row r="1204" spans="1:49" ht="409.6" thickTop="1" thickBot="1" x14ac:dyDescent="0.3">
      <c r="A1204" s="193">
        <v>159</v>
      </c>
      <c r="B1204" s="85" t="s">
        <v>3364</v>
      </c>
      <c r="C1204" s="120" t="s">
        <v>2834</v>
      </c>
      <c r="D1204" s="111" t="s">
        <v>714</v>
      </c>
      <c r="E1204" s="111" t="s">
        <v>2845</v>
      </c>
      <c r="F1204" s="63" t="s">
        <v>425</v>
      </c>
      <c r="G1204" s="63" t="s">
        <v>3365</v>
      </c>
      <c r="H1204" s="111" t="s">
        <v>933</v>
      </c>
      <c r="I1204" s="63" t="s">
        <v>55</v>
      </c>
      <c r="J1204" s="106" t="s">
        <v>56</v>
      </c>
      <c r="K1204" s="63">
        <v>801116</v>
      </c>
      <c r="L1204" s="63" t="s">
        <v>2836</v>
      </c>
      <c r="M1204" s="63" t="s">
        <v>2837</v>
      </c>
      <c r="N1204" s="63" t="s">
        <v>2838</v>
      </c>
      <c r="O1204" s="63" t="s">
        <v>2839</v>
      </c>
      <c r="P1204" s="111" t="s">
        <v>3366</v>
      </c>
      <c r="Q1204" s="198">
        <f>S1204/W1204</f>
        <v>8571428.5714285709</v>
      </c>
      <c r="R1204" s="63">
        <v>1</v>
      </c>
      <c r="S1204" s="198">
        <v>30000000</v>
      </c>
      <c r="T1204" s="112" t="s">
        <v>888</v>
      </c>
      <c r="U1204" s="63" t="s">
        <v>445</v>
      </c>
      <c r="V1204" s="81">
        <v>43327</v>
      </c>
      <c r="W1204" s="199">
        <v>3.5</v>
      </c>
      <c r="X1204" s="85" t="s">
        <v>3367</v>
      </c>
      <c r="Y1204" s="81"/>
      <c r="Z1204" s="198">
        <v>30000000</v>
      </c>
      <c r="AA1204" s="84"/>
      <c r="AB1204" s="63"/>
      <c r="AC1204" s="81"/>
      <c r="AD1204" s="198"/>
      <c r="AE1204" s="63"/>
      <c r="AF1204" s="63"/>
      <c r="AG1204" s="81"/>
      <c r="AH1204" s="196"/>
      <c r="AI1204" s="84"/>
      <c r="AJ1204" s="63"/>
      <c r="AK1204" s="63"/>
      <c r="AL1204" s="196"/>
      <c r="AM1204" s="196">
        <v>0</v>
      </c>
      <c r="AN1204" s="196"/>
      <c r="AO1204" s="63"/>
      <c r="AP1204" s="63"/>
      <c r="AQ1204" s="63"/>
      <c r="AR1204" s="81"/>
      <c r="AS1204" s="63"/>
      <c r="AT1204" s="81"/>
      <c r="AU1204" s="63"/>
      <c r="AV1204" s="63"/>
      <c r="AW1204" s="63"/>
    </row>
    <row r="1205" spans="1:49" ht="357.75" thickTop="1" thickBot="1" x14ac:dyDescent="0.3">
      <c r="A1205" s="193">
        <v>160</v>
      </c>
      <c r="B1205" s="85" t="s">
        <v>3368</v>
      </c>
      <c r="C1205" s="120" t="s">
        <v>2834</v>
      </c>
      <c r="D1205" s="111" t="s">
        <v>714</v>
      </c>
      <c r="E1205" s="111" t="s">
        <v>2835</v>
      </c>
      <c r="F1205" s="63" t="s">
        <v>52</v>
      </c>
      <c r="G1205" s="63" t="s">
        <v>53</v>
      </c>
      <c r="H1205" s="111" t="s">
        <v>733</v>
      </c>
      <c r="I1205" s="63" t="s">
        <v>710</v>
      </c>
      <c r="J1205" s="106" t="s">
        <v>1046</v>
      </c>
      <c r="K1205" s="63">
        <v>801116</v>
      </c>
      <c r="L1205" s="63" t="s">
        <v>2836</v>
      </c>
      <c r="M1205" s="63" t="s">
        <v>2837</v>
      </c>
      <c r="N1205" s="63" t="s">
        <v>2838</v>
      </c>
      <c r="O1205" s="63" t="s">
        <v>2839</v>
      </c>
      <c r="P1205" s="111" t="s">
        <v>2851</v>
      </c>
      <c r="Q1205" s="198">
        <f t="shared" ref="Q1205:Q1220" si="133">S1205/W1205</f>
        <v>6695000.5919231232</v>
      </c>
      <c r="R1205" s="63">
        <v>1</v>
      </c>
      <c r="S1205" s="198">
        <v>29011667</v>
      </c>
      <c r="T1205" s="112" t="s">
        <v>888</v>
      </c>
      <c r="U1205" s="63" t="s">
        <v>445</v>
      </c>
      <c r="V1205" s="81">
        <v>43327</v>
      </c>
      <c r="W1205" s="199">
        <v>4.3333329999999997</v>
      </c>
      <c r="X1205" s="85" t="s">
        <v>3369</v>
      </c>
      <c r="Y1205" s="81"/>
      <c r="Z1205" s="198">
        <v>29011667</v>
      </c>
      <c r="AA1205" s="84"/>
      <c r="AB1205" s="63"/>
      <c r="AC1205" s="81"/>
      <c r="AD1205" s="198"/>
      <c r="AE1205" s="63"/>
      <c r="AF1205" s="63"/>
      <c r="AG1205" s="81"/>
      <c r="AH1205" s="196"/>
      <c r="AI1205" s="84"/>
      <c r="AJ1205" s="63"/>
      <c r="AK1205" s="63"/>
      <c r="AL1205" s="196"/>
      <c r="AM1205" s="196">
        <v>0</v>
      </c>
      <c r="AN1205" s="196"/>
      <c r="AO1205" s="63"/>
      <c r="AP1205" s="63"/>
      <c r="AQ1205" s="63"/>
      <c r="AR1205" s="81"/>
      <c r="AS1205" s="63"/>
      <c r="AT1205" s="81"/>
      <c r="AU1205" s="63"/>
      <c r="AV1205" s="63"/>
      <c r="AW1205" s="63"/>
    </row>
    <row r="1206" spans="1:49" ht="357.75" thickTop="1" thickBot="1" x14ac:dyDescent="0.3">
      <c r="A1206" s="193">
        <v>161</v>
      </c>
      <c r="B1206" s="85" t="s">
        <v>3370</v>
      </c>
      <c r="C1206" s="120" t="s">
        <v>2834</v>
      </c>
      <c r="D1206" s="111" t="s">
        <v>714</v>
      </c>
      <c r="E1206" s="111" t="s">
        <v>2835</v>
      </c>
      <c r="F1206" s="63" t="s">
        <v>52</v>
      </c>
      <c r="G1206" s="63" t="s">
        <v>53</v>
      </c>
      <c r="H1206" s="111" t="s">
        <v>733</v>
      </c>
      <c r="I1206" s="63" t="s">
        <v>710</v>
      </c>
      <c r="J1206" s="106" t="s">
        <v>1046</v>
      </c>
      <c r="K1206" s="63">
        <v>801116</v>
      </c>
      <c r="L1206" s="63" t="s">
        <v>2836</v>
      </c>
      <c r="M1206" s="63" t="s">
        <v>2837</v>
      </c>
      <c r="N1206" s="63" t="s">
        <v>2838</v>
      </c>
      <c r="O1206" s="63" t="s">
        <v>2839</v>
      </c>
      <c r="P1206" s="111" t="s">
        <v>2851</v>
      </c>
      <c r="Q1206" s="198">
        <f t="shared" si="133"/>
        <v>5036700.3874384919</v>
      </c>
      <c r="R1206" s="63">
        <v>1</v>
      </c>
      <c r="S1206" s="198">
        <v>21825700</v>
      </c>
      <c r="T1206" s="112" t="s">
        <v>888</v>
      </c>
      <c r="U1206" s="63" t="s">
        <v>445</v>
      </c>
      <c r="V1206" s="81">
        <v>43327</v>
      </c>
      <c r="W1206" s="199">
        <v>4.3333329999999997</v>
      </c>
      <c r="X1206" s="85" t="s">
        <v>3371</v>
      </c>
      <c r="Y1206" s="81"/>
      <c r="Z1206" s="198">
        <v>21825700</v>
      </c>
      <c r="AA1206" s="84"/>
      <c r="AB1206" s="63">
        <v>1091</v>
      </c>
      <c r="AC1206" s="81"/>
      <c r="AD1206" s="198"/>
      <c r="AE1206" s="63"/>
      <c r="AF1206" s="63">
        <v>2766</v>
      </c>
      <c r="AG1206" s="81">
        <v>43342</v>
      </c>
      <c r="AH1206" s="196">
        <v>21825700</v>
      </c>
      <c r="AI1206" s="84" t="s">
        <v>2987</v>
      </c>
      <c r="AJ1206" s="63">
        <v>543</v>
      </c>
      <c r="AK1206" s="63"/>
      <c r="AL1206" s="196">
        <v>21825700</v>
      </c>
      <c r="AM1206" s="196">
        <f>+VLOOKUP(AF1206,'[2]CRP a 31 Agosto de 2018'!$J$8:$V$2956,13,0)</f>
        <v>0</v>
      </c>
      <c r="AN1206" s="196">
        <f>AL1206-AM1206</f>
        <v>21825700</v>
      </c>
      <c r="AO1206" s="63"/>
      <c r="AP1206" s="63"/>
      <c r="AQ1206" s="63"/>
      <c r="AR1206" s="81"/>
      <c r="AS1206" s="63"/>
      <c r="AT1206" s="81"/>
      <c r="AU1206" s="63"/>
      <c r="AV1206" s="63"/>
      <c r="AW1206" s="63"/>
    </row>
    <row r="1207" spans="1:49" ht="357.75" thickTop="1" thickBot="1" x14ac:dyDescent="0.3">
      <c r="A1207" s="193">
        <v>162</v>
      </c>
      <c r="B1207" s="85" t="s">
        <v>3372</v>
      </c>
      <c r="C1207" s="120" t="s">
        <v>2834</v>
      </c>
      <c r="D1207" s="111" t="s">
        <v>714</v>
      </c>
      <c r="E1207" s="111" t="s">
        <v>2835</v>
      </c>
      <c r="F1207" s="63" t="s">
        <v>52</v>
      </c>
      <c r="G1207" s="63" t="s">
        <v>53</v>
      </c>
      <c r="H1207" s="111" t="s">
        <v>733</v>
      </c>
      <c r="I1207" s="63" t="s">
        <v>710</v>
      </c>
      <c r="J1207" s="106" t="s">
        <v>1046</v>
      </c>
      <c r="K1207" s="63">
        <v>801116</v>
      </c>
      <c r="L1207" s="63" t="s">
        <v>2836</v>
      </c>
      <c r="M1207" s="63" t="s">
        <v>2837</v>
      </c>
      <c r="N1207" s="63" t="s">
        <v>2838</v>
      </c>
      <c r="O1207" s="63" t="s">
        <v>2839</v>
      </c>
      <c r="P1207" s="111" t="s">
        <v>3373</v>
      </c>
      <c r="Q1207" s="198">
        <f t="shared" si="133"/>
        <v>4120000.2400000188</v>
      </c>
      <c r="R1207" s="63">
        <v>1</v>
      </c>
      <c r="S1207" s="198">
        <v>17853333</v>
      </c>
      <c r="T1207" s="112" t="s">
        <v>888</v>
      </c>
      <c r="U1207" s="63" t="s">
        <v>445</v>
      </c>
      <c r="V1207" s="81">
        <v>43327</v>
      </c>
      <c r="W1207" s="199">
        <v>4.3333329999999997</v>
      </c>
      <c r="X1207" s="85" t="s">
        <v>3374</v>
      </c>
      <c r="Y1207" s="81"/>
      <c r="Z1207" s="198">
        <v>17853333</v>
      </c>
      <c r="AA1207" s="84"/>
      <c r="AB1207" s="63"/>
      <c r="AC1207" s="81"/>
      <c r="AD1207" s="198"/>
      <c r="AE1207" s="63"/>
      <c r="AF1207" s="63"/>
      <c r="AG1207" s="81"/>
      <c r="AH1207" s="196"/>
      <c r="AI1207" s="84"/>
      <c r="AJ1207" s="63"/>
      <c r="AK1207" s="63"/>
      <c r="AL1207" s="196"/>
      <c r="AM1207" s="196">
        <v>0</v>
      </c>
      <c r="AN1207" s="196"/>
      <c r="AO1207" s="63"/>
      <c r="AP1207" s="63"/>
      <c r="AQ1207" s="63"/>
      <c r="AR1207" s="81"/>
      <c r="AS1207" s="63"/>
      <c r="AT1207" s="81"/>
      <c r="AU1207" s="63"/>
      <c r="AV1207" s="63"/>
      <c r="AW1207" s="63"/>
    </row>
    <row r="1208" spans="1:49" ht="357.75" thickTop="1" thickBot="1" x14ac:dyDescent="0.3">
      <c r="A1208" s="193">
        <v>163</v>
      </c>
      <c r="B1208" s="85" t="s">
        <v>3375</v>
      </c>
      <c r="C1208" s="120" t="s">
        <v>2834</v>
      </c>
      <c r="D1208" s="111" t="s">
        <v>714</v>
      </c>
      <c r="E1208" s="111" t="s">
        <v>2835</v>
      </c>
      <c r="F1208" s="63" t="s">
        <v>52</v>
      </c>
      <c r="G1208" s="63" t="s">
        <v>53</v>
      </c>
      <c r="H1208" s="111" t="s">
        <v>733</v>
      </c>
      <c r="I1208" s="63" t="s">
        <v>710</v>
      </c>
      <c r="J1208" s="106" t="s">
        <v>1046</v>
      </c>
      <c r="K1208" s="63">
        <v>801116</v>
      </c>
      <c r="L1208" s="63" t="s">
        <v>2836</v>
      </c>
      <c r="M1208" s="63" t="s">
        <v>2837</v>
      </c>
      <c r="N1208" s="63" t="s">
        <v>2838</v>
      </c>
      <c r="O1208" s="63" t="s">
        <v>2839</v>
      </c>
      <c r="P1208" s="111" t="s">
        <v>2851</v>
      </c>
      <c r="Q1208" s="198">
        <f t="shared" si="133"/>
        <v>4834011.8333855262</v>
      </c>
      <c r="R1208" s="63">
        <v>1</v>
      </c>
      <c r="S1208" s="198">
        <f>22763000-1815617</f>
        <v>20947383</v>
      </c>
      <c r="T1208" s="112" t="s">
        <v>888</v>
      </c>
      <c r="U1208" s="63" t="s">
        <v>445</v>
      </c>
      <c r="V1208" s="81">
        <v>43327</v>
      </c>
      <c r="W1208" s="199">
        <v>4.3333329999999997</v>
      </c>
      <c r="X1208" s="85" t="s">
        <v>3376</v>
      </c>
      <c r="Y1208" s="81"/>
      <c r="Z1208" s="198">
        <v>22763000</v>
      </c>
      <c r="AA1208" s="84"/>
      <c r="AB1208" s="63">
        <v>1085</v>
      </c>
      <c r="AC1208" s="81">
        <v>43329</v>
      </c>
      <c r="AD1208" s="198">
        <v>18385500</v>
      </c>
      <c r="AE1208" s="198">
        <f>Z1208-AD1208</f>
        <v>4377500</v>
      </c>
      <c r="AF1208" s="63">
        <v>2904</v>
      </c>
      <c r="AG1208" s="81">
        <v>43362</v>
      </c>
      <c r="AH1208" s="198">
        <v>18385500</v>
      </c>
      <c r="AI1208" s="84" t="s">
        <v>3377</v>
      </c>
      <c r="AJ1208" s="63">
        <v>581</v>
      </c>
      <c r="AK1208" s="63"/>
      <c r="AL1208" s="196"/>
      <c r="AM1208" s="196">
        <v>0</v>
      </c>
      <c r="AN1208" s="196"/>
      <c r="AO1208" s="63"/>
      <c r="AP1208" s="63"/>
      <c r="AQ1208" s="63"/>
      <c r="AR1208" s="81"/>
      <c r="AS1208" s="63"/>
      <c r="AT1208" s="81"/>
      <c r="AU1208" s="63"/>
      <c r="AV1208" s="63"/>
      <c r="AW1208" s="63"/>
    </row>
    <row r="1209" spans="1:49" ht="357.75" thickTop="1" thickBot="1" x14ac:dyDescent="0.3">
      <c r="A1209" s="193">
        <v>164</v>
      </c>
      <c r="B1209" s="85" t="s">
        <v>3378</v>
      </c>
      <c r="C1209" s="120" t="s">
        <v>2834</v>
      </c>
      <c r="D1209" s="111" t="s">
        <v>714</v>
      </c>
      <c r="E1209" s="111" t="s">
        <v>2835</v>
      </c>
      <c r="F1209" s="63" t="s">
        <v>52</v>
      </c>
      <c r="G1209" s="63" t="s">
        <v>53</v>
      </c>
      <c r="H1209" s="111" t="s">
        <v>733</v>
      </c>
      <c r="I1209" s="63" t="s">
        <v>710</v>
      </c>
      <c r="J1209" s="106" t="s">
        <v>1046</v>
      </c>
      <c r="K1209" s="63">
        <v>801116</v>
      </c>
      <c r="L1209" s="63" t="s">
        <v>2836</v>
      </c>
      <c r="M1209" s="63" t="s">
        <v>2837</v>
      </c>
      <c r="N1209" s="63" t="s">
        <v>2838</v>
      </c>
      <c r="O1209" s="63" t="s">
        <v>2839</v>
      </c>
      <c r="P1209" s="111" t="s">
        <v>3379</v>
      </c>
      <c r="Q1209" s="198">
        <f t="shared" si="133"/>
        <v>3326900.3328384873</v>
      </c>
      <c r="R1209" s="63">
        <v>1</v>
      </c>
      <c r="S1209" s="198">
        <v>14416567</v>
      </c>
      <c r="T1209" s="112" t="s">
        <v>888</v>
      </c>
      <c r="U1209" s="63" t="s">
        <v>445</v>
      </c>
      <c r="V1209" s="81">
        <v>43327</v>
      </c>
      <c r="W1209" s="199">
        <v>4.3333329999999997</v>
      </c>
      <c r="X1209" s="85" t="s">
        <v>3380</v>
      </c>
      <c r="Y1209" s="81"/>
      <c r="Z1209" s="198">
        <v>14416567</v>
      </c>
      <c r="AA1209" s="84"/>
      <c r="AB1209" s="63">
        <v>1086</v>
      </c>
      <c r="AC1209" s="81"/>
      <c r="AD1209" s="198"/>
      <c r="AE1209" s="63"/>
      <c r="AF1209" s="63">
        <v>2767</v>
      </c>
      <c r="AG1209" s="81">
        <v>43343</v>
      </c>
      <c r="AH1209" s="196">
        <v>14416567</v>
      </c>
      <c r="AI1209" s="84" t="s">
        <v>3381</v>
      </c>
      <c r="AJ1209" s="63">
        <v>541</v>
      </c>
      <c r="AK1209" s="63"/>
      <c r="AL1209" s="196">
        <v>14416567</v>
      </c>
      <c r="AM1209" s="196">
        <f>+VLOOKUP(AF1209,'[2]CRP a 31 Agosto de 2018'!$J$8:$V$2956,13,0)</f>
        <v>0</v>
      </c>
      <c r="AN1209" s="196">
        <f>AL1209-AM1209</f>
        <v>14416567</v>
      </c>
      <c r="AO1209" s="63"/>
      <c r="AP1209" s="63"/>
      <c r="AQ1209" s="63"/>
      <c r="AR1209" s="81"/>
      <c r="AS1209" s="63"/>
      <c r="AT1209" s="81"/>
      <c r="AU1209" s="63"/>
      <c r="AV1209" s="63"/>
      <c r="AW1209" s="63"/>
    </row>
    <row r="1210" spans="1:49" ht="357.75" thickTop="1" thickBot="1" x14ac:dyDescent="0.3">
      <c r="A1210" s="193">
        <v>165</v>
      </c>
      <c r="B1210" s="85" t="s">
        <v>3382</v>
      </c>
      <c r="C1210" s="120" t="s">
        <v>2834</v>
      </c>
      <c r="D1210" s="111" t="s">
        <v>714</v>
      </c>
      <c r="E1210" s="111" t="s">
        <v>2835</v>
      </c>
      <c r="F1210" s="63" t="s">
        <v>52</v>
      </c>
      <c r="G1210" s="63" t="s">
        <v>53</v>
      </c>
      <c r="H1210" s="111" t="s">
        <v>733</v>
      </c>
      <c r="I1210" s="63" t="s">
        <v>710</v>
      </c>
      <c r="J1210" s="106" t="s">
        <v>1046</v>
      </c>
      <c r="K1210" s="63">
        <v>801116</v>
      </c>
      <c r="L1210" s="63" t="s">
        <v>2836</v>
      </c>
      <c r="M1210" s="63" t="s">
        <v>2837</v>
      </c>
      <c r="N1210" s="63" t="s">
        <v>2838</v>
      </c>
      <c r="O1210" s="63" t="s">
        <v>2839</v>
      </c>
      <c r="P1210" s="111" t="s">
        <v>3230</v>
      </c>
      <c r="Q1210" s="198">
        <f t="shared" si="133"/>
        <v>0</v>
      </c>
      <c r="R1210" s="63">
        <v>1</v>
      </c>
      <c r="S1210" s="198">
        <f>14729000-14729000</f>
        <v>0</v>
      </c>
      <c r="T1210" s="112" t="s">
        <v>888</v>
      </c>
      <c r="U1210" s="63" t="s">
        <v>445</v>
      </c>
      <c r="V1210" s="81">
        <v>43327</v>
      </c>
      <c r="W1210" s="199">
        <v>4.3333329999999997</v>
      </c>
      <c r="X1210" s="85" t="s">
        <v>3383</v>
      </c>
      <c r="Y1210" s="81"/>
      <c r="Z1210" s="198">
        <v>14729000</v>
      </c>
      <c r="AA1210" s="84"/>
      <c r="AB1210" s="63"/>
      <c r="AC1210" s="81"/>
      <c r="AD1210" s="198"/>
      <c r="AE1210" s="63"/>
      <c r="AF1210" s="63"/>
      <c r="AG1210" s="81"/>
      <c r="AH1210" s="196"/>
      <c r="AI1210" s="84"/>
      <c r="AJ1210" s="63"/>
      <c r="AK1210" s="63"/>
      <c r="AL1210" s="196"/>
      <c r="AM1210" s="196">
        <v>0</v>
      </c>
      <c r="AN1210" s="196"/>
      <c r="AO1210" s="63"/>
      <c r="AP1210" s="63"/>
      <c r="AQ1210" s="63" t="s">
        <v>3384</v>
      </c>
      <c r="AR1210" s="81"/>
      <c r="AS1210" s="63"/>
      <c r="AT1210" s="81"/>
      <c r="AU1210" s="63"/>
      <c r="AV1210" s="63"/>
      <c r="AW1210" s="63"/>
    </row>
    <row r="1211" spans="1:49" ht="357.75" thickTop="1" thickBot="1" x14ac:dyDescent="0.3">
      <c r="A1211" s="193">
        <v>166</v>
      </c>
      <c r="B1211" s="85" t="s">
        <v>3385</v>
      </c>
      <c r="C1211" s="120" t="s">
        <v>2834</v>
      </c>
      <c r="D1211" s="111" t="s">
        <v>714</v>
      </c>
      <c r="E1211" s="111" t="s">
        <v>2835</v>
      </c>
      <c r="F1211" s="63" t="s">
        <v>52</v>
      </c>
      <c r="G1211" s="63" t="s">
        <v>53</v>
      </c>
      <c r="H1211" s="111" t="s">
        <v>733</v>
      </c>
      <c r="I1211" s="63" t="s">
        <v>710</v>
      </c>
      <c r="J1211" s="106" t="s">
        <v>3183</v>
      </c>
      <c r="K1211" s="63">
        <v>801116</v>
      </c>
      <c r="L1211" s="63" t="s">
        <v>2836</v>
      </c>
      <c r="M1211" s="63" t="s">
        <v>2837</v>
      </c>
      <c r="N1211" s="63" t="s">
        <v>2838</v>
      </c>
      <c r="O1211" s="63" t="s">
        <v>2839</v>
      </c>
      <c r="P1211" s="111" t="s">
        <v>3230</v>
      </c>
      <c r="Q1211" s="198">
        <f t="shared" si="133"/>
        <v>4532000</v>
      </c>
      <c r="R1211" s="63">
        <v>1</v>
      </c>
      <c r="S1211" s="198">
        <v>18128000</v>
      </c>
      <c r="T1211" s="112" t="s">
        <v>888</v>
      </c>
      <c r="U1211" s="63" t="s">
        <v>445</v>
      </c>
      <c r="V1211" s="81">
        <v>43334</v>
      </c>
      <c r="W1211" s="199">
        <v>4</v>
      </c>
      <c r="X1211" s="85" t="s">
        <v>3386</v>
      </c>
      <c r="Y1211" s="81"/>
      <c r="Z1211" s="198">
        <v>18128000</v>
      </c>
      <c r="AA1211" s="84"/>
      <c r="AB1211" s="63"/>
      <c r="AC1211" s="81"/>
      <c r="AD1211" s="198"/>
      <c r="AE1211" s="63"/>
      <c r="AF1211" s="63"/>
      <c r="AG1211" s="81"/>
      <c r="AH1211" s="196"/>
      <c r="AI1211" s="84"/>
      <c r="AJ1211" s="63"/>
      <c r="AK1211" s="63"/>
      <c r="AL1211" s="196"/>
      <c r="AM1211" s="196">
        <v>0</v>
      </c>
      <c r="AN1211" s="196"/>
      <c r="AO1211" s="63"/>
      <c r="AP1211" s="63"/>
      <c r="AQ1211" s="63"/>
      <c r="AR1211" s="81"/>
      <c r="AS1211" s="63"/>
      <c r="AT1211" s="81"/>
      <c r="AU1211" s="63"/>
      <c r="AV1211" s="63"/>
      <c r="AW1211" s="63"/>
    </row>
    <row r="1212" spans="1:49" ht="357.75" thickTop="1" thickBot="1" x14ac:dyDescent="0.3">
      <c r="A1212" s="193">
        <v>167</v>
      </c>
      <c r="B1212" s="85" t="s">
        <v>3387</v>
      </c>
      <c r="C1212" s="120" t="s">
        <v>2834</v>
      </c>
      <c r="D1212" s="111" t="s">
        <v>714</v>
      </c>
      <c r="E1212" s="111" t="s">
        <v>2835</v>
      </c>
      <c r="F1212" s="63" t="s">
        <v>52</v>
      </c>
      <c r="G1212" s="63" t="s">
        <v>53</v>
      </c>
      <c r="H1212" s="111" t="s">
        <v>733</v>
      </c>
      <c r="I1212" s="63" t="s">
        <v>55</v>
      </c>
      <c r="J1212" s="106" t="s">
        <v>56</v>
      </c>
      <c r="K1212" s="63">
        <v>801116</v>
      </c>
      <c r="L1212" s="63" t="s">
        <v>2836</v>
      </c>
      <c r="M1212" s="63" t="s">
        <v>2837</v>
      </c>
      <c r="N1212" s="63" t="s">
        <v>2838</v>
      </c>
      <c r="O1212" s="63" t="s">
        <v>2839</v>
      </c>
      <c r="P1212" s="111" t="s">
        <v>3388</v>
      </c>
      <c r="Q1212" s="198">
        <f t="shared" si="133"/>
        <v>1750999.762844848</v>
      </c>
      <c r="R1212" s="63">
        <v>1</v>
      </c>
      <c r="S1212" s="198">
        <v>6770533</v>
      </c>
      <c r="T1212" s="112" t="s">
        <v>888</v>
      </c>
      <c r="U1212" s="63" t="s">
        <v>445</v>
      </c>
      <c r="V1212" s="81">
        <v>43334</v>
      </c>
      <c r="W1212" s="199">
        <v>3.8666670000000001</v>
      </c>
      <c r="X1212" s="85" t="s">
        <v>3389</v>
      </c>
      <c r="Y1212" s="81"/>
      <c r="Z1212" s="198">
        <v>6770533</v>
      </c>
      <c r="AA1212" s="84"/>
      <c r="AB1212" s="63"/>
      <c r="AC1212" s="81"/>
      <c r="AD1212" s="198"/>
      <c r="AE1212" s="63"/>
      <c r="AF1212" s="63"/>
      <c r="AG1212" s="81"/>
      <c r="AH1212" s="196"/>
      <c r="AI1212" s="84"/>
      <c r="AJ1212" s="63"/>
      <c r="AK1212" s="63"/>
      <c r="AL1212" s="196"/>
      <c r="AM1212" s="196">
        <v>0</v>
      </c>
      <c r="AN1212" s="196"/>
      <c r="AO1212" s="63"/>
      <c r="AP1212" s="63"/>
      <c r="AQ1212" s="63"/>
      <c r="AR1212" s="81"/>
      <c r="AS1212" s="63"/>
      <c r="AT1212" s="81"/>
      <c r="AU1212" s="63"/>
      <c r="AV1212" s="63"/>
      <c r="AW1212" s="63"/>
    </row>
    <row r="1213" spans="1:49" ht="300.75" thickTop="1" thickBot="1" x14ac:dyDescent="0.3">
      <c r="A1213" s="193">
        <v>168</v>
      </c>
      <c r="B1213" s="85" t="s">
        <v>3390</v>
      </c>
      <c r="C1213" s="120" t="s">
        <v>2834</v>
      </c>
      <c r="D1213" s="111" t="s">
        <v>714</v>
      </c>
      <c r="E1213" s="111" t="s">
        <v>2843</v>
      </c>
      <c r="F1213" s="63" t="s">
        <v>52</v>
      </c>
      <c r="G1213" s="63" t="s">
        <v>53</v>
      </c>
      <c r="H1213" s="111" t="s">
        <v>733</v>
      </c>
      <c r="I1213" s="63" t="s">
        <v>55</v>
      </c>
      <c r="J1213" s="106" t="s">
        <v>56</v>
      </c>
      <c r="K1213" s="63">
        <v>801116</v>
      </c>
      <c r="L1213" s="63" t="s">
        <v>2836</v>
      </c>
      <c r="M1213" s="63" t="s">
        <v>2837</v>
      </c>
      <c r="N1213" s="63" t="s">
        <v>2838</v>
      </c>
      <c r="O1213" s="63" t="s">
        <v>2839</v>
      </c>
      <c r="P1213" s="111" t="s">
        <v>3391</v>
      </c>
      <c r="Q1213" s="198">
        <f t="shared" si="133"/>
        <v>3399000</v>
      </c>
      <c r="R1213" s="63">
        <v>1</v>
      </c>
      <c r="S1213" s="198">
        <v>13596000</v>
      </c>
      <c r="T1213" s="112" t="s">
        <v>888</v>
      </c>
      <c r="U1213" s="63" t="s">
        <v>445</v>
      </c>
      <c r="V1213" s="81">
        <v>43339</v>
      </c>
      <c r="W1213" s="199">
        <v>4</v>
      </c>
      <c r="X1213" s="85" t="s">
        <v>3392</v>
      </c>
      <c r="Y1213" s="81"/>
      <c r="Z1213" s="198">
        <v>13596000</v>
      </c>
      <c r="AA1213" s="84"/>
      <c r="AB1213" s="63"/>
      <c r="AC1213" s="81"/>
      <c r="AD1213" s="198"/>
      <c r="AE1213" s="63"/>
      <c r="AF1213" s="63"/>
      <c r="AG1213" s="81"/>
      <c r="AH1213" s="196"/>
      <c r="AI1213" s="84"/>
      <c r="AJ1213" s="63"/>
      <c r="AK1213" s="63"/>
      <c r="AL1213" s="196"/>
      <c r="AM1213" s="196">
        <v>0</v>
      </c>
      <c r="AN1213" s="196"/>
      <c r="AO1213" s="63"/>
      <c r="AP1213" s="63"/>
      <c r="AQ1213" s="63"/>
      <c r="AR1213" s="81"/>
      <c r="AS1213" s="63"/>
      <c r="AT1213" s="81"/>
      <c r="AU1213" s="63"/>
      <c r="AV1213" s="63"/>
      <c r="AW1213" s="63"/>
    </row>
    <row r="1214" spans="1:49" ht="357.75" thickTop="1" thickBot="1" x14ac:dyDescent="0.3">
      <c r="A1214" s="193">
        <v>169</v>
      </c>
      <c r="B1214" s="85" t="s">
        <v>3393</v>
      </c>
      <c r="C1214" s="120" t="s">
        <v>2834</v>
      </c>
      <c r="D1214" s="111" t="s">
        <v>714</v>
      </c>
      <c r="E1214" s="111" t="s">
        <v>2835</v>
      </c>
      <c r="F1214" s="63" t="s">
        <v>52</v>
      </c>
      <c r="G1214" s="63" t="s">
        <v>53</v>
      </c>
      <c r="H1214" s="111" t="s">
        <v>733</v>
      </c>
      <c r="I1214" s="63" t="s">
        <v>710</v>
      </c>
      <c r="J1214" s="106" t="s">
        <v>3183</v>
      </c>
      <c r="K1214" s="63">
        <v>801116</v>
      </c>
      <c r="L1214" s="63" t="s">
        <v>2836</v>
      </c>
      <c r="M1214" s="63" t="s">
        <v>2837</v>
      </c>
      <c r="N1214" s="63" t="s">
        <v>2838</v>
      </c>
      <c r="O1214" s="63" t="s">
        <v>2839</v>
      </c>
      <c r="P1214" s="111" t="s">
        <v>3201</v>
      </c>
      <c r="Q1214" s="198">
        <f t="shared" si="133"/>
        <v>4120000</v>
      </c>
      <c r="R1214" s="63">
        <v>1</v>
      </c>
      <c r="S1214" s="198">
        <v>16480000</v>
      </c>
      <c r="T1214" s="112" t="s">
        <v>888</v>
      </c>
      <c r="U1214" s="63" t="s">
        <v>445</v>
      </c>
      <c r="V1214" s="81">
        <v>43339</v>
      </c>
      <c r="W1214" s="199">
        <v>4</v>
      </c>
      <c r="X1214" s="85" t="s">
        <v>3394</v>
      </c>
      <c r="Y1214" s="81"/>
      <c r="Z1214" s="198">
        <v>16480000</v>
      </c>
      <c r="AA1214" s="84"/>
      <c r="AB1214" s="63"/>
      <c r="AC1214" s="81"/>
      <c r="AD1214" s="198"/>
      <c r="AE1214" s="63"/>
      <c r="AF1214" s="63"/>
      <c r="AG1214" s="81"/>
      <c r="AH1214" s="196"/>
      <c r="AI1214" s="84"/>
      <c r="AJ1214" s="63"/>
      <c r="AK1214" s="63"/>
      <c r="AL1214" s="196"/>
      <c r="AM1214" s="196">
        <v>0</v>
      </c>
      <c r="AN1214" s="196"/>
      <c r="AO1214" s="63"/>
      <c r="AP1214" s="63"/>
      <c r="AQ1214" s="63"/>
      <c r="AR1214" s="81"/>
      <c r="AS1214" s="63"/>
      <c r="AT1214" s="81"/>
      <c r="AU1214" s="63"/>
      <c r="AV1214" s="63"/>
      <c r="AW1214" s="63"/>
    </row>
    <row r="1215" spans="1:49" ht="357.75" thickTop="1" thickBot="1" x14ac:dyDescent="0.3">
      <c r="A1215" s="193">
        <v>170</v>
      </c>
      <c r="B1215" s="85" t="s">
        <v>3395</v>
      </c>
      <c r="C1215" s="120" t="s">
        <v>2834</v>
      </c>
      <c r="D1215" s="111" t="s">
        <v>714</v>
      </c>
      <c r="E1215" s="111" t="s">
        <v>2835</v>
      </c>
      <c r="F1215" s="63" t="s">
        <v>52</v>
      </c>
      <c r="G1215" s="63" t="s">
        <v>53</v>
      </c>
      <c r="H1215" s="111" t="s">
        <v>733</v>
      </c>
      <c r="I1215" s="63" t="s">
        <v>710</v>
      </c>
      <c r="J1215" s="106" t="s">
        <v>3183</v>
      </c>
      <c r="K1215" s="63">
        <v>801116</v>
      </c>
      <c r="L1215" s="63" t="s">
        <v>2836</v>
      </c>
      <c r="M1215" s="63" t="s">
        <v>2837</v>
      </c>
      <c r="N1215" s="63" t="s">
        <v>2838</v>
      </c>
      <c r="O1215" s="63" t="s">
        <v>2839</v>
      </c>
      <c r="P1215" s="111" t="s">
        <v>3388</v>
      </c>
      <c r="Q1215" s="198">
        <f t="shared" si="133"/>
        <v>1751000</v>
      </c>
      <c r="R1215" s="63">
        <v>1</v>
      </c>
      <c r="S1215" s="198">
        <v>7004000</v>
      </c>
      <c r="T1215" s="112" t="s">
        <v>888</v>
      </c>
      <c r="U1215" s="63" t="s">
        <v>445</v>
      </c>
      <c r="V1215" s="81">
        <v>43339</v>
      </c>
      <c r="W1215" s="199">
        <v>4</v>
      </c>
      <c r="X1215" s="85" t="s">
        <v>3396</v>
      </c>
      <c r="Y1215" s="81"/>
      <c r="Z1215" s="198">
        <v>7004000</v>
      </c>
      <c r="AA1215" s="84"/>
      <c r="AB1215" s="63"/>
      <c r="AC1215" s="81"/>
      <c r="AD1215" s="198"/>
      <c r="AE1215" s="63"/>
      <c r="AF1215" s="63"/>
      <c r="AG1215" s="81"/>
      <c r="AH1215" s="196"/>
      <c r="AI1215" s="84"/>
      <c r="AJ1215" s="63"/>
      <c r="AK1215" s="63"/>
      <c r="AL1215" s="196"/>
      <c r="AM1215" s="196">
        <v>0</v>
      </c>
      <c r="AN1215" s="196"/>
      <c r="AO1215" s="63"/>
      <c r="AP1215" s="63"/>
      <c r="AQ1215" s="63"/>
      <c r="AR1215" s="81"/>
      <c r="AS1215" s="63"/>
      <c r="AT1215" s="81"/>
      <c r="AU1215" s="63"/>
      <c r="AV1215" s="63"/>
      <c r="AW1215" s="63"/>
    </row>
    <row r="1216" spans="1:49" ht="357.75" thickTop="1" thickBot="1" x14ac:dyDescent="0.3">
      <c r="A1216" s="193">
        <v>171</v>
      </c>
      <c r="B1216" s="85" t="s">
        <v>3397</v>
      </c>
      <c r="C1216" s="120" t="s">
        <v>2834</v>
      </c>
      <c r="D1216" s="111" t="s">
        <v>714</v>
      </c>
      <c r="E1216" s="111" t="s">
        <v>2835</v>
      </c>
      <c r="F1216" s="63" t="s">
        <v>52</v>
      </c>
      <c r="G1216" s="63" t="s">
        <v>53</v>
      </c>
      <c r="H1216" s="111" t="s">
        <v>733</v>
      </c>
      <c r="I1216" s="63" t="s">
        <v>710</v>
      </c>
      <c r="J1216" s="106" t="s">
        <v>1046</v>
      </c>
      <c r="K1216" s="63">
        <v>801116</v>
      </c>
      <c r="L1216" s="63" t="s">
        <v>2836</v>
      </c>
      <c r="M1216" s="63" t="s">
        <v>2837</v>
      </c>
      <c r="N1216" s="63" t="s">
        <v>2838</v>
      </c>
      <c r="O1216" s="63" t="s">
        <v>2839</v>
      </c>
      <c r="P1216" s="111" t="s">
        <v>3398</v>
      </c>
      <c r="Q1216" s="198">
        <f t="shared" si="133"/>
        <v>3326900</v>
      </c>
      <c r="R1216" s="63">
        <v>1</v>
      </c>
      <c r="S1216" s="198">
        <v>13307600</v>
      </c>
      <c r="T1216" s="112" t="s">
        <v>888</v>
      </c>
      <c r="U1216" s="63" t="s">
        <v>445</v>
      </c>
      <c r="V1216" s="81">
        <v>43339</v>
      </c>
      <c r="W1216" s="199">
        <v>4</v>
      </c>
      <c r="X1216" s="85" t="s">
        <v>3399</v>
      </c>
      <c r="Y1216" s="81"/>
      <c r="Z1216" s="198">
        <v>13307600</v>
      </c>
      <c r="AA1216" s="84"/>
      <c r="AB1216" s="63"/>
      <c r="AC1216" s="81"/>
      <c r="AD1216" s="198"/>
      <c r="AE1216" s="63"/>
      <c r="AF1216" s="63"/>
      <c r="AG1216" s="81"/>
      <c r="AH1216" s="196"/>
      <c r="AI1216" s="84"/>
      <c r="AJ1216" s="63"/>
      <c r="AK1216" s="63"/>
      <c r="AL1216" s="196"/>
      <c r="AM1216" s="196">
        <v>0</v>
      </c>
      <c r="AN1216" s="196"/>
      <c r="AO1216" s="63"/>
      <c r="AP1216" s="63"/>
      <c r="AQ1216" s="63"/>
      <c r="AR1216" s="81"/>
      <c r="AS1216" s="63"/>
      <c r="AT1216" s="81"/>
      <c r="AU1216" s="63"/>
      <c r="AV1216" s="63"/>
      <c r="AW1216" s="63"/>
    </row>
    <row r="1217" spans="1:49" ht="357.75" thickTop="1" thickBot="1" x14ac:dyDescent="0.3">
      <c r="A1217" s="193">
        <v>172</v>
      </c>
      <c r="B1217" s="85" t="s">
        <v>3400</v>
      </c>
      <c r="C1217" s="120" t="s">
        <v>2834</v>
      </c>
      <c r="D1217" s="111" t="s">
        <v>714</v>
      </c>
      <c r="E1217" s="111" t="s">
        <v>2835</v>
      </c>
      <c r="F1217" s="63" t="s">
        <v>52</v>
      </c>
      <c r="G1217" s="63" t="s">
        <v>53</v>
      </c>
      <c r="H1217" s="111" t="s">
        <v>733</v>
      </c>
      <c r="I1217" s="63" t="s">
        <v>710</v>
      </c>
      <c r="J1217" s="106" t="s">
        <v>1046</v>
      </c>
      <c r="K1217" s="63">
        <v>801116</v>
      </c>
      <c r="L1217" s="63" t="s">
        <v>2836</v>
      </c>
      <c r="M1217" s="63" t="s">
        <v>2837</v>
      </c>
      <c r="N1217" s="63" t="s">
        <v>2838</v>
      </c>
      <c r="O1217" s="63" t="s">
        <v>2839</v>
      </c>
      <c r="P1217" s="111" t="s">
        <v>3401</v>
      </c>
      <c r="Q1217" s="198">
        <f t="shared" si="133"/>
        <v>4120000</v>
      </c>
      <c r="R1217" s="63">
        <v>1</v>
      </c>
      <c r="S1217" s="198">
        <v>16480000</v>
      </c>
      <c r="T1217" s="112" t="s">
        <v>888</v>
      </c>
      <c r="U1217" s="63" t="s">
        <v>445</v>
      </c>
      <c r="V1217" s="81">
        <v>43339</v>
      </c>
      <c r="W1217" s="199">
        <v>4</v>
      </c>
      <c r="X1217" s="85" t="s">
        <v>3402</v>
      </c>
      <c r="Y1217" s="81"/>
      <c r="Z1217" s="198">
        <v>16480000</v>
      </c>
      <c r="AA1217" s="84"/>
      <c r="AB1217" s="63"/>
      <c r="AC1217" s="81"/>
      <c r="AD1217" s="198"/>
      <c r="AE1217" s="63"/>
      <c r="AF1217" s="63"/>
      <c r="AG1217" s="81"/>
      <c r="AH1217" s="196"/>
      <c r="AI1217" s="84"/>
      <c r="AJ1217" s="63"/>
      <c r="AK1217" s="63"/>
      <c r="AL1217" s="196"/>
      <c r="AM1217" s="196">
        <v>0</v>
      </c>
      <c r="AN1217" s="196"/>
      <c r="AO1217" s="63"/>
      <c r="AP1217" s="63"/>
      <c r="AQ1217" s="63"/>
      <c r="AR1217" s="81"/>
      <c r="AS1217" s="63"/>
      <c r="AT1217" s="81"/>
      <c r="AU1217" s="63"/>
      <c r="AV1217" s="63"/>
      <c r="AW1217" s="63"/>
    </row>
    <row r="1218" spans="1:49" ht="409.6" thickTop="1" thickBot="1" x14ac:dyDescent="0.3">
      <c r="A1218" s="193">
        <v>173</v>
      </c>
      <c r="B1218" s="85" t="s">
        <v>3403</v>
      </c>
      <c r="C1218" s="120" t="s">
        <v>2834</v>
      </c>
      <c r="D1218" s="111" t="s">
        <v>714</v>
      </c>
      <c r="E1218" s="111" t="s">
        <v>2835</v>
      </c>
      <c r="F1218" s="111" t="s">
        <v>52</v>
      </c>
      <c r="G1218" s="111" t="s">
        <v>53</v>
      </c>
      <c r="H1218" s="111" t="s">
        <v>733</v>
      </c>
      <c r="I1218" s="63" t="s">
        <v>55</v>
      </c>
      <c r="J1218" s="63" t="s">
        <v>56</v>
      </c>
      <c r="K1218" s="63">
        <v>801116</v>
      </c>
      <c r="L1218" s="63" t="s">
        <v>2836</v>
      </c>
      <c r="M1218" s="63" t="s">
        <v>2837</v>
      </c>
      <c r="N1218" s="63" t="s">
        <v>2838</v>
      </c>
      <c r="O1218" s="63" t="s">
        <v>2839</v>
      </c>
      <c r="P1218" s="111" t="s">
        <v>3404</v>
      </c>
      <c r="Q1218" s="198">
        <f t="shared" si="133"/>
        <v>5665000</v>
      </c>
      <c r="R1218" s="63">
        <v>1</v>
      </c>
      <c r="S1218" s="208">
        <v>19827500</v>
      </c>
      <c r="T1218" s="111" t="s">
        <v>888</v>
      </c>
      <c r="U1218" s="63" t="s">
        <v>445</v>
      </c>
      <c r="V1218" s="81">
        <v>43339</v>
      </c>
      <c r="W1218" s="206">
        <v>3.5</v>
      </c>
      <c r="X1218" s="85" t="s">
        <v>3405</v>
      </c>
      <c r="Y1218" s="111"/>
      <c r="Z1218" s="208">
        <v>19827500</v>
      </c>
      <c r="AA1218" s="111"/>
      <c r="AB1218" s="63">
        <v>1146</v>
      </c>
      <c r="AC1218" s="81">
        <v>43347</v>
      </c>
      <c r="AD1218" s="198">
        <v>16995000</v>
      </c>
      <c r="AE1218" s="198">
        <f>Z1218-AD1218</f>
        <v>2832500</v>
      </c>
      <c r="AF1218" s="63">
        <v>2926</v>
      </c>
      <c r="AG1218" s="81">
        <v>43367</v>
      </c>
      <c r="AH1218" s="198">
        <v>16995000</v>
      </c>
      <c r="AI1218" s="84" t="s">
        <v>3406</v>
      </c>
      <c r="AJ1218" s="63">
        <v>589</v>
      </c>
      <c r="AK1218" s="111"/>
      <c r="AL1218" s="111"/>
      <c r="AM1218" s="111"/>
      <c r="AN1218" s="111"/>
      <c r="AO1218" s="111"/>
      <c r="AP1218" s="111"/>
      <c r="AQ1218" s="111"/>
      <c r="AR1218" s="111"/>
      <c r="AS1218" s="111"/>
      <c r="AT1218" s="111"/>
      <c r="AU1218" s="111"/>
      <c r="AV1218" s="111"/>
      <c r="AW1218" s="111"/>
    </row>
    <row r="1219" spans="1:49" ht="409.6" thickTop="1" thickBot="1" x14ac:dyDescent="0.3">
      <c r="A1219" s="193">
        <v>174</v>
      </c>
      <c r="B1219" s="85" t="s">
        <v>3407</v>
      </c>
      <c r="C1219" s="120" t="s">
        <v>2834</v>
      </c>
      <c r="D1219" s="111" t="s">
        <v>714</v>
      </c>
      <c r="E1219" s="111" t="s">
        <v>2835</v>
      </c>
      <c r="F1219" s="111" t="s">
        <v>52</v>
      </c>
      <c r="G1219" s="111" t="s">
        <v>53</v>
      </c>
      <c r="H1219" s="111" t="s">
        <v>733</v>
      </c>
      <c r="I1219" s="63" t="s">
        <v>710</v>
      </c>
      <c r="J1219" s="106" t="s">
        <v>1046</v>
      </c>
      <c r="K1219" s="63">
        <v>801116</v>
      </c>
      <c r="L1219" s="63" t="s">
        <v>2836</v>
      </c>
      <c r="M1219" s="63" t="s">
        <v>2837</v>
      </c>
      <c r="N1219" s="63" t="s">
        <v>2838</v>
      </c>
      <c r="O1219" s="63" t="s">
        <v>2839</v>
      </c>
      <c r="P1219" s="111" t="s">
        <v>3408</v>
      </c>
      <c r="Q1219" s="198">
        <f t="shared" si="133"/>
        <v>3399000</v>
      </c>
      <c r="R1219" s="63">
        <v>1</v>
      </c>
      <c r="S1219" s="208">
        <v>10197000</v>
      </c>
      <c r="T1219" s="111" t="s">
        <v>888</v>
      </c>
      <c r="U1219" s="63" t="s">
        <v>445</v>
      </c>
      <c r="V1219" s="81">
        <v>43339</v>
      </c>
      <c r="W1219" s="206">
        <v>3</v>
      </c>
      <c r="X1219" s="85" t="s">
        <v>3409</v>
      </c>
      <c r="Y1219" s="111"/>
      <c r="Z1219" s="208">
        <v>10197000</v>
      </c>
      <c r="AA1219" s="111"/>
      <c r="AB1219" s="111"/>
      <c r="AC1219" s="111"/>
      <c r="AD1219" s="111"/>
      <c r="AE1219" s="111"/>
      <c r="AF1219" s="111"/>
      <c r="AG1219" s="111"/>
      <c r="AH1219" s="111"/>
      <c r="AI1219" s="111"/>
      <c r="AJ1219" s="111"/>
      <c r="AK1219" s="111"/>
      <c r="AL1219" s="111"/>
      <c r="AM1219" s="111"/>
      <c r="AN1219" s="111"/>
      <c r="AO1219" s="111"/>
      <c r="AP1219" s="111"/>
      <c r="AQ1219" s="111"/>
      <c r="AR1219" s="111"/>
      <c r="AS1219" s="111"/>
      <c r="AT1219" s="111"/>
      <c r="AU1219" s="111"/>
      <c r="AV1219" s="111"/>
      <c r="AW1219" s="111"/>
    </row>
    <row r="1220" spans="1:49" ht="409.6" thickTop="1" thickBot="1" x14ac:dyDescent="0.3">
      <c r="A1220" s="193">
        <v>175</v>
      </c>
      <c r="B1220" s="85" t="s">
        <v>3410</v>
      </c>
      <c r="C1220" s="120" t="s">
        <v>2834</v>
      </c>
      <c r="D1220" s="111" t="s">
        <v>714</v>
      </c>
      <c r="E1220" s="111" t="s">
        <v>2835</v>
      </c>
      <c r="F1220" s="111" t="s">
        <v>52</v>
      </c>
      <c r="G1220" s="111" t="s">
        <v>53</v>
      </c>
      <c r="H1220" s="111" t="s">
        <v>733</v>
      </c>
      <c r="I1220" s="63" t="s">
        <v>710</v>
      </c>
      <c r="J1220" s="106" t="s">
        <v>1046</v>
      </c>
      <c r="K1220" s="63">
        <v>801116</v>
      </c>
      <c r="L1220" s="63" t="s">
        <v>2836</v>
      </c>
      <c r="M1220" s="63" t="s">
        <v>2837</v>
      </c>
      <c r="N1220" s="63" t="s">
        <v>2838</v>
      </c>
      <c r="O1220" s="63" t="s">
        <v>2839</v>
      </c>
      <c r="P1220" s="111" t="s">
        <v>3411</v>
      </c>
      <c r="Q1220" s="198">
        <f t="shared" si="133"/>
        <v>3038500</v>
      </c>
      <c r="R1220" s="63">
        <v>1</v>
      </c>
      <c r="S1220" s="208">
        <v>10634750</v>
      </c>
      <c r="T1220" s="111" t="s">
        <v>888</v>
      </c>
      <c r="U1220" s="63" t="s">
        <v>445</v>
      </c>
      <c r="V1220" s="81">
        <v>43339</v>
      </c>
      <c r="W1220" s="206">
        <v>3.5</v>
      </c>
      <c r="X1220" s="85" t="s">
        <v>3412</v>
      </c>
      <c r="Y1220" s="111"/>
      <c r="Z1220" s="208">
        <v>10634750</v>
      </c>
      <c r="AA1220" s="111"/>
      <c r="AB1220" s="111"/>
      <c r="AC1220" s="111"/>
      <c r="AD1220" s="111"/>
      <c r="AE1220" s="111"/>
      <c r="AF1220" s="111"/>
      <c r="AG1220" s="111"/>
      <c r="AH1220" s="111"/>
      <c r="AI1220" s="111"/>
      <c r="AJ1220" s="111"/>
      <c r="AK1220" s="111"/>
      <c r="AL1220" s="111"/>
      <c r="AM1220" s="111"/>
      <c r="AN1220" s="111"/>
      <c r="AO1220" s="111"/>
      <c r="AP1220" s="111"/>
      <c r="AQ1220" s="111"/>
      <c r="AR1220" s="111"/>
      <c r="AS1220" s="111"/>
      <c r="AT1220" s="111"/>
      <c r="AU1220" s="111"/>
      <c r="AV1220" s="111"/>
      <c r="AW1220" s="111"/>
    </row>
    <row r="1221" spans="1:49" ht="409.6" thickTop="1" thickBot="1" x14ac:dyDescent="0.3">
      <c r="A1221" s="209">
        <v>176</v>
      </c>
      <c r="B1221" s="85" t="s">
        <v>3413</v>
      </c>
      <c r="C1221" s="120" t="s">
        <v>2834</v>
      </c>
      <c r="D1221" s="111" t="s">
        <v>714</v>
      </c>
      <c r="E1221" s="111" t="s">
        <v>2845</v>
      </c>
      <c r="F1221" s="111" t="s">
        <v>52</v>
      </c>
      <c r="G1221" s="111" t="s">
        <v>53</v>
      </c>
      <c r="H1221" s="111" t="s">
        <v>733</v>
      </c>
      <c r="I1221" s="63" t="s">
        <v>55</v>
      </c>
      <c r="J1221" s="63" t="s">
        <v>56</v>
      </c>
      <c r="K1221" s="63">
        <v>801116</v>
      </c>
      <c r="L1221" s="63" t="s">
        <v>2836</v>
      </c>
      <c r="M1221" s="63" t="s">
        <v>2837</v>
      </c>
      <c r="N1221" s="63" t="s">
        <v>2838</v>
      </c>
      <c r="O1221" s="63" t="s">
        <v>2839</v>
      </c>
      <c r="P1221" s="111" t="s">
        <v>3016</v>
      </c>
      <c r="Q1221" s="198">
        <v>4120000</v>
      </c>
      <c r="R1221" s="63">
        <v>1</v>
      </c>
      <c r="S1221" s="208">
        <f>+Q1221*R1221*W1221-13733333</f>
        <v>0.33333333395421505</v>
      </c>
      <c r="T1221" s="111" t="s">
        <v>888</v>
      </c>
      <c r="U1221" s="63" t="s">
        <v>445</v>
      </c>
      <c r="V1221" s="81">
        <v>43390</v>
      </c>
      <c r="W1221" s="206">
        <v>3.3333333333333335</v>
      </c>
      <c r="X1221" s="85"/>
      <c r="Y1221" s="111"/>
      <c r="Z1221" s="208"/>
      <c r="AA1221" s="111"/>
      <c r="AB1221" s="111"/>
      <c r="AC1221" s="111"/>
      <c r="AD1221" s="111"/>
      <c r="AE1221" s="111"/>
      <c r="AF1221" s="111"/>
      <c r="AG1221" s="111"/>
      <c r="AH1221" s="111"/>
      <c r="AI1221" s="85"/>
      <c r="AJ1221" s="111"/>
      <c r="AK1221" s="111"/>
      <c r="AL1221" s="111"/>
      <c r="AM1221" s="111"/>
      <c r="AN1221" s="111"/>
      <c r="AO1221" s="111"/>
      <c r="AP1221" s="111"/>
      <c r="AQ1221" s="111"/>
      <c r="AR1221" s="111"/>
      <c r="AS1221" s="111"/>
      <c r="AT1221" s="111"/>
      <c r="AU1221" s="111"/>
      <c r="AV1221" s="111"/>
      <c r="AW1221" s="111"/>
    </row>
    <row r="1222" spans="1:49" ht="409.6" thickTop="1" thickBot="1" x14ac:dyDescent="0.3">
      <c r="A1222" s="193">
        <v>177</v>
      </c>
      <c r="B1222" s="85" t="s">
        <v>3414</v>
      </c>
      <c r="C1222" s="120" t="s">
        <v>2834</v>
      </c>
      <c r="D1222" s="111" t="s">
        <v>714</v>
      </c>
      <c r="E1222" s="111" t="s">
        <v>2845</v>
      </c>
      <c r="F1222" s="111" t="s">
        <v>52</v>
      </c>
      <c r="G1222" s="111" t="s">
        <v>53</v>
      </c>
      <c r="H1222" s="111" t="s">
        <v>733</v>
      </c>
      <c r="I1222" s="63" t="s">
        <v>55</v>
      </c>
      <c r="J1222" s="63" t="s">
        <v>56</v>
      </c>
      <c r="K1222" s="63">
        <v>801116</v>
      </c>
      <c r="L1222" s="63" t="s">
        <v>2836</v>
      </c>
      <c r="M1222" s="63" t="s">
        <v>2837</v>
      </c>
      <c r="N1222" s="63" t="s">
        <v>2838</v>
      </c>
      <c r="O1222" s="63" t="s">
        <v>2839</v>
      </c>
      <c r="P1222" s="111" t="s">
        <v>2895</v>
      </c>
      <c r="Q1222" s="198">
        <v>4120000</v>
      </c>
      <c r="R1222" s="63">
        <v>1</v>
      </c>
      <c r="S1222" s="208">
        <f>+Q1222*R1222*W1222-10711667</f>
        <v>3021666.333333334</v>
      </c>
      <c r="T1222" s="111" t="s">
        <v>888</v>
      </c>
      <c r="U1222" s="63" t="s">
        <v>445</v>
      </c>
      <c r="V1222" s="81">
        <v>43390</v>
      </c>
      <c r="W1222" s="206">
        <v>3.3333333333333335</v>
      </c>
      <c r="X1222" s="85"/>
      <c r="Y1222" s="111"/>
      <c r="Z1222" s="208"/>
      <c r="AA1222" s="111"/>
      <c r="AB1222" s="111"/>
      <c r="AC1222" s="111"/>
      <c r="AD1222" s="111"/>
      <c r="AE1222" s="111"/>
      <c r="AF1222" s="111"/>
      <c r="AG1222" s="111"/>
      <c r="AH1222" s="111"/>
      <c r="AI1222" s="111"/>
      <c r="AJ1222" s="111"/>
      <c r="AK1222" s="111"/>
      <c r="AL1222" s="111"/>
      <c r="AM1222" s="111"/>
      <c r="AN1222" s="111"/>
      <c r="AO1222" s="111"/>
      <c r="AP1222" s="111"/>
      <c r="AQ1222" s="111"/>
      <c r="AR1222" s="111"/>
      <c r="AS1222" s="111"/>
      <c r="AT1222" s="111"/>
      <c r="AU1222" s="111"/>
      <c r="AV1222" s="111"/>
      <c r="AW1222" s="111"/>
    </row>
    <row r="1223" spans="1:49" ht="409.6" thickTop="1" thickBot="1" x14ac:dyDescent="0.3">
      <c r="A1223" s="209">
        <v>178</v>
      </c>
      <c r="B1223" s="85" t="s">
        <v>3415</v>
      </c>
      <c r="C1223" s="120" t="s">
        <v>2834</v>
      </c>
      <c r="D1223" s="111" t="s">
        <v>714</v>
      </c>
      <c r="E1223" s="111" t="s">
        <v>2845</v>
      </c>
      <c r="F1223" s="111" t="s">
        <v>52</v>
      </c>
      <c r="G1223" s="111" t="s">
        <v>53</v>
      </c>
      <c r="H1223" s="111" t="s">
        <v>733</v>
      </c>
      <c r="I1223" s="63" t="s">
        <v>55</v>
      </c>
      <c r="J1223" s="63" t="s">
        <v>56</v>
      </c>
      <c r="K1223" s="63">
        <v>801116</v>
      </c>
      <c r="L1223" s="63" t="s">
        <v>2836</v>
      </c>
      <c r="M1223" s="63" t="s">
        <v>2837</v>
      </c>
      <c r="N1223" s="63" t="s">
        <v>2838</v>
      </c>
      <c r="O1223" s="63" t="s">
        <v>2839</v>
      </c>
      <c r="P1223" s="111" t="s">
        <v>2895</v>
      </c>
      <c r="Q1223" s="198">
        <v>4120000</v>
      </c>
      <c r="R1223" s="63">
        <v>2</v>
      </c>
      <c r="S1223" s="208">
        <f>+Q1223*R1223*W1223-275000-10986667-16205000</f>
        <v>-0.3333333320915699</v>
      </c>
      <c r="T1223" s="111" t="s">
        <v>888</v>
      </c>
      <c r="U1223" s="63" t="s">
        <v>445</v>
      </c>
      <c r="V1223" s="81">
        <v>43390</v>
      </c>
      <c r="W1223" s="206">
        <v>3.3333333333333335</v>
      </c>
      <c r="X1223" s="85"/>
      <c r="Y1223" s="111"/>
      <c r="Z1223" s="208"/>
      <c r="AA1223" s="111"/>
      <c r="AB1223" s="111"/>
      <c r="AC1223" s="111"/>
      <c r="AD1223" s="111"/>
      <c r="AE1223" s="111"/>
      <c r="AF1223" s="111"/>
      <c r="AG1223" s="111"/>
      <c r="AH1223" s="111"/>
      <c r="AI1223" s="111"/>
      <c r="AJ1223" s="111"/>
      <c r="AK1223" s="111"/>
      <c r="AL1223" s="111"/>
      <c r="AM1223" s="111"/>
      <c r="AN1223" s="111"/>
      <c r="AO1223" s="111"/>
      <c r="AP1223" s="111"/>
      <c r="AQ1223" s="111"/>
      <c r="AR1223" s="111"/>
      <c r="AS1223" s="111"/>
      <c r="AT1223" s="111"/>
      <c r="AU1223" s="111"/>
      <c r="AV1223" s="111"/>
      <c r="AW1223" s="111"/>
    </row>
    <row r="1224" spans="1:49" ht="409.6" thickTop="1" thickBot="1" x14ac:dyDescent="0.3">
      <c r="A1224" s="193">
        <v>179</v>
      </c>
      <c r="B1224" s="85" t="s">
        <v>3416</v>
      </c>
      <c r="C1224" s="120" t="s">
        <v>2834</v>
      </c>
      <c r="D1224" s="111" t="s">
        <v>714</v>
      </c>
      <c r="E1224" s="111" t="s">
        <v>2845</v>
      </c>
      <c r="F1224" s="111" t="s">
        <v>52</v>
      </c>
      <c r="G1224" s="111" t="s">
        <v>53</v>
      </c>
      <c r="H1224" s="111" t="s">
        <v>733</v>
      </c>
      <c r="I1224" s="63" t="s">
        <v>55</v>
      </c>
      <c r="J1224" s="63" t="s">
        <v>56</v>
      </c>
      <c r="K1224" s="63">
        <v>801116</v>
      </c>
      <c r="L1224" s="63" t="s">
        <v>2836</v>
      </c>
      <c r="M1224" s="63" t="s">
        <v>2837</v>
      </c>
      <c r="N1224" s="63" t="s">
        <v>2838</v>
      </c>
      <c r="O1224" s="63" t="s">
        <v>2839</v>
      </c>
      <c r="P1224" s="111" t="s">
        <v>2895</v>
      </c>
      <c r="Q1224" s="198">
        <v>2400000</v>
      </c>
      <c r="R1224" s="63">
        <v>1</v>
      </c>
      <c r="S1224" s="208">
        <f>+Q1224*R1224*W1224-6351667-1648333</f>
        <v>0</v>
      </c>
      <c r="T1224" s="111" t="s">
        <v>888</v>
      </c>
      <c r="U1224" s="63" t="s">
        <v>445</v>
      </c>
      <c r="V1224" s="81">
        <v>43390</v>
      </c>
      <c r="W1224" s="206">
        <v>3.3333333333333335</v>
      </c>
      <c r="X1224" s="85"/>
      <c r="Y1224" s="111"/>
      <c r="Z1224" s="208"/>
      <c r="AA1224" s="111"/>
      <c r="AB1224" s="111"/>
      <c r="AC1224" s="111"/>
      <c r="AD1224" s="111"/>
      <c r="AE1224" s="111"/>
      <c r="AF1224" s="111"/>
      <c r="AG1224" s="111"/>
      <c r="AH1224" s="111"/>
      <c r="AI1224" s="111"/>
      <c r="AJ1224" s="111"/>
      <c r="AK1224" s="111"/>
      <c r="AL1224" s="111"/>
      <c r="AM1224" s="111"/>
      <c r="AN1224" s="111"/>
      <c r="AO1224" s="111"/>
      <c r="AP1224" s="111"/>
      <c r="AQ1224" s="111"/>
      <c r="AR1224" s="111"/>
      <c r="AS1224" s="111"/>
      <c r="AT1224" s="111"/>
      <c r="AU1224" s="111"/>
      <c r="AV1224" s="111"/>
      <c r="AW1224" s="111"/>
    </row>
    <row r="1225" spans="1:49" ht="409.6" thickTop="1" thickBot="1" x14ac:dyDescent="0.3">
      <c r="A1225" s="209">
        <v>180</v>
      </c>
      <c r="B1225" s="85" t="s">
        <v>3417</v>
      </c>
      <c r="C1225" s="120" t="s">
        <v>2834</v>
      </c>
      <c r="D1225" s="111" t="s">
        <v>714</v>
      </c>
      <c r="E1225" s="111" t="s">
        <v>2845</v>
      </c>
      <c r="F1225" s="111" t="s">
        <v>52</v>
      </c>
      <c r="G1225" s="111" t="s">
        <v>53</v>
      </c>
      <c r="H1225" s="111" t="s">
        <v>733</v>
      </c>
      <c r="I1225" s="63" t="s">
        <v>55</v>
      </c>
      <c r="J1225" s="63" t="s">
        <v>56</v>
      </c>
      <c r="K1225" s="63">
        <v>801116</v>
      </c>
      <c r="L1225" s="63" t="s">
        <v>2836</v>
      </c>
      <c r="M1225" s="63" t="s">
        <v>2837</v>
      </c>
      <c r="N1225" s="63" t="s">
        <v>2838</v>
      </c>
      <c r="O1225" s="63" t="s">
        <v>2839</v>
      </c>
      <c r="P1225" s="111" t="s">
        <v>3408</v>
      </c>
      <c r="Q1225" s="198">
        <v>4120000</v>
      </c>
      <c r="R1225" s="63">
        <v>2</v>
      </c>
      <c r="S1225" s="208">
        <f t="shared" ref="S1225" si="134">+Q1225*R1225*W1225</f>
        <v>27466666.666666668</v>
      </c>
      <c r="T1225" s="111" t="s">
        <v>888</v>
      </c>
      <c r="U1225" s="63" t="s">
        <v>445</v>
      </c>
      <c r="V1225" s="81">
        <v>43390</v>
      </c>
      <c r="W1225" s="206">
        <v>3.3333333333333335</v>
      </c>
      <c r="X1225" s="85"/>
      <c r="Y1225" s="111"/>
      <c r="Z1225" s="208"/>
      <c r="AA1225" s="111"/>
      <c r="AB1225" s="111"/>
      <c r="AC1225" s="111"/>
      <c r="AD1225" s="111"/>
      <c r="AE1225" s="111"/>
      <c r="AF1225" s="111"/>
      <c r="AG1225" s="111"/>
      <c r="AH1225" s="111"/>
      <c r="AI1225" s="111"/>
      <c r="AJ1225" s="111"/>
      <c r="AK1225" s="111"/>
      <c r="AL1225" s="111"/>
      <c r="AM1225" s="111"/>
      <c r="AN1225" s="111"/>
      <c r="AO1225" s="111"/>
      <c r="AP1225" s="111"/>
      <c r="AQ1225" s="111"/>
      <c r="AR1225" s="111"/>
      <c r="AS1225" s="111"/>
      <c r="AT1225" s="111"/>
      <c r="AU1225" s="111"/>
      <c r="AV1225" s="111"/>
      <c r="AW1225" s="111"/>
    </row>
    <row r="1226" spans="1:49" ht="409.6" thickTop="1" thickBot="1" x14ac:dyDescent="0.3">
      <c r="A1226" s="193">
        <v>181</v>
      </c>
      <c r="B1226" s="85" t="s">
        <v>3418</v>
      </c>
      <c r="C1226" s="120" t="s">
        <v>2834</v>
      </c>
      <c r="D1226" s="111" t="s">
        <v>714</v>
      </c>
      <c r="E1226" s="111" t="s">
        <v>2845</v>
      </c>
      <c r="F1226" s="111" t="s">
        <v>52</v>
      </c>
      <c r="G1226" s="111" t="s">
        <v>53</v>
      </c>
      <c r="H1226" s="111" t="s">
        <v>733</v>
      </c>
      <c r="I1226" s="63" t="s">
        <v>55</v>
      </c>
      <c r="J1226" s="63" t="s">
        <v>56</v>
      </c>
      <c r="K1226" s="63">
        <v>801116</v>
      </c>
      <c r="L1226" s="63" t="s">
        <v>2836</v>
      </c>
      <c r="M1226" s="63" t="s">
        <v>2837</v>
      </c>
      <c r="N1226" s="63" t="s">
        <v>2838</v>
      </c>
      <c r="O1226" s="63" t="s">
        <v>2839</v>
      </c>
      <c r="P1226" s="111" t="s">
        <v>2942</v>
      </c>
      <c r="Q1226" s="198">
        <v>8130000</v>
      </c>
      <c r="R1226" s="63">
        <v>1</v>
      </c>
      <c r="S1226" s="208">
        <v>27100000</v>
      </c>
      <c r="T1226" s="111" t="s">
        <v>888</v>
      </c>
      <c r="U1226" s="63" t="s">
        <v>445</v>
      </c>
      <c r="V1226" s="81">
        <v>43390</v>
      </c>
      <c r="W1226" s="206">
        <v>3.3333333333333335</v>
      </c>
      <c r="X1226" s="85"/>
      <c r="Y1226" s="111"/>
      <c r="Z1226" s="208"/>
      <c r="AA1226" s="111"/>
      <c r="AB1226" s="111"/>
      <c r="AC1226" s="111"/>
      <c r="AD1226" s="111"/>
      <c r="AE1226" s="111"/>
      <c r="AF1226" s="111"/>
      <c r="AG1226" s="111"/>
      <c r="AH1226" s="111"/>
      <c r="AI1226" s="111"/>
      <c r="AJ1226" s="111"/>
      <c r="AK1226" s="111"/>
      <c r="AL1226" s="111"/>
      <c r="AM1226" s="111"/>
      <c r="AN1226" s="111"/>
      <c r="AO1226" s="111"/>
      <c r="AP1226" s="111"/>
      <c r="AQ1226" s="111"/>
      <c r="AR1226" s="111"/>
      <c r="AS1226" s="111"/>
      <c r="AT1226" s="111"/>
      <c r="AU1226" s="111"/>
      <c r="AV1226" s="111"/>
      <c r="AW1226" s="111"/>
    </row>
    <row r="1227" spans="1:49" ht="409.6" thickTop="1" thickBot="1" x14ac:dyDescent="0.3">
      <c r="A1227" s="193">
        <v>182</v>
      </c>
      <c r="B1227" s="85" t="s">
        <v>3419</v>
      </c>
      <c r="C1227" s="120" t="s">
        <v>2834</v>
      </c>
      <c r="D1227" s="111" t="s">
        <v>714</v>
      </c>
      <c r="E1227" s="111" t="s">
        <v>2835</v>
      </c>
      <c r="F1227" s="111" t="s">
        <v>52</v>
      </c>
      <c r="G1227" s="111" t="s">
        <v>53</v>
      </c>
      <c r="H1227" s="111" t="s">
        <v>733</v>
      </c>
      <c r="I1227" s="63" t="s">
        <v>710</v>
      </c>
      <c r="J1227" s="106" t="s">
        <v>1046</v>
      </c>
      <c r="K1227" s="63">
        <v>81101500</v>
      </c>
      <c r="L1227" s="63" t="s">
        <v>2836</v>
      </c>
      <c r="M1227" s="63" t="s">
        <v>2837</v>
      </c>
      <c r="N1227" s="63" t="s">
        <v>2838</v>
      </c>
      <c r="O1227" s="63" t="s">
        <v>2839</v>
      </c>
      <c r="P1227" s="111" t="s">
        <v>3420</v>
      </c>
      <c r="Q1227" s="198">
        <f t="shared" ref="Q1227:Q1229" si="135">S1227/W1227</f>
        <v>0</v>
      </c>
      <c r="R1227" s="63">
        <v>1</v>
      </c>
      <c r="S1227" s="208"/>
      <c r="T1227" s="111" t="s">
        <v>888</v>
      </c>
      <c r="U1227" s="63" t="s">
        <v>445</v>
      </c>
      <c r="V1227" s="81">
        <v>43339</v>
      </c>
      <c r="W1227" s="206">
        <v>3.5</v>
      </c>
      <c r="X1227" s="85" t="s">
        <v>3421</v>
      </c>
      <c r="Y1227" s="111"/>
      <c r="Z1227" s="208">
        <v>17628450</v>
      </c>
      <c r="AA1227" s="111"/>
      <c r="AB1227" s="111"/>
      <c r="AC1227" s="111"/>
      <c r="AD1227" s="111"/>
      <c r="AE1227" s="111"/>
      <c r="AF1227" s="111"/>
      <c r="AG1227" s="111"/>
      <c r="AH1227" s="111"/>
      <c r="AI1227" s="111"/>
      <c r="AJ1227" s="111"/>
      <c r="AK1227" s="111"/>
      <c r="AL1227" s="111"/>
      <c r="AM1227" s="111"/>
      <c r="AN1227" s="111"/>
      <c r="AO1227" s="111"/>
      <c r="AP1227" s="111"/>
      <c r="AQ1227" s="111"/>
      <c r="AR1227" s="111"/>
      <c r="AS1227" s="111"/>
      <c r="AT1227" s="111"/>
      <c r="AU1227" s="111"/>
      <c r="AV1227" s="111"/>
      <c r="AW1227" s="111"/>
    </row>
    <row r="1228" spans="1:49" ht="357.75" thickTop="1" thickBot="1" x14ac:dyDescent="0.3">
      <c r="A1228" s="193">
        <v>183</v>
      </c>
      <c r="B1228" s="85" t="s">
        <v>3422</v>
      </c>
      <c r="C1228" s="120" t="s">
        <v>2834</v>
      </c>
      <c r="D1228" s="111" t="s">
        <v>714</v>
      </c>
      <c r="E1228" s="111" t="s">
        <v>2835</v>
      </c>
      <c r="F1228" s="111" t="s">
        <v>52</v>
      </c>
      <c r="G1228" s="111" t="s">
        <v>53</v>
      </c>
      <c r="H1228" s="111" t="s">
        <v>733</v>
      </c>
      <c r="I1228" s="63" t="s">
        <v>710</v>
      </c>
      <c r="J1228" s="106" t="s">
        <v>1046</v>
      </c>
      <c r="K1228" s="63">
        <v>81101500</v>
      </c>
      <c r="L1228" s="63" t="s">
        <v>2836</v>
      </c>
      <c r="M1228" s="63" t="s">
        <v>2837</v>
      </c>
      <c r="N1228" s="63" t="s">
        <v>2838</v>
      </c>
      <c r="O1228" s="63" t="s">
        <v>2839</v>
      </c>
      <c r="P1228" s="111" t="s">
        <v>3423</v>
      </c>
      <c r="Q1228" s="198">
        <f t="shared" si="135"/>
        <v>5036700.0503670005</v>
      </c>
      <c r="R1228" s="63">
        <v>1</v>
      </c>
      <c r="S1228" s="198">
        <v>16789000</v>
      </c>
      <c r="T1228" s="111" t="s">
        <v>888</v>
      </c>
      <c r="U1228" s="63" t="s">
        <v>445</v>
      </c>
      <c r="V1228" s="81">
        <v>43339</v>
      </c>
      <c r="W1228" s="206">
        <v>3.3333333000000001</v>
      </c>
      <c r="X1228" s="85" t="s">
        <v>3424</v>
      </c>
      <c r="Y1228" s="81">
        <v>43360</v>
      </c>
      <c r="Z1228" s="208">
        <v>16789000</v>
      </c>
      <c r="AA1228" s="111"/>
      <c r="AB1228" s="111"/>
      <c r="AC1228" s="111"/>
      <c r="AD1228" s="111"/>
      <c r="AE1228" s="111"/>
      <c r="AF1228" s="111"/>
      <c r="AG1228" s="111"/>
      <c r="AH1228" s="111"/>
      <c r="AI1228" s="111"/>
      <c r="AJ1228" s="111"/>
      <c r="AK1228" s="111"/>
      <c r="AL1228" s="111"/>
      <c r="AM1228" s="111"/>
      <c r="AN1228" s="111"/>
      <c r="AO1228" s="111"/>
      <c r="AP1228" s="111"/>
      <c r="AQ1228" s="111"/>
      <c r="AR1228" s="111"/>
      <c r="AS1228" s="111"/>
      <c r="AT1228" s="111"/>
      <c r="AU1228" s="111"/>
      <c r="AV1228" s="111"/>
      <c r="AW1228" s="111"/>
    </row>
    <row r="1229" spans="1:49" ht="357.75" thickTop="1" thickBot="1" x14ac:dyDescent="0.3">
      <c r="A1229" s="193">
        <v>184</v>
      </c>
      <c r="B1229" s="85" t="s">
        <v>3425</v>
      </c>
      <c r="C1229" s="120" t="s">
        <v>2834</v>
      </c>
      <c r="D1229" s="111" t="s">
        <v>714</v>
      </c>
      <c r="E1229" s="111" t="s">
        <v>2835</v>
      </c>
      <c r="F1229" s="111" t="s">
        <v>52</v>
      </c>
      <c r="G1229" s="111" t="s">
        <v>53</v>
      </c>
      <c r="H1229" s="111" t="s">
        <v>733</v>
      </c>
      <c r="I1229" s="63" t="s">
        <v>710</v>
      </c>
      <c r="J1229" s="106" t="s">
        <v>3183</v>
      </c>
      <c r="K1229" s="63">
        <v>81101500</v>
      </c>
      <c r="L1229" s="63" t="s">
        <v>2836</v>
      </c>
      <c r="M1229" s="63" t="s">
        <v>2837</v>
      </c>
      <c r="N1229" s="63" t="s">
        <v>2838</v>
      </c>
      <c r="O1229" s="63" t="s">
        <v>2839</v>
      </c>
      <c r="P1229" s="111" t="s">
        <v>3426</v>
      </c>
      <c r="Q1229" s="198">
        <f t="shared" si="135"/>
        <v>3399000.0339900004</v>
      </c>
      <c r="R1229" s="63">
        <v>1</v>
      </c>
      <c r="S1229" s="208">
        <v>11330000</v>
      </c>
      <c r="T1229" s="111" t="s">
        <v>888</v>
      </c>
      <c r="U1229" s="63" t="s">
        <v>445</v>
      </c>
      <c r="V1229" s="81">
        <v>43339</v>
      </c>
      <c r="W1229" s="206">
        <v>3.3333333000000001</v>
      </c>
      <c r="X1229" s="85" t="s">
        <v>3427</v>
      </c>
      <c r="Y1229" s="81">
        <v>43360</v>
      </c>
      <c r="Z1229" s="198">
        <v>11330000</v>
      </c>
      <c r="AA1229" s="111"/>
      <c r="AB1229" s="111"/>
      <c r="AC1229" s="111"/>
      <c r="AD1229" s="111"/>
      <c r="AE1229" s="111"/>
      <c r="AF1229" s="111"/>
      <c r="AG1229" s="111"/>
      <c r="AH1229" s="111"/>
      <c r="AI1229" s="111"/>
      <c r="AJ1229" s="111"/>
      <c r="AK1229" s="111"/>
      <c r="AL1229" s="111"/>
      <c r="AM1229" s="111"/>
      <c r="AN1229" s="111"/>
      <c r="AO1229" s="111"/>
      <c r="AP1229" s="111"/>
      <c r="AQ1229" s="111"/>
      <c r="AR1229" s="111"/>
      <c r="AS1229" s="111"/>
      <c r="AT1229" s="111"/>
      <c r="AU1229" s="111"/>
      <c r="AV1229" s="111"/>
      <c r="AW1229" s="111"/>
    </row>
    <row r="1230" spans="1:49" ht="409.6" thickTop="1" thickBot="1" x14ac:dyDescent="0.3">
      <c r="A1230" s="193">
        <v>185</v>
      </c>
      <c r="B1230" s="85" t="s">
        <v>3428</v>
      </c>
      <c r="C1230" s="120" t="s">
        <v>2834</v>
      </c>
      <c r="D1230" s="111" t="s">
        <v>714</v>
      </c>
      <c r="E1230" s="111" t="s">
        <v>2845</v>
      </c>
      <c r="F1230" s="111" t="s">
        <v>52</v>
      </c>
      <c r="G1230" s="111" t="s">
        <v>53</v>
      </c>
      <c r="H1230" s="111" t="s">
        <v>733</v>
      </c>
      <c r="I1230" s="63" t="s">
        <v>55</v>
      </c>
      <c r="J1230" s="63" t="s">
        <v>56</v>
      </c>
      <c r="K1230" s="63">
        <v>81101500</v>
      </c>
      <c r="L1230" s="63" t="s">
        <v>2836</v>
      </c>
      <c r="M1230" s="63" t="s">
        <v>2837</v>
      </c>
      <c r="N1230" s="63" t="s">
        <v>2838</v>
      </c>
      <c r="O1230" s="63" t="s">
        <v>2839</v>
      </c>
      <c r="P1230" s="111" t="s">
        <v>3429</v>
      </c>
      <c r="Q1230" s="198">
        <f t="shared" ref="Q1230:Q1235" si="136">(S1230/R1230)/W1230</f>
        <v>6695000</v>
      </c>
      <c r="R1230" s="63">
        <v>1</v>
      </c>
      <c r="S1230" s="208">
        <f>13733333+6351667</f>
        <v>20085000</v>
      </c>
      <c r="T1230" s="111" t="s">
        <v>888</v>
      </c>
      <c r="U1230" s="63" t="s">
        <v>445</v>
      </c>
      <c r="V1230" s="81">
        <v>43363</v>
      </c>
      <c r="W1230" s="206">
        <v>3</v>
      </c>
      <c r="X1230" s="85" t="s">
        <v>3430</v>
      </c>
      <c r="Y1230" s="81">
        <v>43363</v>
      </c>
      <c r="Z1230" s="208">
        <f>13733333+6351667</f>
        <v>20085000</v>
      </c>
      <c r="AA1230" s="63" t="s">
        <v>3431</v>
      </c>
      <c r="AB1230" s="111"/>
      <c r="AC1230" s="111"/>
      <c r="AD1230" s="111"/>
      <c r="AE1230" s="111"/>
      <c r="AF1230" s="111"/>
      <c r="AG1230" s="111"/>
      <c r="AH1230" s="111"/>
      <c r="AI1230" s="85"/>
      <c r="AJ1230" s="111"/>
      <c r="AK1230" s="111"/>
      <c r="AL1230" s="111"/>
      <c r="AM1230" s="111"/>
      <c r="AN1230" s="111"/>
      <c r="AO1230" s="111"/>
      <c r="AP1230" s="111"/>
      <c r="AQ1230" s="111"/>
      <c r="AR1230" s="111"/>
      <c r="AS1230" s="111"/>
      <c r="AT1230" s="111"/>
      <c r="AU1230" s="111"/>
      <c r="AV1230" s="111"/>
      <c r="AW1230" s="111"/>
    </row>
    <row r="1231" spans="1:49" ht="357.75" thickTop="1" thickBot="1" x14ac:dyDescent="0.3">
      <c r="A1231" s="193">
        <v>186</v>
      </c>
      <c r="B1231" s="85" t="s">
        <v>3432</v>
      </c>
      <c r="C1231" s="120" t="s">
        <v>2834</v>
      </c>
      <c r="D1231" s="111" t="s">
        <v>714</v>
      </c>
      <c r="E1231" s="111" t="s">
        <v>2835</v>
      </c>
      <c r="F1231" s="111" t="s">
        <v>52</v>
      </c>
      <c r="G1231" s="111" t="s">
        <v>53</v>
      </c>
      <c r="H1231" s="111" t="s">
        <v>733</v>
      </c>
      <c r="I1231" s="63" t="s">
        <v>710</v>
      </c>
      <c r="J1231" s="106" t="s">
        <v>1046</v>
      </c>
      <c r="K1231" s="63">
        <v>93141500</v>
      </c>
      <c r="L1231" s="63" t="s">
        <v>2836</v>
      </c>
      <c r="M1231" s="63" t="s">
        <v>2837</v>
      </c>
      <c r="N1231" s="63" t="s">
        <v>2838</v>
      </c>
      <c r="O1231" s="63" t="s">
        <v>2839</v>
      </c>
      <c r="P1231" s="111" t="s">
        <v>3433</v>
      </c>
      <c r="Q1231" s="198">
        <f t="shared" si="136"/>
        <v>4120000</v>
      </c>
      <c r="R1231" s="63">
        <v>1</v>
      </c>
      <c r="S1231" s="208">
        <v>12360000</v>
      </c>
      <c r="T1231" s="111" t="s">
        <v>888</v>
      </c>
      <c r="U1231" s="63" t="s">
        <v>445</v>
      </c>
      <c r="V1231" s="81">
        <v>43368</v>
      </c>
      <c r="W1231" s="206">
        <v>3</v>
      </c>
      <c r="X1231" s="85" t="s">
        <v>3434</v>
      </c>
      <c r="Y1231" s="81">
        <v>43367</v>
      </c>
      <c r="Z1231" s="208">
        <v>12360000</v>
      </c>
      <c r="AA1231" s="63"/>
      <c r="AB1231" s="111"/>
      <c r="AC1231" s="111"/>
      <c r="AD1231" s="111"/>
      <c r="AE1231" s="111"/>
      <c r="AF1231" s="111"/>
      <c r="AG1231" s="111"/>
      <c r="AH1231" s="111"/>
      <c r="AI1231" s="85"/>
      <c r="AJ1231" s="111"/>
      <c r="AK1231" s="111"/>
      <c r="AL1231" s="111"/>
      <c r="AM1231" s="111"/>
      <c r="AN1231" s="111"/>
      <c r="AO1231" s="111"/>
      <c r="AP1231" s="111"/>
      <c r="AQ1231" s="111"/>
      <c r="AR1231" s="111"/>
      <c r="AS1231" s="111"/>
      <c r="AT1231" s="111"/>
      <c r="AU1231" s="111"/>
      <c r="AV1231" s="111"/>
      <c r="AW1231" s="111"/>
    </row>
    <row r="1232" spans="1:49" ht="409.6" thickTop="1" thickBot="1" x14ac:dyDescent="0.3">
      <c r="A1232" s="193">
        <v>187</v>
      </c>
      <c r="B1232" s="85" t="s">
        <v>3435</v>
      </c>
      <c r="C1232" s="120" t="s">
        <v>2834</v>
      </c>
      <c r="D1232" s="111" t="s">
        <v>714</v>
      </c>
      <c r="E1232" s="111" t="s">
        <v>2845</v>
      </c>
      <c r="F1232" s="111" t="s">
        <v>52</v>
      </c>
      <c r="G1232" s="111" t="s">
        <v>53</v>
      </c>
      <c r="H1232" s="111" t="s">
        <v>733</v>
      </c>
      <c r="I1232" s="63" t="s">
        <v>55</v>
      </c>
      <c r="J1232" s="63" t="s">
        <v>56</v>
      </c>
      <c r="K1232" s="63">
        <v>81101500</v>
      </c>
      <c r="L1232" s="63" t="s">
        <v>2836</v>
      </c>
      <c r="M1232" s="63" t="s">
        <v>2837</v>
      </c>
      <c r="N1232" s="63" t="s">
        <v>2838</v>
      </c>
      <c r="O1232" s="63" t="s">
        <v>2839</v>
      </c>
      <c r="P1232" s="111" t="s">
        <v>3266</v>
      </c>
      <c r="Q1232" s="198">
        <f t="shared" si="136"/>
        <v>4119999.6100000488</v>
      </c>
      <c r="R1232" s="63">
        <v>1</v>
      </c>
      <c r="S1232" s="208">
        <v>10986667</v>
      </c>
      <c r="T1232" s="111" t="s">
        <v>888</v>
      </c>
      <c r="U1232" s="63" t="s">
        <v>445</v>
      </c>
      <c r="V1232" s="81">
        <v>43368</v>
      </c>
      <c r="W1232" s="206">
        <v>2.6666669999999999</v>
      </c>
      <c r="X1232" s="85" t="s">
        <v>3436</v>
      </c>
      <c r="Y1232" s="81">
        <v>43374</v>
      </c>
      <c r="Z1232" s="208">
        <v>10986667</v>
      </c>
      <c r="AA1232" s="63" t="s">
        <v>3437</v>
      </c>
      <c r="AB1232" s="111"/>
      <c r="AC1232" s="111"/>
      <c r="AD1232" s="111"/>
      <c r="AE1232" s="111"/>
      <c r="AF1232" s="111"/>
      <c r="AG1232" s="111"/>
      <c r="AH1232" s="111"/>
      <c r="AI1232" s="85"/>
      <c r="AJ1232" s="111"/>
      <c r="AK1232" s="111"/>
      <c r="AL1232" s="111"/>
      <c r="AM1232" s="111"/>
      <c r="AN1232" s="111"/>
      <c r="AO1232" s="111"/>
      <c r="AP1232" s="111"/>
      <c r="AQ1232" s="111"/>
      <c r="AR1232" s="111"/>
      <c r="AS1232" s="111"/>
      <c r="AT1232" s="111"/>
      <c r="AU1232" s="111"/>
      <c r="AV1232" s="111"/>
      <c r="AW1232" s="111"/>
    </row>
    <row r="1233" spans="1:49" ht="409.6" thickTop="1" thickBot="1" x14ac:dyDescent="0.3">
      <c r="A1233" s="193">
        <v>188</v>
      </c>
      <c r="B1233" s="85" t="s">
        <v>3438</v>
      </c>
      <c r="C1233" s="120" t="s">
        <v>2834</v>
      </c>
      <c r="D1233" s="111" t="s">
        <v>714</v>
      </c>
      <c r="E1233" s="111" t="s">
        <v>2845</v>
      </c>
      <c r="F1233" s="111" t="s">
        <v>52</v>
      </c>
      <c r="G1233" s="111" t="s">
        <v>53</v>
      </c>
      <c r="H1233" s="111" t="s">
        <v>733</v>
      </c>
      <c r="I1233" s="63" t="s">
        <v>55</v>
      </c>
      <c r="J1233" s="63" t="s">
        <v>56</v>
      </c>
      <c r="K1233" s="63">
        <v>81101500</v>
      </c>
      <c r="L1233" s="63" t="s">
        <v>2836</v>
      </c>
      <c r="M1233" s="63" t="s">
        <v>2837</v>
      </c>
      <c r="N1233" s="63" t="s">
        <v>2838</v>
      </c>
      <c r="O1233" s="63" t="s">
        <v>2839</v>
      </c>
      <c r="P1233" s="111" t="s">
        <v>3266</v>
      </c>
      <c r="Q1233" s="198">
        <f t="shared" si="136"/>
        <v>4119999.6100000488</v>
      </c>
      <c r="R1233" s="63">
        <v>1</v>
      </c>
      <c r="S1233" s="208">
        <v>10986667</v>
      </c>
      <c r="T1233" s="111" t="s">
        <v>888</v>
      </c>
      <c r="U1233" s="63" t="s">
        <v>445</v>
      </c>
      <c r="V1233" s="81">
        <v>43368</v>
      </c>
      <c r="W1233" s="206">
        <v>2.6666669999999999</v>
      </c>
      <c r="X1233" s="85" t="s">
        <v>3439</v>
      </c>
      <c r="Y1233" s="81">
        <v>43374</v>
      </c>
      <c r="Z1233" s="208">
        <v>10986667</v>
      </c>
      <c r="AA1233" s="63" t="s">
        <v>3440</v>
      </c>
      <c r="AB1233" s="111"/>
      <c r="AC1233" s="111"/>
      <c r="AD1233" s="111"/>
      <c r="AE1233" s="111"/>
      <c r="AF1233" s="111"/>
      <c r="AG1233" s="111"/>
      <c r="AH1233" s="111"/>
      <c r="AI1233" s="85"/>
      <c r="AJ1233" s="111"/>
      <c r="AK1233" s="111"/>
      <c r="AL1233" s="111"/>
      <c r="AM1233" s="111"/>
      <c r="AN1233" s="111"/>
      <c r="AO1233" s="111"/>
      <c r="AP1233" s="111"/>
      <c r="AQ1233" s="111"/>
      <c r="AR1233" s="111"/>
      <c r="AS1233" s="111"/>
      <c r="AT1233" s="111"/>
      <c r="AU1233" s="111"/>
      <c r="AV1233" s="111"/>
      <c r="AW1233" s="111"/>
    </row>
    <row r="1234" spans="1:49" ht="409.6" thickTop="1" thickBot="1" x14ac:dyDescent="0.3">
      <c r="A1234" s="193">
        <v>189</v>
      </c>
      <c r="B1234" s="85" t="s">
        <v>3441</v>
      </c>
      <c r="C1234" s="120" t="s">
        <v>2834</v>
      </c>
      <c r="D1234" s="111" t="s">
        <v>714</v>
      </c>
      <c r="E1234" s="111" t="s">
        <v>2845</v>
      </c>
      <c r="F1234" s="111" t="s">
        <v>52</v>
      </c>
      <c r="G1234" s="111" t="s">
        <v>53</v>
      </c>
      <c r="H1234" s="111" t="s">
        <v>733</v>
      </c>
      <c r="I1234" s="63" t="s">
        <v>55</v>
      </c>
      <c r="J1234" s="63" t="s">
        <v>56</v>
      </c>
      <c r="K1234" s="63">
        <v>81101500</v>
      </c>
      <c r="L1234" s="63" t="s">
        <v>2836</v>
      </c>
      <c r="M1234" s="63" t="s">
        <v>2837</v>
      </c>
      <c r="N1234" s="63" t="s">
        <v>2838</v>
      </c>
      <c r="O1234" s="63" t="s">
        <v>2839</v>
      </c>
      <c r="P1234" s="111" t="s">
        <v>3442</v>
      </c>
      <c r="Q1234" s="198">
        <f t="shared" si="136"/>
        <v>6694999.0381251201</v>
      </c>
      <c r="R1234" s="63">
        <v>1</v>
      </c>
      <c r="S1234" s="208">
        <v>17853333</v>
      </c>
      <c r="T1234" s="111" t="s">
        <v>888</v>
      </c>
      <c r="U1234" s="63" t="s">
        <v>445</v>
      </c>
      <c r="V1234" s="81">
        <v>43368</v>
      </c>
      <c r="W1234" s="206">
        <v>2.6666669999999999</v>
      </c>
      <c r="X1234" s="85" t="s">
        <v>3443</v>
      </c>
      <c r="Y1234" s="81">
        <v>43374</v>
      </c>
      <c r="Z1234" s="208">
        <v>17853333</v>
      </c>
      <c r="AA1234" s="63" t="s">
        <v>3444</v>
      </c>
      <c r="AB1234" s="111"/>
      <c r="AC1234" s="111"/>
      <c r="AD1234" s="111"/>
      <c r="AE1234" s="111"/>
      <c r="AF1234" s="111"/>
      <c r="AG1234" s="111"/>
      <c r="AH1234" s="111"/>
      <c r="AI1234" s="85"/>
      <c r="AJ1234" s="111"/>
      <c r="AK1234" s="111"/>
      <c r="AL1234" s="111"/>
      <c r="AM1234" s="111"/>
      <c r="AN1234" s="111"/>
      <c r="AO1234" s="111"/>
      <c r="AP1234" s="111"/>
      <c r="AQ1234" s="111"/>
      <c r="AR1234" s="111"/>
      <c r="AS1234" s="111"/>
      <c r="AT1234" s="111"/>
      <c r="AU1234" s="111"/>
      <c r="AV1234" s="111"/>
      <c r="AW1234" s="111"/>
    </row>
    <row r="1235" spans="1:49" ht="357.75" thickTop="1" thickBot="1" x14ac:dyDescent="0.3">
      <c r="A1235" s="193">
        <v>190</v>
      </c>
      <c r="B1235" s="85" t="s">
        <v>3445</v>
      </c>
      <c r="C1235" s="120" t="s">
        <v>2834</v>
      </c>
      <c r="D1235" s="111" t="s">
        <v>714</v>
      </c>
      <c r="E1235" s="111" t="s">
        <v>2835</v>
      </c>
      <c r="F1235" s="111" t="s">
        <v>52</v>
      </c>
      <c r="G1235" s="111" t="s">
        <v>53</v>
      </c>
      <c r="H1235" s="111" t="s">
        <v>733</v>
      </c>
      <c r="I1235" s="63" t="s">
        <v>710</v>
      </c>
      <c r="J1235" s="106" t="s">
        <v>3183</v>
      </c>
      <c r="K1235" s="63">
        <v>81101500</v>
      </c>
      <c r="L1235" s="63" t="s">
        <v>2836</v>
      </c>
      <c r="M1235" s="63" t="s">
        <v>2837</v>
      </c>
      <c r="N1235" s="63" t="s">
        <v>2838</v>
      </c>
      <c r="O1235" s="63" t="s">
        <v>2839</v>
      </c>
      <c r="P1235" s="111" t="s">
        <v>3446</v>
      </c>
      <c r="Q1235" s="198">
        <f t="shared" si="136"/>
        <v>3553500</v>
      </c>
      <c r="R1235" s="63">
        <v>1</v>
      </c>
      <c r="S1235" s="208">
        <v>8883750</v>
      </c>
      <c r="T1235" s="111" t="s">
        <v>888</v>
      </c>
      <c r="U1235" s="63" t="s">
        <v>445</v>
      </c>
      <c r="V1235" s="81">
        <v>43368</v>
      </c>
      <c r="W1235" s="206">
        <v>2.5</v>
      </c>
      <c r="X1235" s="85" t="s">
        <v>3447</v>
      </c>
      <c r="Y1235" s="81">
        <v>43374</v>
      </c>
      <c r="Z1235" s="208">
        <v>8883750</v>
      </c>
      <c r="AA1235" s="63" t="s">
        <v>3448</v>
      </c>
      <c r="AB1235" s="111"/>
      <c r="AC1235" s="111"/>
      <c r="AD1235" s="111"/>
      <c r="AE1235" s="111"/>
      <c r="AF1235" s="111"/>
      <c r="AG1235" s="111"/>
      <c r="AH1235" s="111"/>
      <c r="AI1235" s="85"/>
      <c r="AJ1235" s="111"/>
      <c r="AK1235" s="111"/>
      <c r="AL1235" s="111"/>
      <c r="AM1235" s="111"/>
      <c r="AN1235" s="111"/>
      <c r="AO1235" s="111"/>
      <c r="AP1235" s="111"/>
      <c r="AQ1235" s="111"/>
      <c r="AR1235" s="111"/>
      <c r="AS1235" s="111"/>
      <c r="AT1235" s="111"/>
      <c r="AU1235" s="111"/>
      <c r="AV1235" s="111"/>
      <c r="AW1235" s="111"/>
    </row>
    <row r="1236" spans="1:49" ht="15.75" thickTop="1" x14ac:dyDescent="0.25">
      <c r="A1236" s="59"/>
      <c r="B1236" s="59"/>
      <c r="C1236" s="59"/>
      <c r="D1236" s="59"/>
      <c r="E1236" s="59"/>
      <c r="F1236" s="59"/>
      <c r="G1236" s="59"/>
      <c r="H1236" s="59"/>
      <c r="I1236" s="59"/>
      <c r="J1236" s="59"/>
      <c r="K1236" s="59"/>
      <c r="L1236" s="59"/>
      <c r="M1236" s="59"/>
      <c r="N1236" s="59"/>
      <c r="O1236" s="59"/>
      <c r="P1236" s="59"/>
      <c r="Q1236" s="59"/>
      <c r="R1236" s="59"/>
      <c r="S1236" s="59"/>
      <c r="T1236" s="59"/>
      <c r="U1236" s="59"/>
      <c r="V1236" s="59"/>
      <c r="W1236" s="59"/>
      <c r="X1236" s="59"/>
      <c r="Y1236" s="59"/>
      <c r="Z1236" s="59"/>
      <c r="AA1236" s="59"/>
      <c r="AB1236" s="59"/>
      <c r="AC1236" s="59"/>
      <c r="AD1236" s="59"/>
      <c r="AE1236" s="59"/>
      <c r="AF1236" s="59"/>
      <c r="AG1236" s="59"/>
      <c r="AH1236" s="59"/>
      <c r="AI1236" s="59"/>
      <c r="AJ1236" s="59"/>
      <c r="AK1236" s="59"/>
      <c r="AL1236" s="59"/>
      <c r="AM1236" s="59"/>
      <c r="AN1236" s="59"/>
      <c r="AO1236" s="59"/>
      <c r="AP1236" s="59"/>
      <c r="AQ1236" s="59"/>
      <c r="AR1236" s="59"/>
      <c r="AS1236" s="59"/>
      <c r="AT1236" s="59"/>
      <c r="AU1236" s="59"/>
      <c r="AV1236" s="59"/>
      <c r="AW1236" s="59"/>
    </row>
    <row r="1237" spans="1:49" x14ac:dyDescent="0.25">
      <c r="A1237" s="75">
        <v>1</v>
      </c>
      <c r="B1237" s="75" t="s">
        <v>3449</v>
      </c>
      <c r="C1237" s="56" t="s">
        <v>3450</v>
      </c>
      <c r="D1237" s="56" t="s">
        <v>3451</v>
      </c>
      <c r="E1237" s="121">
        <v>145</v>
      </c>
      <c r="F1237" s="75" t="s">
        <v>3452</v>
      </c>
      <c r="G1237" s="75" t="s">
        <v>3453</v>
      </c>
      <c r="H1237" s="56" t="s">
        <v>3454</v>
      </c>
      <c r="I1237" s="56" t="s">
        <v>55</v>
      </c>
      <c r="J1237" s="56" t="s">
        <v>3455</v>
      </c>
      <c r="K1237" s="57">
        <v>57922050</v>
      </c>
      <c r="L1237" s="57">
        <v>35089010</v>
      </c>
      <c r="M1237" s="57">
        <f t="shared" ref="M1237:M1279" si="137">K1237-L1237</f>
        <v>22833040</v>
      </c>
      <c r="N1237" s="75">
        <v>6</v>
      </c>
      <c r="O1237" s="122">
        <v>43112</v>
      </c>
      <c r="P1237" s="56" t="s">
        <v>3456</v>
      </c>
      <c r="Q1237" s="75">
        <v>145</v>
      </c>
      <c r="R1237" s="75">
        <v>6</v>
      </c>
      <c r="S1237" s="56" t="s">
        <v>3457</v>
      </c>
      <c r="T1237" s="57">
        <v>57922050</v>
      </c>
      <c r="U1237" s="57">
        <v>35089010</v>
      </c>
      <c r="V1237" s="57">
        <v>0</v>
      </c>
      <c r="W1237" s="57">
        <v>22833040</v>
      </c>
      <c r="X1237" s="57">
        <v>22833040</v>
      </c>
      <c r="Y1237" s="57">
        <v>0</v>
      </c>
      <c r="Z1237" s="59"/>
      <c r="AA1237" s="59"/>
      <c r="AB1237" s="59"/>
      <c r="AC1237" s="59"/>
      <c r="AD1237" s="59"/>
      <c r="AE1237" s="59"/>
      <c r="AF1237" s="59"/>
      <c r="AG1237" s="59"/>
      <c r="AH1237" s="59"/>
      <c r="AI1237" s="59"/>
      <c r="AJ1237" s="59"/>
      <c r="AK1237" s="59"/>
      <c r="AL1237" s="59"/>
      <c r="AM1237" s="59"/>
      <c r="AN1237" s="59"/>
      <c r="AO1237" s="59"/>
      <c r="AP1237" s="59"/>
      <c r="AQ1237" s="59"/>
      <c r="AR1237" s="59"/>
      <c r="AS1237" s="59"/>
      <c r="AT1237" s="59"/>
      <c r="AU1237" s="59"/>
      <c r="AV1237" s="59"/>
      <c r="AW1237" s="59"/>
    </row>
    <row r="1238" spans="1:49" x14ac:dyDescent="0.25">
      <c r="A1238" s="75">
        <v>3</v>
      </c>
      <c r="B1238" s="75" t="s">
        <v>3458</v>
      </c>
      <c r="C1238" s="56" t="s">
        <v>3450</v>
      </c>
      <c r="D1238" s="56" t="s">
        <v>3451</v>
      </c>
      <c r="E1238" s="121">
        <v>144</v>
      </c>
      <c r="F1238" s="75" t="s">
        <v>3452</v>
      </c>
      <c r="G1238" s="75" t="s">
        <v>3453</v>
      </c>
      <c r="H1238" s="56" t="s">
        <v>3459</v>
      </c>
      <c r="I1238" s="56" t="s">
        <v>55</v>
      </c>
      <c r="J1238" s="56" t="s">
        <v>3455</v>
      </c>
      <c r="K1238" s="57">
        <v>76992500</v>
      </c>
      <c r="L1238" s="57">
        <v>0</v>
      </c>
      <c r="M1238" s="57">
        <f t="shared" si="137"/>
        <v>76992500</v>
      </c>
      <c r="N1238" s="75">
        <v>105</v>
      </c>
      <c r="O1238" s="122">
        <v>43116</v>
      </c>
      <c r="P1238" s="56" t="s">
        <v>3460</v>
      </c>
      <c r="Q1238" s="75">
        <v>145</v>
      </c>
      <c r="R1238" s="75">
        <v>92</v>
      </c>
      <c r="S1238" s="56" t="s">
        <v>3459</v>
      </c>
      <c r="T1238" s="57">
        <v>76992500</v>
      </c>
      <c r="U1238" s="57">
        <v>0</v>
      </c>
      <c r="V1238" s="57">
        <v>0</v>
      </c>
      <c r="W1238" s="57">
        <v>76992500</v>
      </c>
      <c r="X1238" s="57">
        <v>50212500</v>
      </c>
      <c r="Y1238" s="57">
        <v>26780000</v>
      </c>
      <c r="Z1238" s="59"/>
      <c r="AA1238" s="59"/>
      <c r="AB1238" s="59"/>
      <c r="AC1238" s="59"/>
      <c r="AD1238" s="59"/>
      <c r="AE1238" s="59"/>
      <c r="AF1238" s="59"/>
      <c r="AG1238" s="59"/>
      <c r="AH1238" s="59"/>
      <c r="AI1238" s="59"/>
      <c r="AJ1238" s="59"/>
      <c r="AK1238" s="59"/>
      <c r="AL1238" s="59"/>
      <c r="AM1238" s="59"/>
      <c r="AN1238" s="59"/>
      <c r="AO1238" s="59"/>
      <c r="AP1238" s="59"/>
      <c r="AQ1238" s="59"/>
      <c r="AR1238" s="59"/>
      <c r="AS1238" s="59"/>
      <c r="AT1238" s="59"/>
      <c r="AU1238" s="59"/>
      <c r="AV1238" s="59"/>
      <c r="AW1238" s="59"/>
    </row>
    <row r="1239" spans="1:49" x14ac:dyDescent="0.25">
      <c r="A1239" s="75">
        <v>4</v>
      </c>
      <c r="B1239" s="75" t="s">
        <v>3461</v>
      </c>
      <c r="C1239" s="56" t="s">
        <v>3450</v>
      </c>
      <c r="D1239" s="56" t="s">
        <v>3451</v>
      </c>
      <c r="E1239" s="121">
        <v>143</v>
      </c>
      <c r="F1239" s="75" t="s">
        <v>3452</v>
      </c>
      <c r="G1239" s="75" t="s">
        <v>3453</v>
      </c>
      <c r="H1239" s="56" t="s">
        <v>3462</v>
      </c>
      <c r="I1239" s="56" t="s">
        <v>55</v>
      </c>
      <c r="J1239" s="56" t="s">
        <v>3455</v>
      </c>
      <c r="K1239" s="57">
        <v>110000000</v>
      </c>
      <c r="L1239" s="57">
        <v>0</v>
      </c>
      <c r="M1239" s="57">
        <f t="shared" si="137"/>
        <v>110000000</v>
      </c>
      <c r="N1239" s="75">
        <v>383</v>
      </c>
      <c r="O1239" s="122">
        <v>43124</v>
      </c>
      <c r="P1239" s="56" t="s">
        <v>3463</v>
      </c>
      <c r="Q1239" s="75">
        <v>145</v>
      </c>
      <c r="R1239" s="75">
        <v>360</v>
      </c>
      <c r="S1239" s="56" t="s">
        <v>3462</v>
      </c>
      <c r="T1239" s="57">
        <v>110000000</v>
      </c>
      <c r="U1239" s="57">
        <v>0</v>
      </c>
      <c r="V1239" s="57">
        <v>0</v>
      </c>
      <c r="W1239" s="57">
        <v>110000000</v>
      </c>
      <c r="X1239" s="57">
        <v>71666667</v>
      </c>
      <c r="Y1239" s="57">
        <v>38333333</v>
      </c>
      <c r="Z1239" s="59"/>
      <c r="AA1239" s="59"/>
      <c r="AB1239" s="59"/>
      <c r="AC1239" s="59"/>
      <c r="AD1239" s="59"/>
      <c r="AE1239" s="59"/>
      <c r="AF1239" s="59"/>
      <c r="AG1239" s="59"/>
      <c r="AH1239" s="59"/>
      <c r="AI1239" s="59"/>
      <c r="AJ1239" s="59"/>
      <c r="AK1239" s="59"/>
      <c r="AL1239" s="59"/>
      <c r="AM1239" s="59"/>
      <c r="AN1239" s="59"/>
      <c r="AO1239" s="59"/>
      <c r="AP1239" s="59"/>
      <c r="AQ1239" s="59"/>
      <c r="AR1239" s="59"/>
      <c r="AS1239" s="59"/>
      <c r="AT1239" s="59"/>
      <c r="AU1239" s="59"/>
      <c r="AV1239" s="59"/>
      <c r="AW1239" s="59"/>
    </row>
    <row r="1240" spans="1:49" x14ac:dyDescent="0.25">
      <c r="A1240" s="75">
        <v>5</v>
      </c>
      <c r="B1240" s="75" t="s">
        <v>3464</v>
      </c>
      <c r="C1240" s="56" t="s">
        <v>3450</v>
      </c>
      <c r="D1240" s="56" t="s">
        <v>3451</v>
      </c>
      <c r="E1240" s="121">
        <v>142</v>
      </c>
      <c r="F1240" s="75" t="s">
        <v>3452</v>
      </c>
      <c r="G1240" s="75" t="s">
        <v>3453</v>
      </c>
      <c r="H1240" s="56" t="s">
        <v>3465</v>
      </c>
      <c r="I1240" s="56" t="s">
        <v>55</v>
      </c>
      <c r="J1240" s="56" t="s">
        <v>3455</v>
      </c>
      <c r="K1240" s="57">
        <v>106605000</v>
      </c>
      <c r="L1240" s="57">
        <v>0</v>
      </c>
      <c r="M1240" s="57">
        <f t="shared" si="137"/>
        <v>106605000</v>
      </c>
      <c r="N1240" s="75">
        <v>121</v>
      </c>
      <c r="O1240" s="122">
        <v>43117</v>
      </c>
      <c r="P1240" s="56" t="s">
        <v>3466</v>
      </c>
      <c r="Q1240" s="75">
        <v>145</v>
      </c>
      <c r="R1240" s="75">
        <v>101</v>
      </c>
      <c r="S1240" s="56" t="s">
        <v>3465</v>
      </c>
      <c r="T1240" s="57">
        <v>106605000</v>
      </c>
      <c r="U1240" s="57">
        <v>0</v>
      </c>
      <c r="V1240" s="57">
        <v>0</v>
      </c>
      <c r="W1240" s="57">
        <v>106605000</v>
      </c>
      <c r="X1240" s="57">
        <v>69525000</v>
      </c>
      <c r="Y1240" s="57">
        <v>37080000</v>
      </c>
      <c r="Z1240" s="59"/>
      <c r="AA1240" s="59"/>
      <c r="AB1240" s="59"/>
      <c r="AC1240" s="59"/>
      <c r="AD1240" s="59"/>
      <c r="AE1240" s="59"/>
      <c r="AF1240" s="59"/>
      <c r="AG1240" s="59"/>
      <c r="AH1240" s="59"/>
      <c r="AI1240" s="59"/>
      <c r="AJ1240" s="59"/>
      <c r="AK1240" s="59"/>
      <c r="AL1240" s="59"/>
      <c r="AM1240" s="59"/>
      <c r="AN1240" s="59"/>
      <c r="AO1240" s="59"/>
      <c r="AP1240" s="59"/>
      <c r="AQ1240" s="59"/>
      <c r="AR1240" s="59"/>
      <c r="AS1240" s="59"/>
      <c r="AT1240" s="59"/>
      <c r="AU1240" s="59"/>
      <c r="AV1240" s="59"/>
      <c r="AW1240" s="59"/>
    </row>
    <row r="1241" spans="1:49" x14ac:dyDescent="0.25">
      <c r="A1241" s="75">
        <v>6</v>
      </c>
      <c r="B1241" s="75" t="s">
        <v>3467</v>
      </c>
      <c r="C1241" s="56" t="s">
        <v>3450</v>
      </c>
      <c r="D1241" s="56" t="s">
        <v>3451</v>
      </c>
      <c r="E1241" s="121">
        <v>141</v>
      </c>
      <c r="F1241" s="75" t="s">
        <v>3452</v>
      </c>
      <c r="G1241" s="75" t="s">
        <v>3453</v>
      </c>
      <c r="H1241" s="56" t="s">
        <v>3468</v>
      </c>
      <c r="I1241" s="56" t="s">
        <v>55</v>
      </c>
      <c r="J1241" s="56" t="s">
        <v>3455</v>
      </c>
      <c r="K1241" s="57">
        <v>130900000</v>
      </c>
      <c r="L1241" s="57">
        <v>0</v>
      </c>
      <c r="M1241" s="57">
        <f t="shared" si="137"/>
        <v>130900000</v>
      </c>
      <c r="N1241" s="75">
        <v>214</v>
      </c>
      <c r="O1241" s="122">
        <v>43118</v>
      </c>
      <c r="P1241" s="56" t="s">
        <v>3469</v>
      </c>
      <c r="Q1241" s="75">
        <v>145</v>
      </c>
      <c r="R1241" s="75">
        <v>185</v>
      </c>
      <c r="S1241" s="56" t="s">
        <v>3470</v>
      </c>
      <c r="T1241" s="57">
        <v>130900000</v>
      </c>
      <c r="U1241" s="57">
        <v>0</v>
      </c>
      <c r="V1241" s="57">
        <v>0</v>
      </c>
      <c r="W1241" s="57">
        <v>130900000</v>
      </c>
      <c r="X1241" s="57">
        <v>86870000</v>
      </c>
      <c r="Y1241" s="57">
        <v>44030000</v>
      </c>
      <c r="Z1241" s="59"/>
      <c r="AA1241" s="59"/>
      <c r="AB1241" s="59"/>
      <c r="AC1241" s="59"/>
      <c r="AD1241" s="59"/>
      <c r="AE1241" s="59"/>
      <c r="AF1241" s="59"/>
      <c r="AG1241" s="59"/>
      <c r="AH1241" s="59"/>
      <c r="AI1241" s="59"/>
      <c r="AJ1241" s="59"/>
      <c r="AK1241" s="59"/>
      <c r="AL1241" s="59"/>
      <c r="AM1241" s="59"/>
      <c r="AN1241" s="59"/>
      <c r="AO1241" s="59"/>
      <c r="AP1241" s="59"/>
      <c r="AQ1241" s="59"/>
      <c r="AR1241" s="59"/>
      <c r="AS1241" s="59"/>
      <c r="AT1241" s="59"/>
      <c r="AU1241" s="59"/>
      <c r="AV1241" s="59"/>
      <c r="AW1241" s="59"/>
    </row>
    <row r="1242" spans="1:49" x14ac:dyDescent="0.25">
      <c r="A1242" s="75">
        <v>7</v>
      </c>
      <c r="B1242" s="75" t="s">
        <v>3471</v>
      </c>
      <c r="C1242" s="56" t="s">
        <v>3450</v>
      </c>
      <c r="D1242" s="56" t="s">
        <v>3451</v>
      </c>
      <c r="E1242" s="121">
        <v>140</v>
      </c>
      <c r="F1242" s="75" t="s">
        <v>3452</v>
      </c>
      <c r="G1242" s="75" t="s">
        <v>3453</v>
      </c>
      <c r="H1242" s="56" t="s">
        <v>3472</v>
      </c>
      <c r="I1242" s="56" t="s">
        <v>55</v>
      </c>
      <c r="J1242" s="56" t="s">
        <v>3455</v>
      </c>
      <c r="K1242" s="57">
        <v>106605000</v>
      </c>
      <c r="L1242" s="57">
        <v>57165000</v>
      </c>
      <c r="M1242" s="57">
        <f t="shared" si="137"/>
        <v>49440000</v>
      </c>
      <c r="N1242" s="75">
        <v>482</v>
      </c>
      <c r="O1242" s="122">
        <v>43126</v>
      </c>
      <c r="P1242" s="56" t="s">
        <v>3473</v>
      </c>
      <c r="Q1242" s="75">
        <v>145</v>
      </c>
      <c r="R1242" s="75">
        <v>404</v>
      </c>
      <c r="S1242" s="56" t="s">
        <v>3474</v>
      </c>
      <c r="T1242" s="57">
        <v>49440000</v>
      </c>
      <c r="U1242" s="57">
        <v>0</v>
      </c>
      <c r="V1242" s="57">
        <v>0</v>
      </c>
      <c r="W1242" s="57">
        <v>49440000</v>
      </c>
      <c r="X1242" s="57">
        <v>49440000</v>
      </c>
      <c r="Y1242" s="57">
        <v>0</v>
      </c>
      <c r="Z1242" s="59"/>
      <c r="AA1242" s="59"/>
      <c r="AB1242" s="59"/>
      <c r="AC1242" s="59"/>
      <c r="AD1242" s="59"/>
      <c r="AE1242" s="59"/>
      <c r="AF1242" s="59"/>
      <c r="AG1242" s="59"/>
      <c r="AH1242" s="59"/>
      <c r="AI1242" s="59"/>
      <c r="AJ1242" s="59"/>
      <c r="AK1242" s="59"/>
      <c r="AL1242" s="59"/>
      <c r="AM1242" s="59"/>
      <c r="AN1242" s="59"/>
      <c r="AO1242" s="59"/>
      <c r="AP1242" s="59"/>
      <c r="AQ1242" s="59"/>
      <c r="AR1242" s="59"/>
      <c r="AS1242" s="59"/>
      <c r="AT1242" s="59"/>
      <c r="AU1242" s="59"/>
      <c r="AV1242" s="59"/>
      <c r="AW1242" s="59"/>
    </row>
    <row r="1243" spans="1:49" x14ac:dyDescent="0.25">
      <c r="A1243" s="75">
        <v>8</v>
      </c>
      <c r="B1243" s="75" t="s">
        <v>3475</v>
      </c>
      <c r="C1243" s="56" t="s">
        <v>3450</v>
      </c>
      <c r="D1243" s="56" t="s">
        <v>3451</v>
      </c>
      <c r="E1243" s="121">
        <v>133</v>
      </c>
      <c r="F1243" s="75" t="s">
        <v>3452</v>
      </c>
      <c r="G1243" s="75" t="s">
        <v>3453</v>
      </c>
      <c r="H1243" s="56" t="s">
        <v>3476</v>
      </c>
      <c r="I1243" s="56" t="s">
        <v>55</v>
      </c>
      <c r="J1243" s="56" t="s">
        <v>3455</v>
      </c>
      <c r="K1243" s="57">
        <v>47380000</v>
      </c>
      <c r="L1243" s="57">
        <v>0</v>
      </c>
      <c r="M1243" s="57">
        <f t="shared" si="137"/>
        <v>47380000</v>
      </c>
      <c r="N1243" s="75">
        <v>47</v>
      </c>
      <c r="O1243" s="122">
        <v>43116</v>
      </c>
      <c r="P1243" s="56" t="s">
        <v>3477</v>
      </c>
      <c r="Q1243" s="75">
        <v>145</v>
      </c>
      <c r="R1243" s="75">
        <v>37</v>
      </c>
      <c r="S1243" s="56" t="s">
        <v>3476</v>
      </c>
      <c r="T1243" s="57">
        <v>47380000</v>
      </c>
      <c r="U1243" s="57">
        <v>0</v>
      </c>
      <c r="V1243" s="57">
        <v>0</v>
      </c>
      <c r="W1243" s="57">
        <v>47380000</v>
      </c>
      <c r="X1243" s="57">
        <v>30762667</v>
      </c>
      <c r="Y1243" s="57">
        <v>16617333</v>
      </c>
      <c r="Z1243" s="59"/>
      <c r="AA1243" s="59"/>
      <c r="AB1243" s="59"/>
      <c r="AC1243" s="59"/>
      <c r="AD1243" s="59"/>
      <c r="AE1243" s="59"/>
      <c r="AF1243" s="59"/>
      <c r="AG1243" s="59"/>
      <c r="AH1243" s="59"/>
      <c r="AI1243" s="59"/>
      <c r="AJ1243" s="59"/>
      <c r="AK1243" s="59"/>
      <c r="AL1243" s="59"/>
      <c r="AM1243" s="59"/>
      <c r="AN1243" s="59"/>
      <c r="AO1243" s="59"/>
      <c r="AP1243" s="59"/>
      <c r="AQ1243" s="59"/>
      <c r="AR1243" s="59"/>
      <c r="AS1243" s="59"/>
      <c r="AT1243" s="59"/>
      <c r="AU1243" s="59"/>
      <c r="AV1243" s="59"/>
      <c r="AW1243" s="59"/>
    </row>
    <row r="1244" spans="1:49" x14ac:dyDescent="0.25">
      <c r="A1244" s="75">
        <v>10</v>
      </c>
      <c r="B1244" s="75" t="s">
        <v>3478</v>
      </c>
      <c r="C1244" s="56" t="s">
        <v>3450</v>
      </c>
      <c r="D1244" s="56" t="s">
        <v>3451</v>
      </c>
      <c r="E1244" s="121">
        <v>132</v>
      </c>
      <c r="F1244" s="75" t="s">
        <v>3452</v>
      </c>
      <c r="G1244" s="75" t="s">
        <v>3453</v>
      </c>
      <c r="H1244" s="56" t="s">
        <v>3479</v>
      </c>
      <c r="I1244" s="56" t="s">
        <v>55</v>
      </c>
      <c r="J1244" s="56" t="s">
        <v>3455</v>
      </c>
      <c r="K1244" s="57">
        <v>39088500</v>
      </c>
      <c r="L1244" s="57">
        <v>0</v>
      </c>
      <c r="M1244" s="57">
        <f t="shared" si="137"/>
        <v>39088500</v>
      </c>
      <c r="N1244" s="75">
        <v>110</v>
      </c>
      <c r="O1244" s="122">
        <v>43117</v>
      </c>
      <c r="P1244" s="56" t="s">
        <v>3480</v>
      </c>
      <c r="Q1244" s="75">
        <v>145</v>
      </c>
      <c r="R1244" s="75">
        <v>103</v>
      </c>
      <c r="S1244" s="56" t="s">
        <v>3479</v>
      </c>
      <c r="T1244" s="57">
        <v>39088500</v>
      </c>
      <c r="U1244" s="57">
        <v>0</v>
      </c>
      <c r="V1244" s="57">
        <v>0</v>
      </c>
      <c r="W1244" s="57">
        <v>39088500</v>
      </c>
      <c r="X1244" s="57">
        <v>25379200</v>
      </c>
      <c r="Y1244" s="57">
        <v>13709300</v>
      </c>
      <c r="Z1244" s="59"/>
      <c r="AA1244" s="59"/>
      <c r="AB1244" s="59"/>
      <c r="AC1244" s="59"/>
      <c r="AD1244" s="59"/>
      <c r="AE1244" s="59"/>
      <c r="AF1244" s="59"/>
      <c r="AG1244" s="59"/>
      <c r="AH1244" s="59"/>
      <c r="AI1244" s="59"/>
      <c r="AJ1244" s="59"/>
      <c r="AK1244" s="59"/>
      <c r="AL1244" s="59"/>
      <c r="AM1244" s="59"/>
      <c r="AN1244" s="59"/>
      <c r="AO1244" s="59"/>
      <c r="AP1244" s="59"/>
      <c r="AQ1244" s="59"/>
      <c r="AR1244" s="59"/>
      <c r="AS1244" s="59"/>
      <c r="AT1244" s="59"/>
      <c r="AU1244" s="59"/>
      <c r="AV1244" s="59"/>
      <c r="AW1244" s="59"/>
    </row>
    <row r="1245" spans="1:49" x14ac:dyDescent="0.25">
      <c r="A1245" s="75">
        <v>11</v>
      </c>
      <c r="B1245" s="75" t="s">
        <v>3481</v>
      </c>
      <c r="C1245" s="56" t="s">
        <v>3450</v>
      </c>
      <c r="D1245" s="56" t="s">
        <v>3451</v>
      </c>
      <c r="E1245" s="121">
        <v>131</v>
      </c>
      <c r="F1245" s="75" t="s">
        <v>3452</v>
      </c>
      <c r="G1245" s="75" t="s">
        <v>3453</v>
      </c>
      <c r="H1245" s="56" t="s">
        <v>3482</v>
      </c>
      <c r="I1245" s="56" t="s">
        <v>55</v>
      </c>
      <c r="J1245" s="56" t="s">
        <v>3455</v>
      </c>
      <c r="K1245" s="57">
        <v>65147500</v>
      </c>
      <c r="L1245" s="57">
        <v>0</v>
      </c>
      <c r="M1245" s="57">
        <f t="shared" si="137"/>
        <v>65147500</v>
      </c>
      <c r="N1245" s="75">
        <v>175</v>
      </c>
      <c r="O1245" s="122">
        <v>43118</v>
      </c>
      <c r="P1245" s="56" t="s">
        <v>3483</v>
      </c>
      <c r="Q1245" s="75">
        <v>145</v>
      </c>
      <c r="R1245" s="75">
        <v>107</v>
      </c>
      <c r="S1245" s="56" t="s">
        <v>3482</v>
      </c>
      <c r="T1245" s="57">
        <v>65147500</v>
      </c>
      <c r="U1245" s="57">
        <v>0</v>
      </c>
      <c r="V1245" s="57">
        <v>0</v>
      </c>
      <c r="W1245" s="57">
        <v>65147500</v>
      </c>
      <c r="X1245" s="57">
        <v>42109833</v>
      </c>
      <c r="Y1245" s="57">
        <v>23037667</v>
      </c>
      <c r="Z1245" s="59"/>
      <c r="AA1245" s="59"/>
      <c r="AB1245" s="59"/>
      <c r="AC1245" s="59"/>
      <c r="AD1245" s="59"/>
      <c r="AE1245" s="59"/>
      <c r="AF1245" s="59"/>
      <c r="AG1245" s="59"/>
      <c r="AH1245" s="59"/>
      <c r="AI1245" s="59"/>
      <c r="AJ1245" s="59"/>
      <c r="AK1245" s="59"/>
      <c r="AL1245" s="59"/>
      <c r="AM1245" s="59"/>
      <c r="AN1245" s="59"/>
      <c r="AO1245" s="59"/>
      <c r="AP1245" s="59"/>
      <c r="AQ1245" s="59"/>
      <c r="AR1245" s="59"/>
      <c r="AS1245" s="59"/>
      <c r="AT1245" s="59"/>
      <c r="AU1245" s="59"/>
      <c r="AV1245" s="59"/>
      <c r="AW1245" s="59"/>
    </row>
    <row r="1246" spans="1:49" x14ac:dyDescent="0.25">
      <c r="A1246" s="75">
        <v>12</v>
      </c>
      <c r="B1246" s="75" t="s">
        <v>3484</v>
      </c>
      <c r="C1246" s="56" t="s">
        <v>3450</v>
      </c>
      <c r="D1246" s="56" t="s">
        <v>3451</v>
      </c>
      <c r="E1246" s="121">
        <v>146</v>
      </c>
      <c r="F1246" s="75" t="s">
        <v>3452</v>
      </c>
      <c r="G1246" s="75" t="s">
        <v>3453</v>
      </c>
      <c r="H1246" s="56" t="s">
        <v>3485</v>
      </c>
      <c r="I1246" s="56" t="s">
        <v>55</v>
      </c>
      <c r="J1246" s="56" t="s">
        <v>3455</v>
      </c>
      <c r="K1246" s="57">
        <v>60409500</v>
      </c>
      <c r="L1246" s="57">
        <v>0</v>
      </c>
      <c r="M1246" s="57">
        <f t="shared" si="137"/>
        <v>60409500</v>
      </c>
      <c r="N1246" s="75">
        <v>109</v>
      </c>
      <c r="O1246" s="122">
        <v>43117</v>
      </c>
      <c r="P1246" s="56" t="s">
        <v>3486</v>
      </c>
      <c r="Q1246" s="75">
        <v>145</v>
      </c>
      <c r="R1246" s="75">
        <v>102</v>
      </c>
      <c r="S1246" s="56" t="s">
        <v>3485</v>
      </c>
      <c r="T1246" s="57">
        <v>60409500</v>
      </c>
      <c r="U1246" s="57">
        <v>0</v>
      </c>
      <c r="V1246" s="57">
        <v>0</v>
      </c>
      <c r="W1246" s="57">
        <v>60409500</v>
      </c>
      <c r="X1246" s="57">
        <v>39047300</v>
      </c>
      <c r="Y1246" s="57">
        <v>21362200</v>
      </c>
      <c r="Z1246" s="59"/>
      <c r="AA1246" s="59"/>
      <c r="AB1246" s="59"/>
      <c r="AC1246" s="59"/>
      <c r="AD1246" s="59"/>
      <c r="AE1246" s="59"/>
      <c r="AF1246" s="59"/>
      <c r="AG1246" s="59"/>
      <c r="AH1246" s="59"/>
      <c r="AI1246" s="59"/>
      <c r="AJ1246" s="59"/>
      <c r="AK1246" s="59"/>
      <c r="AL1246" s="59"/>
      <c r="AM1246" s="59"/>
      <c r="AN1246" s="59"/>
      <c r="AO1246" s="59"/>
      <c r="AP1246" s="59"/>
      <c r="AQ1246" s="59"/>
      <c r="AR1246" s="59"/>
      <c r="AS1246" s="59"/>
      <c r="AT1246" s="59"/>
      <c r="AU1246" s="59"/>
      <c r="AV1246" s="59"/>
      <c r="AW1246" s="59"/>
    </row>
    <row r="1247" spans="1:49" x14ac:dyDescent="0.25">
      <c r="A1247" s="75">
        <v>13</v>
      </c>
      <c r="B1247" s="75" t="s">
        <v>3487</v>
      </c>
      <c r="C1247" s="56" t="s">
        <v>3450</v>
      </c>
      <c r="D1247" s="56" t="s">
        <v>3451</v>
      </c>
      <c r="E1247" s="121">
        <v>138</v>
      </c>
      <c r="F1247" s="75" t="s">
        <v>3452</v>
      </c>
      <c r="G1247" s="75" t="s">
        <v>3453</v>
      </c>
      <c r="H1247" s="56" t="s">
        <v>3488</v>
      </c>
      <c r="I1247" s="56" t="s">
        <v>55</v>
      </c>
      <c r="J1247" s="56" t="s">
        <v>3455</v>
      </c>
      <c r="K1247" s="57">
        <v>132000000</v>
      </c>
      <c r="L1247" s="57">
        <v>1100000</v>
      </c>
      <c r="M1247" s="57">
        <f t="shared" si="137"/>
        <v>130900000</v>
      </c>
      <c r="N1247" s="75">
        <v>445</v>
      </c>
      <c r="O1247" s="122">
        <v>43125</v>
      </c>
      <c r="P1247" s="56" t="s">
        <v>3489</v>
      </c>
      <c r="Q1247" s="75">
        <v>145</v>
      </c>
      <c r="R1247" s="75">
        <v>375</v>
      </c>
      <c r="S1247" s="56" t="s">
        <v>3490</v>
      </c>
      <c r="T1247" s="57">
        <v>130900000</v>
      </c>
      <c r="U1247" s="57">
        <v>0</v>
      </c>
      <c r="V1247" s="57">
        <v>0</v>
      </c>
      <c r="W1247" s="57">
        <v>130900000</v>
      </c>
      <c r="X1247" s="57">
        <v>85283333</v>
      </c>
      <c r="Y1247" s="57">
        <v>45616667</v>
      </c>
      <c r="Z1247" s="59"/>
      <c r="AA1247" s="59"/>
      <c r="AB1247" s="59"/>
      <c r="AC1247" s="59"/>
      <c r="AD1247" s="59"/>
      <c r="AE1247" s="59"/>
      <c r="AF1247" s="59"/>
      <c r="AG1247" s="59"/>
      <c r="AH1247" s="59"/>
      <c r="AI1247" s="59"/>
      <c r="AJ1247" s="59"/>
      <c r="AK1247" s="59"/>
      <c r="AL1247" s="59"/>
      <c r="AM1247" s="59"/>
      <c r="AN1247" s="59"/>
      <c r="AO1247" s="59"/>
      <c r="AP1247" s="59"/>
      <c r="AQ1247" s="59"/>
      <c r="AR1247" s="59"/>
      <c r="AS1247" s="59"/>
      <c r="AT1247" s="59"/>
      <c r="AU1247" s="59"/>
      <c r="AV1247" s="59"/>
      <c r="AW1247" s="59"/>
    </row>
    <row r="1248" spans="1:49" x14ac:dyDescent="0.25">
      <c r="A1248" s="75">
        <v>14</v>
      </c>
      <c r="B1248" s="75" t="s">
        <v>3491</v>
      </c>
      <c r="C1248" s="56" t="s">
        <v>3450</v>
      </c>
      <c r="D1248" s="56" t="s">
        <v>3451</v>
      </c>
      <c r="E1248" s="121">
        <v>137</v>
      </c>
      <c r="F1248" s="75" t="s">
        <v>3452</v>
      </c>
      <c r="G1248" s="75" t="s">
        <v>3453</v>
      </c>
      <c r="H1248" s="56" t="s">
        <v>3492</v>
      </c>
      <c r="I1248" s="56" t="s">
        <v>55</v>
      </c>
      <c r="J1248" s="56" t="s">
        <v>3455</v>
      </c>
      <c r="K1248" s="57">
        <v>66000000</v>
      </c>
      <c r="L1248" s="57">
        <v>0</v>
      </c>
      <c r="M1248" s="57">
        <f t="shared" si="137"/>
        <v>66000000</v>
      </c>
      <c r="N1248" s="75">
        <v>439</v>
      </c>
      <c r="O1248" s="122">
        <v>43125</v>
      </c>
      <c r="P1248" s="56" t="s">
        <v>816</v>
      </c>
      <c r="Q1248" s="75">
        <v>145</v>
      </c>
      <c r="R1248" s="75">
        <v>379</v>
      </c>
      <c r="S1248" s="56" t="s">
        <v>3492</v>
      </c>
      <c r="T1248" s="57">
        <v>66000000</v>
      </c>
      <c r="U1248" s="57">
        <v>0</v>
      </c>
      <c r="V1248" s="57">
        <v>0</v>
      </c>
      <c r="W1248" s="57">
        <v>66000000</v>
      </c>
      <c r="X1248" s="57">
        <v>43000000</v>
      </c>
      <c r="Y1248" s="57">
        <v>23000000</v>
      </c>
      <c r="Z1248" s="59"/>
      <c r="AA1248" s="59"/>
      <c r="AB1248" s="59"/>
      <c r="AC1248" s="59"/>
      <c r="AD1248" s="59"/>
      <c r="AE1248" s="59"/>
      <c r="AF1248" s="59"/>
      <c r="AG1248" s="59"/>
      <c r="AH1248" s="59"/>
      <c r="AI1248" s="59"/>
      <c r="AJ1248" s="59"/>
      <c r="AK1248" s="59"/>
      <c r="AL1248" s="59"/>
      <c r="AM1248" s="59"/>
      <c r="AN1248" s="59"/>
      <c r="AO1248" s="59"/>
      <c r="AP1248" s="59"/>
      <c r="AQ1248" s="59"/>
      <c r="AR1248" s="59"/>
      <c r="AS1248" s="59"/>
      <c r="AT1248" s="59"/>
      <c r="AU1248" s="59"/>
      <c r="AV1248" s="59"/>
      <c r="AW1248" s="59"/>
    </row>
    <row r="1249" spans="1:49" x14ac:dyDescent="0.25">
      <c r="A1249" s="75">
        <v>15</v>
      </c>
      <c r="B1249" s="75" t="s">
        <v>3493</v>
      </c>
      <c r="C1249" s="56" t="s">
        <v>3450</v>
      </c>
      <c r="D1249" s="56" t="s">
        <v>3451</v>
      </c>
      <c r="E1249" s="121">
        <v>136</v>
      </c>
      <c r="F1249" s="75" t="s">
        <v>3452</v>
      </c>
      <c r="G1249" s="75" t="s">
        <v>3453</v>
      </c>
      <c r="H1249" s="56" t="s">
        <v>3494</v>
      </c>
      <c r="I1249" s="56" t="s">
        <v>55</v>
      </c>
      <c r="J1249" s="56" t="s">
        <v>3455</v>
      </c>
      <c r="K1249" s="57">
        <v>71070000</v>
      </c>
      <c r="L1249" s="57">
        <v>0</v>
      </c>
      <c r="M1249" s="57">
        <f t="shared" si="137"/>
        <v>71070000</v>
      </c>
      <c r="N1249" s="75">
        <v>48</v>
      </c>
      <c r="O1249" s="122">
        <v>43116</v>
      </c>
      <c r="P1249" s="56" t="s">
        <v>3495</v>
      </c>
      <c r="Q1249" s="75">
        <v>145</v>
      </c>
      <c r="R1249" s="75">
        <v>52</v>
      </c>
      <c r="S1249" s="56" t="s">
        <v>3494</v>
      </c>
      <c r="T1249" s="57">
        <v>71070000</v>
      </c>
      <c r="U1249" s="57">
        <v>0</v>
      </c>
      <c r="V1249" s="57">
        <v>0</v>
      </c>
      <c r="W1249" s="57">
        <v>71070000</v>
      </c>
      <c r="X1249" s="57">
        <v>46144000</v>
      </c>
      <c r="Y1249" s="57">
        <v>24926000</v>
      </c>
      <c r="Z1249" s="59"/>
      <c r="AA1249" s="59"/>
      <c r="AB1249" s="59"/>
      <c r="AC1249" s="59"/>
      <c r="AD1249" s="59"/>
      <c r="AE1249" s="59"/>
      <c r="AF1249" s="59"/>
      <c r="AG1249" s="59"/>
      <c r="AH1249" s="59"/>
      <c r="AI1249" s="59"/>
      <c r="AJ1249" s="59"/>
      <c r="AK1249" s="59"/>
      <c r="AL1249" s="59"/>
      <c r="AM1249" s="59"/>
      <c r="AN1249" s="59"/>
      <c r="AO1249" s="59"/>
      <c r="AP1249" s="59"/>
      <c r="AQ1249" s="59"/>
      <c r="AR1249" s="59"/>
      <c r="AS1249" s="59"/>
      <c r="AT1249" s="59"/>
      <c r="AU1249" s="59"/>
      <c r="AV1249" s="59"/>
      <c r="AW1249" s="59"/>
    </row>
    <row r="1250" spans="1:49" x14ac:dyDescent="0.25">
      <c r="A1250" s="75">
        <v>17</v>
      </c>
      <c r="B1250" s="75" t="s">
        <v>3496</v>
      </c>
      <c r="C1250" s="56" t="s">
        <v>3450</v>
      </c>
      <c r="D1250" s="56" t="s">
        <v>3451</v>
      </c>
      <c r="E1250" s="121">
        <v>125</v>
      </c>
      <c r="F1250" s="75" t="s">
        <v>3497</v>
      </c>
      <c r="G1250" s="75" t="s">
        <v>3453</v>
      </c>
      <c r="H1250" s="56" t="s">
        <v>3498</v>
      </c>
      <c r="I1250" s="56" t="s">
        <v>55</v>
      </c>
      <c r="J1250" s="56" t="s">
        <v>3455</v>
      </c>
      <c r="K1250" s="57">
        <v>47380000</v>
      </c>
      <c r="L1250" s="57">
        <v>0</v>
      </c>
      <c r="M1250" s="57">
        <f t="shared" si="137"/>
        <v>47380000</v>
      </c>
      <c r="N1250" s="75">
        <v>37</v>
      </c>
      <c r="O1250" s="122">
        <v>43116</v>
      </c>
      <c r="P1250" s="56" t="s">
        <v>3499</v>
      </c>
      <c r="Q1250" s="75">
        <v>145</v>
      </c>
      <c r="R1250" s="75">
        <v>47</v>
      </c>
      <c r="S1250" s="56" t="s">
        <v>3498</v>
      </c>
      <c r="T1250" s="57">
        <v>47380000</v>
      </c>
      <c r="U1250" s="57">
        <v>0</v>
      </c>
      <c r="V1250" s="57">
        <v>0</v>
      </c>
      <c r="W1250" s="57">
        <v>47380000</v>
      </c>
      <c r="X1250" s="57">
        <v>30762667</v>
      </c>
      <c r="Y1250" s="57">
        <v>16617333</v>
      </c>
      <c r="Z1250" s="59"/>
      <c r="AA1250" s="59"/>
      <c r="AB1250" s="59"/>
      <c r="AC1250" s="59"/>
      <c r="AD1250" s="59"/>
      <c r="AE1250" s="59"/>
      <c r="AF1250" s="59"/>
      <c r="AG1250" s="59"/>
      <c r="AH1250" s="59"/>
      <c r="AI1250" s="59"/>
      <c r="AJ1250" s="59"/>
      <c r="AK1250" s="59"/>
      <c r="AL1250" s="59"/>
      <c r="AM1250" s="59"/>
      <c r="AN1250" s="59"/>
      <c r="AO1250" s="59"/>
      <c r="AP1250" s="59"/>
      <c r="AQ1250" s="59"/>
      <c r="AR1250" s="59"/>
      <c r="AS1250" s="59"/>
      <c r="AT1250" s="59"/>
      <c r="AU1250" s="59"/>
      <c r="AV1250" s="59"/>
      <c r="AW1250" s="59"/>
    </row>
    <row r="1251" spans="1:49" x14ac:dyDescent="0.25">
      <c r="A1251" s="75">
        <v>18</v>
      </c>
      <c r="B1251" s="75" t="s">
        <v>3500</v>
      </c>
      <c r="C1251" s="56" t="s">
        <v>3450</v>
      </c>
      <c r="D1251" s="56" t="s">
        <v>3451</v>
      </c>
      <c r="E1251" s="121">
        <v>124</v>
      </c>
      <c r="F1251" s="75" t="s">
        <v>3497</v>
      </c>
      <c r="G1251" s="75" t="s">
        <v>3453</v>
      </c>
      <c r="H1251" s="56" t="s">
        <v>3501</v>
      </c>
      <c r="I1251" s="56" t="s">
        <v>55</v>
      </c>
      <c r="J1251" s="56" t="s">
        <v>3455</v>
      </c>
      <c r="K1251" s="57">
        <v>39088500</v>
      </c>
      <c r="L1251" s="57">
        <v>0</v>
      </c>
      <c r="M1251" s="57">
        <f t="shared" si="137"/>
        <v>39088500</v>
      </c>
      <c r="N1251" s="75">
        <v>302</v>
      </c>
      <c r="O1251" s="122">
        <v>43122</v>
      </c>
      <c r="P1251" s="56" t="s">
        <v>3502</v>
      </c>
      <c r="Q1251" s="75">
        <v>145</v>
      </c>
      <c r="R1251" s="75">
        <v>268</v>
      </c>
      <c r="S1251" s="56" t="s">
        <v>3501</v>
      </c>
      <c r="T1251" s="57">
        <v>39088500</v>
      </c>
      <c r="U1251" s="57">
        <v>0</v>
      </c>
      <c r="V1251" s="57">
        <v>0</v>
      </c>
      <c r="W1251" s="57">
        <v>39088500</v>
      </c>
      <c r="X1251" s="57">
        <v>24699400</v>
      </c>
      <c r="Y1251" s="57">
        <v>14389100</v>
      </c>
      <c r="Z1251" s="59"/>
      <c r="AA1251" s="59"/>
      <c r="AB1251" s="59"/>
      <c r="AC1251" s="59"/>
      <c r="AD1251" s="59"/>
      <c r="AE1251" s="59"/>
      <c r="AF1251" s="59"/>
      <c r="AG1251" s="59"/>
      <c r="AH1251" s="59"/>
      <c r="AI1251" s="59"/>
      <c r="AJ1251" s="59"/>
      <c r="AK1251" s="59"/>
      <c r="AL1251" s="59"/>
      <c r="AM1251" s="59"/>
      <c r="AN1251" s="59"/>
      <c r="AO1251" s="59"/>
      <c r="AP1251" s="59"/>
      <c r="AQ1251" s="59"/>
      <c r="AR1251" s="59"/>
      <c r="AS1251" s="59"/>
      <c r="AT1251" s="59"/>
      <c r="AU1251" s="59"/>
      <c r="AV1251" s="59"/>
      <c r="AW1251" s="59"/>
    </row>
    <row r="1252" spans="1:49" x14ac:dyDescent="0.25">
      <c r="A1252" s="75">
        <v>20</v>
      </c>
      <c r="B1252" s="75" t="s">
        <v>3503</v>
      </c>
      <c r="C1252" s="56" t="s">
        <v>3450</v>
      </c>
      <c r="D1252" s="56" t="s">
        <v>3451</v>
      </c>
      <c r="E1252" s="121">
        <v>123</v>
      </c>
      <c r="F1252" s="75" t="s">
        <v>3497</v>
      </c>
      <c r="G1252" s="75" t="s">
        <v>3453</v>
      </c>
      <c r="H1252" s="56" t="s">
        <v>3504</v>
      </c>
      <c r="I1252" s="56" t="s">
        <v>55</v>
      </c>
      <c r="J1252" s="56" t="s">
        <v>3455</v>
      </c>
      <c r="K1252" s="57">
        <v>65147500</v>
      </c>
      <c r="L1252" s="57">
        <v>0</v>
      </c>
      <c r="M1252" s="57">
        <f t="shared" si="137"/>
        <v>65147500</v>
      </c>
      <c r="N1252" s="75">
        <v>76</v>
      </c>
      <c r="O1252" s="122">
        <v>43116</v>
      </c>
      <c r="P1252" s="56" t="s">
        <v>3505</v>
      </c>
      <c r="Q1252" s="75">
        <v>145</v>
      </c>
      <c r="R1252" s="75">
        <v>64</v>
      </c>
      <c r="S1252" s="56" t="s">
        <v>3504</v>
      </c>
      <c r="T1252" s="57">
        <v>65147500</v>
      </c>
      <c r="U1252" s="57">
        <v>0</v>
      </c>
      <c r="V1252" s="57">
        <v>0</v>
      </c>
      <c r="W1252" s="57">
        <v>65147500</v>
      </c>
      <c r="X1252" s="57">
        <v>42298667</v>
      </c>
      <c r="Y1252" s="57">
        <v>22848833</v>
      </c>
      <c r="Z1252" s="59"/>
      <c r="AA1252" s="59"/>
      <c r="AB1252" s="59"/>
      <c r="AC1252" s="59"/>
      <c r="AD1252" s="59"/>
      <c r="AE1252" s="59"/>
      <c r="AF1252" s="59"/>
      <c r="AG1252" s="59"/>
      <c r="AH1252" s="59"/>
      <c r="AI1252" s="59"/>
      <c r="AJ1252" s="59"/>
      <c r="AK1252" s="59"/>
      <c r="AL1252" s="59"/>
      <c r="AM1252" s="59"/>
      <c r="AN1252" s="59"/>
      <c r="AO1252" s="59"/>
      <c r="AP1252" s="59"/>
      <c r="AQ1252" s="59"/>
      <c r="AR1252" s="59"/>
      <c r="AS1252" s="59"/>
      <c r="AT1252" s="59"/>
      <c r="AU1252" s="59"/>
      <c r="AV1252" s="59"/>
      <c r="AW1252" s="59"/>
    </row>
    <row r="1253" spans="1:49" x14ac:dyDescent="0.25">
      <c r="A1253" s="75">
        <v>21</v>
      </c>
      <c r="B1253" s="75" t="s">
        <v>3506</v>
      </c>
      <c r="C1253" s="56" t="s">
        <v>3450</v>
      </c>
      <c r="D1253" s="56" t="s">
        <v>3451</v>
      </c>
      <c r="E1253" s="121">
        <v>122</v>
      </c>
      <c r="F1253" s="75" t="s">
        <v>3497</v>
      </c>
      <c r="G1253" s="75" t="s">
        <v>3453</v>
      </c>
      <c r="H1253" s="56" t="s">
        <v>3507</v>
      </c>
      <c r="I1253" s="56" t="s">
        <v>55</v>
      </c>
      <c r="J1253" s="56" t="s">
        <v>3455</v>
      </c>
      <c r="K1253" s="57">
        <v>60409500</v>
      </c>
      <c r="L1253" s="57">
        <v>0</v>
      </c>
      <c r="M1253" s="57">
        <f t="shared" si="137"/>
        <v>60409500</v>
      </c>
      <c r="N1253" s="75">
        <v>150</v>
      </c>
      <c r="O1253" s="122">
        <v>43117</v>
      </c>
      <c r="P1253" s="56" t="s">
        <v>3508</v>
      </c>
      <c r="Q1253" s="75">
        <v>145</v>
      </c>
      <c r="R1253" s="75">
        <v>157</v>
      </c>
      <c r="S1253" s="56" t="s">
        <v>3507</v>
      </c>
      <c r="T1253" s="57">
        <v>60409500</v>
      </c>
      <c r="U1253" s="57">
        <v>0</v>
      </c>
      <c r="V1253" s="57">
        <v>0</v>
      </c>
      <c r="W1253" s="57">
        <v>60409500</v>
      </c>
      <c r="X1253" s="57">
        <v>39047300</v>
      </c>
      <c r="Y1253" s="57">
        <v>21362200</v>
      </c>
      <c r="Z1253" s="59"/>
      <c r="AA1253" s="59"/>
      <c r="AB1253" s="59"/>
      <c r="AC1253" s="59"/>
      <c r="AD1253" s="59"/>
      <c r="AE1253" s="59"/>
      <c r="AF1253" s="59"/>
      <c r="AG1253" s="59"/>
      <c r="AH1253" s="59"/>
      <c r="AI1253" s="59"/>
      <c r="AJ1253" s="59"/>
      <c r="AK1253" s="59"/>
      <c r="AL1253" s="59"/>
      <c r="AM1253" s="59"/>
      <c r="AN1253" s="59"/>
      <c r="AO1253" s="59"/>
      <c r="AP1253" s="59"/>
      <c r="AQ1253" s="59"/>
      <c r="AR1253" s="59"/>
      <c r="AS1253" s="59"/>
      <c r="AT1253" s="59"/>
      <c r="AU1253" s="59"/>
      <c r="AV1253" s="59"/>
      <c r="AW1253" s="59"/>
    </row>
    <row r="1254" spans="1:49" x14ac:dyDescent="0.25">
      <c r="A1254" s="75">
        <v>22</v>
      </c>
      <c r="B1254" s="75" t="s">
        <v>3509</v>
      </c>
      <c r="C1254" s="56" t="s">
        <v>3450</v>
      </c>
      <c r="D1254" s="56" t="s">
        <v>3451</v>
      </c>
      <c r="E1254" s="121">
        <v>121</v>
      </c>
      <c r="F1254" s="75" t="s">
        <v>3497</v>
      </c>
      <c r="G1254" s="75" t="s">
        <v>3453</v>
      </c>
      <c r="H1254" s="56" t="s">
        <v>3510</v>
      </c>
      <c r="I1254" s="56" t="s">
        <v>55</v>
      </c>
      <c r="J1254" s="56" t="s">
        <v>3455</v>
      </c>
      <c r="K1254" s="57">
        <v>52118000</v>
      </c>
      <c r="L1254" s="57">
        <v>0</v>
      </c>
      <c r="M1254" s="57">
        <f t="shared" si="137"/>
        <v>52118000</v>
      </c>
      <c r="N1254" s="75">
        <v>69</v>
      </c>
      <c r="O1254" s="122">
        <v>43116</v>
      </c>
      <c r="P1254" s="56" t="s">
        <v>3511</v>
      </c>
      <c r="Q1254" s="75">
        <v>145</v>
      </c>
      <c r="R1254" s="75">
        <v>63</v>
      </c>
      <c r="S1254" s="56" t="s">
        <v>3510</v>
      </c>
      <c r="T1254" s="57">
        <v>52118000</v>
      </c>
      <c r="U1254" s="57">
        <v>0</v>
      </c>
      <c r="V1254" s="57">
        <v>0</v>
      </c>
      <c r="W1254" s="57">
        <v>52118000</v>
      </c>
      <c r="X1254" s="57">
        <v>33838933</v>
      </c>
      <c r="Y1254" s="57">
        <v>18279067</v>
      </c>
      <c r="Z1254" s="59"/>
      <c r="AA1254" s="59"/>
      <c r="AB1254" s="59"/>
      <c r="AC1254" s="59"/>
      <c r="AD1254" s="59"/>
      <c r="AE1254" s="59"/>
      <c r="AF1254" s="59"/>
      <c r="AG1254" s="59"/>
      <c r="AH1254" s="59"/>
      <c r="AI1254" s="59"/>
      <c r="AJ1254" s="59"/>
      <c r="AK1254" s="59"/>
      <c r="AL1254" s="59"/>
      <c r="AM1254" s="59"/>
      <c r="AN1254" s="59"/>
      <c r="AO1254" s="59"/>
      <c r="AP1254" s="59"/>
      <c r="AQ1254" s="59"/>
      <c r="AR1254" s="59"/>
      <c r="AS1254" s="59"/>
      <c r="AT1254" s="59"/>
      <c r="AU1254" s="59"/>
      <c r="AV1254" s="59"/>
      <c r="AW1254" s="59"/>
    </row>
    <row r="1255" spans="1:49" x14ac:dyDescent="0.25">
      <c r="A1255" s="75">
        <v>24</v>
      </c>
      <c r="B1255" s="75" t="s">
        <v>3512</v>
      </c>
      <c r="C1255" s="56" t="s">
        <v>3450</v>
      </c>
      <c r="D1255" s="56" t="s">
        <v>3451</v>
      </c>
      <c r="E1255" s="121">
        <v>120</v>
      </c>
      <c r="F1255" s="75" t="s">
        <v>3497</v>
      </c>
      <c r="G1255" s="75" t="s">
        <v>3453</v>
      </c>
      <c r="H1255" s="56" t="s">
        <v>3513</v>
      </c>
      <c r="I1255" s="56" t="s">
        <v>55</v>
      </c>
      <c r="J1255" s="56" t="s">
        <v>3455</v>
      </c>
      <c r="K1255" s="57">
        <v>60409500</v>
      </c>
      <c r="L1255" s="57">
        <v>0</v>
      </c>
      <c r="M1255" s="57">
        <f t="shared" si="137"/>
        <v>60409500</v>
      </c>
      <c r="N1255" s="75">
        <v>225</v>
      </c>
      <c r="O1255" s="122">
        <v>43118</v>
      </c>
      <c r="P1255" s="56" t="s">
        <v>3514</v>
      </c>
      <c r="Q1255" s="75">
        <v>145</v>
      </c>
      <c r="R1255" s="75">
        <v>197</v>
      </c>
      <c r="S1255" s="56" t="s">
        <v>3515</v>
      </c>
      <c r="T1255" s="57">
        <v>60409500</v>
      </c>
      <c r="U1255" s="57">
        <v>0</v>
      </c>
      <c r="V1255" s="57">
        <v>0</v>
      </c>
      <c r="W1255" s="57">
        <v>60409500</v>
      </c>
      <c r="X1255" s="57">
        <v>38872200</v>
      </c>
      <c r="Y1255" s="57">
        <v>21537300</v>
      </c>
      <c r="Z1255" s="59"/>
      <c r="AA1255" s="59"/>
      <c r="AB1255" s="59"/>
      <c r="AC1255" s="59"/>
      <c r="AD1255" s="59"/>
      <c r="AE1255" s="59"/>
      <c r="AF1255" s="59"/>
      <c r="AG1255" s="59"/>
      <c r="AH1255" s="59"/>
      <c r="AI1255" s="59"/>
      <c r="AJ1255" s="59"/>
      <c r="AK1255" s="59"/>
      <c r="AL1255" s="59"/>
      <c r="AM1255" s="59"/>
      <c r="AN1255" s="59"/>
      <c r="AO1255" s="59"/>
      <c r="AP1255" s="59"/>
      <c r="AQ1255" s="59"/>
      <c r="AR1255" s="59"/>
      <c r="AS1255" s="59"/>
      <c r="AT1255" s="59"/>
      <c r="AU1255" s="59"/>
      <c r="AV1255" s="59"/>
      <c r="AW1255" s="59"/>
    </row>
    <row r="1256" spans="1:49" x14ac:dyDescent="0.25">
      <c r="A1256" s="75">
        <v>25</v>
      </c>
      <c r="B1256" s="75" t="s">
        <v>3516</v>
      </c>
      <c r="C1256" s="56" t="s">
        <v>3517</v>
      </c>
      <c r="D1256" s="56" t="s">
        <v>3518</v>
      </c>
      <c r="E1256" s="121">
        <v>119</v>
      </c>
      <c r="F1256" s="75" t="s">
        <v>3497</v>
      </c>
      <c r="G1256" s="75" t="s">
        <v>3453</v>
      </c>
      <c r="H1256" s="56" t="s">
        <v>3519</v>
      </c>
      <c r="I1256" s="56" t="s">
        <v>55</v>
      </c>
      <c r="J1256" s="56" t="s">
        <v>3455</v>
      </c>
      <c r="K1256" s="57">
        <v>38259350</v>
      </c>
      <c r="L1256" s="57">
        <v>0</v>
      </c>
      <c r="M1256" s="57">
        <f t="shared" si="137"/>
        <v>38259350</v>
      </c>
      <c r="N1256" s="75">
        <v>103</v>
      </c>
      <c r="O1256" s="122">
        <v>43116</v>
      </c>
      <c r="P1256" s="56" t="s">
        <v>3520</v>
      </c>
      <c r="Q1256" s="75">
        <v>148</v>
      </c>
      <c r="R1256" s="75">
        <v>91</v>
      </c>
      <c r="S1256" s="56" t="s">
        <v>3519</v>
      </c>
      <c r="T1256" s="57">
        <v>38259350</v>
      </c>
      <c r="U1256" s="57">
        <v>0</v>
      </c>
      <c r="V1256" s="57">
        <v>0</v>
      </c>
      <c r="W1256" s="57">
        <v>38259350</v>
      </c>
      <c r="X1256" s="57">
        <v>24951750</v>
      </c>
      <c r="Y1256" s="57">
        <v>13307600</v>
      </c>
      <c r="Z1256" s="59"/>
      <c r="AA1256" s="59"/>
      <c r="AB1256" s="59"/>
      <c r="AC1256" s="59"/>
      <c r="AD1256" s="59"/>
      <c r="AE1256" s="59"/>
      <c r="AF1256" s="59"/>
      <c r="AG1256" s="59"/>
      <c r="AH1256" s="59"/>
      <c r="AI1256" s="59"/>
      <c r="AJ1256" s="59"/>
      <c r="AK1256" s="59"/>
      <c r="AL1256" s="59"/>
      <c r="AM1256" s="59"/>
      <c r="AN1256" s="59"/>
      <c r="AO1256" s="59"/>
      <c r="AP1256" s="59"/>
      <c r="AQ1256" s="59"/>
      <c r="AR1256" s="59"/>
      <c r="AS1256" s="59"/>
      <c r="AT1256" s="59"/>
      <c r="AU1256" s="59"/>
      <c r="AV1256" s="59"/>
      <c r="AW1256" s="59"/>
    </row>
    <row r="1257" spans="1:49" x14ac:dyDescent="0.25">
      <c r="A1257" s="75">
        <v>26</v>
      </c>
      <c r="B1257" s="75" t="s">
        <v>3521</v>
      </c>
      <c r="C1257" s="56" t="s">
        <v>3517</v>
      </c>
      <c r="D1257" s="56" t="s">
        <v>3518</v>
      </c>
      <c r="E1257" s="121">
        <v>150</v>
      </c>
      <c r="F1257" s="75" t="s">
        <v>3452</v>
      </c>
      <c r="G1257" s="75" t="s">
        <v>3453</v>
      </c>
      <c r="H1257" s="56" t="s">
        <v>3522</v>
      </c>
      <c r="I1257" s="56" t="s">
        <v>55</v>
      </c>
      <c r="J1257" s="56" t="s">
        <v>3455</v>
      </c>
      <c r="K1257" s="57">
        <v>28428000</v>
      </c>
      <c r="L1257" s="57">
        <v>0</v>
      </c>
      <c r="M1257" s="57">
        <f t="shared" si="137"/>
        <v>28428000</v>
      </c>
      <c r="N1257" s="75">
        <v>433</v>
      </c>
      <c r="O1257" s="122">
        <v>43124</v>
      </c>
      <c r="P1257" s="56" t="s">
        <v>3523</v>
      </c>
      <c r="Q1257" s="75">
        <v>148</v>
      </c>
      <c r="R1257" s="75">
        <v>374</v>
      </c>
      <c r="S1257" s="56" t="s">
        <v>3522</v>
      </c>
      <c r="T1257" s="57">
        <v>28428000</v>
      </c>
      <c r="U1257" s="57">
        <v>0</v>
      </c>
      <c r="V1257" s="57">
        <v>0</v>
      </c>
      <c r="W1257" s="57">
        <v>28428000</v>
      </c>
      <c r="X1257" s="57">
        <v>17798400</v>
      </c>
      <c r="Y1257" s="57">
        <v>10629600</v>
      </c>
      <c r="Z1257" s="59"/>
      <c r="AA1257" s="59"/>
      <c r="AB1257" s="59"/>
      <c r="AC1257" s="59"/>
      <c r="AD1257" s="59"/>
      <c r="AE1257" s="59"/>
      <c r="AF1257" s="59"/>
      <c r="AG1257" s="59"/>
      <c r="AH1257" s="59"/>
      <c r="AI1257" s="59"/>
      <c r="AJ1257" s="59"/>
      <c r="AK1257" s="59"/>
      <c r="AL1257" s="59"/>
      <c r="AM1257" s="59"/>
      <c r="AN1257" s="59"/>
      <c r="AO1257" s="59"/>
      <c r="AP1257" s="59"/>
      <c r="AQ1257" s="59"/>
      <c r="AR1257" s="59"/>
      <c r="AS1257" s="59"/>
      <c r="AT1257" s="59"/>
      <c r="AU1257" s="59"/>
      <c r="AV1257" s="59"/>
      <c r="AW1257" s="59"/>
    </row>
    <row r="1258" spans="1:49" x14ac:dyDescent="0.25">
      <c r="A1258" s="75">
        <v>27</v>
      </c>
      <c r="B1258" s="75" t="s">
        <v>3524</v>
      </c>
      <c r="C1258" s="56" t="s">
        <v>3517</v>
      </c>
      <c r="D1258" s="56" t="s">
        <v>3518</v>
      </c>
      <c r="E1258" s="121">
        <v>149</v>
      </c>
      <c r="F1258" s="75" t="s">
        <v>3452</v>
      </c>
      <c r="G1258" s="75" t="s">
        <v>3453</v>
      </c>
      <c r="H1258" s="56" t="s">
        <v>3525</v>
      </c>
      <c r="I1258" s="56" t="s">
        <v>55</v>
      </c>
      <c r="J1258" s="56" t="s">
        <v>3455</v>
      </c>
      <c r="K1258" s="57">
        <v>17767500</v>
      </c>
      <c r="L1258" s="57">
        <v>0</v>
      </c>
      <c r="M1258" s="57">
        <f t="shared" si="137"/>
        <v>17767500</v>
      </c>
      <c r="N1258" s="75">
        <v>432</v>
      </c>
      <c r="O1258" s="122">
        <v>43124</v>
      </c>
      <c r="P1258" s="56" t="s">
        <v>3526</v>
      </c>
      <c r="Q1258" s="75">
        <v>148</v>
      </c>
      <c r="R1258" s="75">
        <v>373</v>
      </c>
      <c r="S1258" s="56" t="s">
        <v>3525</v>
      </c>
      <c r="T1258" s="57">
        <v>17767500</v>
      </c>
      <c r="U1258" s="57">
        <v>0</v>
      </c>
      <c r="V1258" s="57">
        <v>0</v>
      </c>
      <c r="W1258" s="57">
        <v>17767500</v>
      </c>
      <c r="X1258" s="57">
        <v>11124000</v>
      </c>
      <c r="Y1258" s="57">
        <v>6643500</v>
      </c>
      <c r="Z1258" s="59"/>
      <c r="AA1258" s="59"/>
      <c r="AB1258" s="59"/>
      <c r="AC1258" s="59"/>
      <c r="AD1258" s="59"/>
      <c r="AE1258" s="59"/>
      <c r="AF1258" s="59"/>
      <c r="AG1258" s="59"/>
      <c r="AH1258" s="59"/>
      <c r="AI1258" s="59"/>
      <c r="AJ1258" s="59"/>
      <c r="AK1258" s="59"/>
      <c r="AL1258" s="59"/>
      <c r="AM1258" s="59"/>
      <c r="AN1258" s="59"/>
      <c r="AO1258" s="59"/>
      <c r="AP1258" s="59"/>
      <c r="AQ1258" s="59"/>
      <c r="AR1258" s="59"/>
      <c r="AS1258" s="59"/>
      <c r="AT1258" s="59"/>
      <c r="AU1258" s="59"/>
      <c r="AV1258" s="59"/>
      <c r="AW1258" s="59"/>
    </row>
    <row r="1259" spans="1:49" x14ac:dyDescent="0.25">
      <c r="A1259" s="75">
        <v>28</v>
      </c>
      <c r="B1259" s="75" t="s">
        <v>3527</v>
      </c>
      <c r="C1259" s="56" t="s">
        <v>3517</v>
      </c>
      <c r="D1259" s="56" t="s">
        <v>3518</v>
      </c>
      <c r="E1259" s="121">
        <v>148</v>
      </c>
      <c r="F1259" s="75" t="s">
        <v>3452</v>
      </c>
      <c r="G1259" s="75" t="s">
        <v>3453</v>
      </c>
      <c r="H1259" s="56" t="s">
        <v>3528</v>
      </c>
      <c r="I1259" s="56" t="s">
        <v>55</v>
      </c>
      <c r="J1259" s="56" t="s">
        <v>3455</v>
      </c>
      <c r="K1259" s="57">
        <v>28428000</v>
      </c>
      <c r="L1259" s="57">
        <v>0</v>
      </c>
      <c r="M1259" s="57">
        <f t="shared" si="137"/>
        <v>28428000</v>
      </c>
      <c r="N1259" s="75">
        <v>118</v>
      </c>
      <c r="O1259" s="122">
        <v>43117</v>
      </c>
      <c r="P1259" s="56" t="s">
        <v>3529</v>
      </c>
      <c r="Q1259" s="75">
        <v>148</v>
      </c>
      <c r="R1259" s="75">
        <v>97</v>
      </c>
      <c r="S1259" s="56" t="s">
        <v>3528</v>
      </c>
      <c r="T1259" s="57">
        <v>28428000</v>
      </c>
      <c r="U1259" s="57">
        <v>0</v>
      </c>
      <c r="V1259" s="57">
        <v>0</v>
      </c>
      <c r="W1259" s="57">
        <v>28428000</v>
      </c>
      <c r="X1259" s="57">
        <v>18375200</v>
      </c>
      <c r="Y1259" s="57">
        <v>10052800</v>
      </c>
      <c r="Z1259" s="59"/>
      <c r="AA1259" s="59"/>
      <c r="AB1259" s="59"/>
      <c r="AC1259" s="59"/>
      <c r="AD1259" s="59"/>
      <c r="AE1259" s="59"/>
      <c r="AF1259" s="59"/>
      <c r="AG1259" s="59"/>
      <c r="AH1259" s="59"/>
      <c r="AI1259" s="59"/>
      <c r="AJ1259" s="59"/>
      <c r="AK1259" s="59"/>
      <c r="AL1259" s="59"/>
      <c r="AM1259" s="59"/>
      <c r="AN1259" s="59"/>
      <c r="AO1259" s="59"/>
      <c r="AP1259" s="59"/>
      <c r="AQ1259" s="59"/>
      <c r="AR1259" s="59"/>
      <c r="AS1259" s="59"/>
      <c r="AT1259" s="59"/>
      <c r="AU1259" s="59"/>
      <c r="AV1259" s="59"/>
      <c r="AW1259" s="59"/>
    </row>
    <row r="1260" spans="1:49" x14ac:dyDescent="0.25">
      <c r="A1260" s="75">
        <v>29</v>
      </c>
      <c r="B1260" s="75" t="s">
        <v>3530</v>
      </c>
      <c r="C1260" s="56" t="s">
        <v>3517</v>
      </c>
      <c r="D1260" s="56" t="s">
        <v>3518</v>
      </c>
      <c r="E1260" s="121">
        <v>147</v>
      </c>
      <c r="F1260" s="75" t="s">
        <v>3452</v>
      </c>
      <c r="G1260" s="75" t="s">
        <v>3453</v>
      </c>
      <c r="H1260" s="56" t="s">
        <v>3531</v>
      </c>
      <c r="I1260" s="56" t="s">
        <v>55</v>
      </c>
      <c r="J1260" s="56" t="s">
        <v>3455</v>
      </c>
      <c r="K1260" s="57">
        <v>17767500</v>
      </c>
      <c r="L1260" s="57">
        <v>0</v>
      </c>
      <c r="M1260" s="57">
        <f t="shared" si="137"/>
        <v>17767500</v>
      </c>
      <c r="N1260" s="75">
        <v>442</v>
      </c>
      <c r="O1260" s="122">
        <v>43125</v>
      </c>
      <c r="P1260" s="56" t="s">
        <v>3532</v>
      </c>
      <c r="Q1260" s="75">
        <v>148</v>
      </c>
      <c r="R1260" s="75">
        <v>377</v>
      </c>
      <c r="S1260" s="56" t="s">
        <v>3533</v>
      </c>
      <c r="T1260" s="57">
        <v>17767500</v>
      </c>
      <c r="U1260" s="57">
        <v>0</v>
      </c>
      <c r="V1260" s="57">
        <v>0</v>
      </c>
      <c r="W1260" s="57">
        <v>17767500</v>
      </c>
      <c r="X1260" s="57">
        <v>11124000</v>
      </c>
      <c r="Y1260" s="57">
        <v>6643500</v>
      </c>
      <c r="Z1260" s="59"/>
      <c r="AA1260" s="59"/>
      <c r="AB1260" s="59"/>
      <c r="AC1260" s="59"/>
      <c r="AD1260" s="59"/>
      <c r="AE1260" s="59"/>
      <c r="AF1260" s="59"/>
      <c r="AG1260" s="59"/>
      <c r="AH1260" s="59"/>
      <c r="AI1260" s="59"/>
      <c r="AJ1260" s="59"/>
      <c r="AK1260" s="59"/>
      <c r="AL1260" s="59"/>
      <c r="AM1260" s="59"/>
      <c r="AN1260" s="59"/>
      <c r="AO1260" s="59"/>
      <c r="AP1260" s="59"/>
      <c r="AQ1260" s="59"/>
      <c r="AR1260" s="59"/>
      <c r="AS1260" s="59"/>
      <c r="AT1260" s="59"/>
      <c r="AU1260" s="59"/>
      <c r="AV1260" s="59"/>
      <c r="AW1260" s="59"/>
    </row>
    <row r="1261" spans="1:49" x14ac:dyDescent="0.25">
      <c r="A1261" s="75">
        <v>30</v>
      </c>
      <c r="B1261" s="75" t="s">
        <v>3534</v>
      </c>
      <c r="C1261" s="56" t="s">
        <v>3517</v>
      </c>
      <c r="D1261" s="56" t="s">
        <v>3518</v>
      </c>
      <c r="E1261" s="121">
        <v>118</v>
      </c>
      <c r="F1261" s="75" t="s">
        <v>3497</v>
      </c>
      <c r="G1261" s="75" t="s">
        <v>3453</v>
      </c>
      <c r="H1261" s="56" t="s">
        <v>3535</v>
      </c>
      <c r="I1261" s="56" t="s">
        <v>55</v>
      </c>
      <c r="J1261" s="56" t="s">
        <v>3455</v>
      </c>
      <c r="K1261" s="57">
        <v>34942750</v>
      </c>
      <c r="L1261" s="57">
        <v>0</v>
      </c>
      <c r="M1261" s="57">
        <f t="shared" si="137"/>
        <v>34942750</v>
      </c>
      <c r="N1261" s="75">
        <v>73</v>
      </c>
      <c r="O1261" s="122">
        <v>43116</v>
      </c>
      <c r="P1261" s="56" t="s">
        <v>3536</v>
      </c>
      <c r="Q1261" s="75">
        <v>148</v>
      </c>
      <c r="R1261" s="75">
        <v>59</v>
      </c>
      <c r="S1261" s="56" t="s">
        <v>3535</v>
      </c>
      <c r="T1261" s="57">
        <v>34942750</v>
      </c>
      <c r="U1261" s="57">
        <v>0</v>
      </c>
      <c r="V1261" s="57">
        <v>0</v>
      </c>
      <c r="W1261" s="57">
        <v>34942750</v>
      </c>
      <c r="X1261" s="57">
        <v>22687467</v>
      </c>
      <c r="Y1261" s="57">
        <v>12255283</v>
      </c>
      <c r="Z1261" s="59"/>
      <c r="AA1261" s="59"/>
      <c r="AB1261" s="59"/>
      <c r="AC1261" s="59"/>
      <c r="AD1261" s="59"/>
      <c r="AE1261" s="59"/>
      <c r="AF1261" s="59"/>
      <c r="AG1261" s="59"/>
      <c r="AH1261" s="59"/>
      <c r="AI1261" s="59"/>
      <c r="AJ1261" s="59"/>
      <c r="AK1261" s="59"/>
      <c r="AL1261" s="59"/>
      <c r="AM1261" s="59"/>
      <c r="AN1261" s="59"/>
      <c r="AO1261" s="59"/>
      <c r="AP1261" s="59"/>
      <c r="AQ1261" s="59"/>
      <c r="AR1261" s="59"/>
      <c r="AS1261" s="59"/>
      <c r="AT1261" s="59"/>
      <c r="AU1261" s="59"/>
      <c r="AV1261" s="59"/>
      <c r="AW1261" s="59"/>
    </row>
    <row r="1262" spans="1:49" x14ac:dyDescent="0.25">
      <c r="A1262" s="75">
        <v>31</v>
      </c>
      <c r="B1262" s="75" t="s">
        <v>3537</v>
      </c>
      <c r="C1262" s="56" t="s">
        <v>3517</v>
      </c>
      <c r="D1262" s="56" t="s">
        <v>3518</v>
      </c>
      <c r="E1262" s="121">
        <v>117</v>
      </c>
      <c r="F1262" s="75" t="s">
        <v>3497</v>
      </c>
      <c r="G1262" s="75" t="s">
        <v>3453</v>
      </c>
      <c r="H1262" s="56" t="s">
        <v>3535</v>
      </c>
      <c r="I1262" s="56" t="s">
        <v>55</v>
      </c>
      <c r="J1262" s="56" t="s">
        <v>3455</v>
      </c>
      <c r="K1262" s="57">
        <v>38259350</v>
      </c>
      <c r="L1262" s="57">
        <v>18297950</v>
      </c>
      <c r="M1262" s="57">
        <f t="shared" si="137"/>
        <v>19961400</v>
      </c>
      <c r="N1262" s="75">
        <v>203</v>
      </c>
      <c r="O1262" s="122">
        <v>43118</v>
      </c>
      <c r="P1262" s="56" t="s">
        <v>3538</v>
      </c>
      <c r="Q1262" s="75">
        <v>148</v>
      </c>
      <c r="R1262" s="75">
        <v>113</v>
      </c>
      <c r="S1262" s="56" t="s">
        <v>3535</v>
      </c>
      <c r="T1262" s="57">
        <v>19961400</v>
      </c>
      <c r="U1262" s="57">
        <v>0</v>
      </c>
      <c r="V1262" s="57">
        <v>0</v>
      </c>
      <c r="W1262" s="57">
        <v>19961400</v>
      </c>
      <c r="X1262" s="57">
        <v>19961400</v>
      </c>
      <c r="Y1262" s="57">
        <v>0</v>
      </c>
      <c r="Z1262" s="59"/>
      <c r="AA1262" s="59"/>
      <c r="AB1262" s="59"/>
      <c r="AC1262" s="59"/>
      <c r="AD1262" s="59"/>
      <c r="AE1262" s="59"/>
      <c r="AF1262" s="59"/>
      <c r="AG1262" s="59"/>
      <c r="AH1262" s="59"/>
      <c r="AI1262" s="59"/>
      <c r="AJ1262" s="59"/>
      <c r="AK1262" s="59"/>
      <c r="AL1262" s="59"/>
      <c r="AM1262" s="59"/>
      <c r="AN1262" s="59"/>
      <c r="AO1262" s="59"/>
      <c r="AP1262" s="59"/>
      <c r="AQ1262" s="59"/>
      <c r="AR1262" s="59"/>
      <c r="AS1262" s="59"/>
      <c r="AT1262" s="59"/>
      <c r="AU1262" s="59"/>
      <c r="AV1262" s="59"/>
      <c r="AW1262" s="59"/>
    </row>
    <row r="1263" spans="1:49" x14ac:dyDescent="0.25">
      <c r="A1263" s="75">
        <v>33</v>
      </c>
      <c r="B1263" s="75" t="s">
        <v>3539</v>
      </c>
      <c r="C1263" s="56" t="s">
        <v>3517</v>
      </c>
      <c r="D1263" s="56" t="s">
        <v>3518</v>
      </c>
      <c r="E1263" s="121">
        <v>116</v>
      </c>
      <c r="F1263" s="75" t="s">
        <v>3497</v>
      </c>
      <c r="G1263" s="75" t="s">
        <v>3453</v>
      </c>
      <c r="H1263" s="56" t="s">
        <v>3540</v>
      </c>
      <c r="I1263" s="56" t="s">
        <v>55</v>
      </c>
      <c r="J1263" s="56" t="s">
        <v>3455</v>
      </c>
      <c r="K1263" s="57">
        <v>34942750</v>
      </c>
      <c r="L1263" s="57">
        <v>0</v>
      </c>
      <c r="M1263" s="57">
        <f t="shared" si="137"/>
        <v>34942750</v>
      </c>
      <c r="N1263" s="75">
        <v>68</v>
      </c>
      <c r="O1263" s="122">
        <v>43116</v>
      </c>
      <c r="P1263" s="56" t="s">
        <v>3541</v>
      </c>
      <c r="Q1263" s="75">
        <v>148</v>
      </c>
      <c r="R1263" s="75">
        <v>62</v>
      </c>
      <c r="S1263" s="56" t="s">
        <v>3540</v>
      </c>
      <c r="T1263" s="57">
        <v>34942750</v>
      </c>
      <c r="U1263" s="57">
        <v>0</v>
      </c>
      <c r="V1263" s="57">
        <v>0</v>
      </c>
      <c r="W1263" s="57">
        <v>34942750</v>
      </c>
      <c r="X1263" s="57">
        <v>22687467</v>
      </c>
      <c r="Y1263" s="57">
        <v>12255283</v>
      </c>
      <c r="Z1263" s="59"/>
      <c r="AA1263" s="59"/>
      <c r="AB1263" s="59"/>
      <c r="AC1263" s="59"/>
      <c r="AD1263" s="59"/>
      <c r="AE1263" s="59"/>
      <c r="AF1263" s="59"/>
      <c r="AG1263" s="59"/>
      <c r="AH1263" s="59"/>
      <c r="AI1263" s="59"/>
      <c r="AJ1263" s="59"/>
      <c r="AK1263" s="59"/>
      <c r="AL1263" s="59"/>
      <c r="AM1263" s="59"/>
      <c r="AN1263" s="59"/>
      <c r="AO1263" s="59"/>
      <c r="AP1263" s="59"/>
      <c r="AQ1263" s="59"/>
      <c r="AR1263" s="59"/>
      <c r="AS1263" s="59"/>
      <c r="AT1263" s="59"/>
      <c r="AU1263" s="59"/>
      <c r="AV1263" s="59"/>
      <c r="AW1263" s="59"/>
    </row>
    <row r="1264" spans="1:49" x14ac:dyDescent="0.25">
      <c r="A1264" s="75">
        <v>34</v>
      </c>
      <c r="B1264" s="75" t="s">
        <v>3542</v>
      </c>
      <c r="C1264" s="56" t="s">
        <v>3517</v>
      </c>
      <c r="D1264" s="56" t="s">
        <v>3518</v>
      </c>
      <c r="E1264" s="121">
        <v>115</v>
      </c>
      <c r="F1264" s="75" t="s">
        <v>3497</v>
      </c>
      <c r="G1264" s="75" t="s">
        <v>3453</v>
      </c>
      <c r="H1264" s="56" t="s">
        <v>3543</v>
      </c>
      <c r="I1264" s="56" t="s">
        <v>55</v>
      </c>
      <c r="J1264" s="56" t="s">
        <v>3455</v>
      </c>
      <c r="K1264" s="57">
        <v>28428000</v>
      </c>
      <c r="L1264" s="57">
        <v>0</v>
      </c>
      <c r="M1264" s="57">
        <f t="shared" si="137"/>
        <v>28428000</v>
      </c>
      <c r="N1264" s="75">
        <v>75</v>
      </c>
      <c r="O1264" s="122">
        <v>43116</v>
      </c>
      <c r="P1264" s="56" t="s">
        <v>3544</v>
      </c>
      <c r="Q1264" s="75">
        <v>148</v>
      </c>
      <c r="R1264" s="75">
        <v>61</v>
      </c>
      <c r="S1264" s="56" t="s">
        <v>3543</v>
      </c>
      <c r="T1264" s="57">
        <v>28428000</v>
      </c>
      <c r="U1264" s="57">
        <v>0</v>
      </c>
      <c r="V1264" s="57">
        <v>0</v>
      </c>
      <c r="W1264" s="57">
        <v>28428000</v>
      </c>
      <c r="X1264" s="57">
        <v>18457600</v>
      </c>
      <c r="Y1264" s="57">
        <v>9970400</v>
      </c>
      <c r="Z1264" s="59"/>
      <c r="AA1264" s="59"/>
      <c r="AB1264" s="59"/>
      <c r="AC1264" s="59"/>
      <c r="AD1264" s="59"/>
      <c r="AE1264" s="59"/>
      <c r="AF1264" s="59"/>
      <c r="AG1264" s="59"/>
      <c r="AH1264" s="59"/>
      <c r="AI1264" s="59"/>
      <c r="AJ1264" s="59"/>
      <c r="AK1264" s="59"/>
      <c r="AL1264" s="59"/>
      <c r="AM1264" s="59"/>
      <c r="AN1264" s="59"/>
      <c r="AO1264" s="59"/>
      <c r="AP1264" s="59"/>
      <c r="AQ1264" s="59"/>
      <c r="AR1264" s="59"/>
      <c r="AS1264" s="59"/>
      <c r="AT1264" s="59"/>
      <c r="AU1264" s="59"/>
      <c r="AV1264" s="59"/>
      <c r="AW1264" s="59"/>
    </row>
    <row r="1265" spans="1:49" x14ac:dyDescent="0.25">
      <c r="A1265" s="75">
        <v>35</v>
      </c>
      <c r="B1265" s="75" t="s">
        <v>3545</v>
      </c>
      <c r="C1265" s="56" t="s">
        <v>3517</v>
      </c>
      <c r="D1265" s="56" t="s">
        <v>3518</v>
      </c>
      <c r="E1265" s="121">
        <v>114</v>
      </c>
      <c r="F1265" s="75" t="s">
        <v>3497</v>
      </c>
      <c r="G1265" s="75" t="s">
        <v>3453</v>
      </c>
      <c r="H1265" s="56" t="s">
        <v>3546</v>
      </c>
      <c r="I1265" s="56" t="s">
        <v>55</v>
      </c>
      <c r="J1265" s="56" t="s">
        <v>3455</v>
      </c>
      <c r="K1265" s="57">
        <v>38259350</v>
      </c>
      <c r="L1265" s="57">
        <v>0</v>
      </c>
      <c r="M1265" s="57">
        <f t="shared" si="137"/>
        <v>38259350</v>
      </c>
      <c r="N1265" s="75">
        <v>59</v>
      </c>
      <c r="O1265" s="122">
        <v>43116</v>
      </c>
      <c r="P1265" s="56" t="s">
        <v>3547</v>
      </c>
      <c r="Q1265" s="75">
        <v>148</v>
      </c>
      <c r="R1265" s="75">
        <v>42</v>
      </c>
      <c r="S1265" s="56" t="s">
        <v>3548</v>
      </c>
      <c r="T1265" s="57">
        <v>38259350</v>
      </c>
      <c r="U1265" s="57">
        <v>0</v>
      </c>
      <c r="V1265" s="57">
        <v>0</v>
      </c>
      <c r="W1265" s="57">
        <v>38259350</v>
      </c>
      <c r="X1265" s="57">
        <v>24840853</v>
      </c>
      <c r="Y1265" s="57">
        <v>13418497</v>
      </c>
      <c r="Z1265" s="59"/>
      <c r="AA1265" s="59"/>
      <c r="AB1265" s="59"/>
      <c r="AC1265" s="59"/>
      <c r="AD1265" s="59"/>
      <c r="AE1265" s="59"/>
      <c r="AF1265" s="59"/>
      <c r="AG1265" s="59"/>
      <c r="AH1265" s="59"/>
      <c r="AI1265" s="59"/>
      <c r="AJ1265" s="59"/>
      <c r="AK1265" s="59"/>
      <c r="AL1265" s="59"/>
      <c r="AM1265" s="59"/>
      <c r="AN1265" s="59"/>
      <c r="AO1265" s="59"/>
      <c r="AP1265" s="59"/>
      <c r="AQ1265" s="59"/>
      <c r="AR1265" s="59"/>
      <c r="AS1265" s="59"/>
      <c r="AT1265" s="59"/>
      <c r="AU1265" s="59"/>
      <c r="AV1265" s="59"/>
      <c r="AW1265" s="59"/>
    </row>
    <row r="1266" spans="1:49" x14ac:dyDescent="0.25">
      <c r="A1266" s="75">
        <v>36</v>
      </c>
      <c r="B1266" s="75" t="s">
        <v>3549</v>
      </c>
      <c r="C1266" s="56" t="s">
        <v>3517</v>
      </c>
      <c r="D1266" s="56" t="s">
        <v>3518</v>
      </c>
      <c r="E1266" s="121">
        <v>113</v>
      </c>
      <c r="F1266" s="75" t="s">
        <v>3497</v>
      </c>
      <c r="G1266" s="75" t="s">
        <v>3453</v>
      </c>
      <c r="H1266" s="56" t="s">
        <v>927</v>
      </c>
      <c r="I1266" s="56" t="s">
        <v>55</v>
      </c>
      <c r="J1266" s="56" t="s">
        <v>3455</v>
      </c>
      <c r="K1266" s="57">
        <v>34942750</v>
      </c>
      <c r="L1266" s="57">
        <v>0</v>
      </c>
      <c r="M1266" s="57">
        <f t="shared" si="137"/>
        <v>34942750</v>
      </c>
      <c r="N1266" s="75">
        <v>41</v>
      </c>
      <c r="O1266" s="122">
        <v>43116</v>
      </c>
      <c r="P1266" s="56" t="s">
        <v>3550</v>
      </c>
      <c r="Q1266" s="75">
        <v>148</v>
      </c>
      <c r="R1266" s="75">
        <v>49</v>
      </c>
      <c r="S1266" s="56" t="s">
        <v>927</v>
      </c>
      <c r="T1266" s="57">
        <v>34942750</v>
      </c>
      <c r="U1266" s="57">
        <v>0</v>
      </c>
      <c r="V1266" s="57">
        <v>0</v>
      </c>
      <c r="W1266" s="57">
        <v>34942750</v>
      </c>
      <c r="X1266" s="57">
        <v>22687467</v>
      </c>
      <c r="Y1266" s="57">
        <v>12255283</v>
      </c>
      <c r="Z1266" s="59"/>
      <c r="AA1266" s="59"/>
      <c r="AB1266" s="59"/>
      <c r="AC1266" s="59"/>
      <c r="AD1266" s="59"/>
      <c r="AE1266" s="59"/>
      <c r="AF1266" s="59"/>
      <c r="AG1266" s="59"/>
      <c r="AH1266" s="59"/>
      <c r="AI1266" s="59"/>
      <c r="AJ1266" s="59"/>
      <c r="AK1266" s="59"/>
      <c r="AL1266" s="59"/>
      <c r="AM1266" s="59"/>
      <c r="AN1266" s="59"/>
      <c r="AO1266" s="59"/>
      <c r="AP1266" s="59"/>
      <c r="AQ1266" s="59"/>
      <c r="AR1266" s="59"/>
      <c r="AS1266" s="59"/>
      <c r="AT1266" s="59"/>
      <c r="AU1266" s="59"/>
      <c r="AV1266" s="59"/>
      <c r="AW1266" s="59"/>
    </row>
    <row r="1267" spans="1:49" x14ac:dyDescent="0.25">
      <c r="A1267" s="75">
        <v>37</v>
      </c>
      <c r="B1267" s="75" t="s">
        <v>3551</v>
      </c>
      <c r="C1267" s="56" t="s">
        <v>3517</v>
      </c>
      <c r="D1267" s="56" t="s">
        <v>3518</v>
      </c>
      <c r="E1267" s="121">
        <v>112</v>
      </c>
      <c r="F1267" s="75" t="s">
        <v>3497</v>
      </c>
      <c r="G1267" s="75" t="s">
        <v>3453</v>
      </c>
      <c r="H1267" s="56" t="s">
        <v>3552</v>
      </c>
      <c r="I1267" s="56" t="s">
        <v>55</v>
      </c>
      <c r="J1267" s="56" t="s">
        <v>3455</v>
      </c>
      <c r="K1267" s="57">
        <v>38259350</v>
      </c>
      <c r="L1267" s="57">
        <v>0</v>
      </c>
      <c r="M1267" s="57">
        <f t="shared" si="137"/>
        <v>38259350</v>
      </c>
      <c r="N1267" s="75">
        <v>71</v>
      </c>
      <c r="O1267" s="122">
        <v>43116</v>
      </c>
      <c r="P1267" s="56" t="s">
        <v>3553</v>
      </c>
      <c r="Q1267" s="75">
        <v>148</v>
      </c>
      <c r="R1267" s="75">
        <v>57</v>
      </c>
      <c r="S1267" s="56" t="s">
        <v>3552</v>
      </c>
      <c r="T1267" s="57">
        <v>38259350</v>
      </c>
      <c r="U1267" s="57">
        <v>0</v>
      </c>
      <c r="V1267" s="57">
        <v>0</v>
      </c>
      <c r="W1267" s="57">
        <v>38259350</v>
      </c>
      <c r="X1267" s="57">
        <v>24840853</v>
      </c>
      <c r="Y1267" s="57">
        <v>13418497</v>
      </c>
      <c r="Z1267" s="59"/>
      <c r="AA1267" s="59"/>
      <c r="AB1267" s="59"/>
      <c r="AC1267" s="59"/>
      <c r="AD1267" s="59"/>
      <c r="AE1267" s="59"/>
      <c r="AF1267" s="59"/>
      <c r="AG1267" s="59"/>
      <c r="AH1267" s="59"/>
      <c r="AI1267" s="59"/>
      <c r="AJ1267" s="59"/>
      <c r="AK1267" s="59"/>
      <c r="AL1267" s="59"/>
      <c r="AM1267" s="59"/>
      <c r="AN1267" s="59"/>
      <c r="AO1267" s="59"/>
      <c r="AP1267" s="59"/>
      <c r="AQ1267" s="59"/>
      <c r="AR1267" s="59"/>
      <c r="AS1267" s="59"/>
      <c r="AT1267" s="59"/>
      <c r="AU1267" s="59"/>
      <c r="AV1267" s="59"/>
      <c r="AW1267" s="59"/>
    </row>
    <row r="1268" spans="1:49" x14ac:dyDescent="0.25">
      <c r="A1268" s="75">
        <v>38</v>
      </c>
      <c r="B1268" s="75" t="s">
        <v>3554</v>
      </c>
      <c r="C1268" s="56" t="s">
        <v>3517</v>
      </c>
      <c r="D1268" s="56" t="s">
        <v>3518</v>
      </c>
      <c r="E1268" s="121">
        <v>111</v>
      </c>
      <c r="F1268" s="75" t="s">
        <v>3497</v>
      </c>
      <c r="G1268" s="75" t="s">
        <v>3453</v>
      </c>
      <c r="H1268" s="56" t="s">
        <v>3555</v>
      </c>
      <c r="I1268" s="56" t="s">
        <v>55</v>
      </c>
      <c r="J1268" s="56" t="s">
        <v>3455</v>
      </c>
      <c r="K1268" s="57">
        <v>34942750</v>
      </c>
      <c r="L1268" s="57">
        <v>0</v>
      </c>
      <c r="M1268" s="57">
        <f t="shared" si="137"/>
        <v>34942750</v>
      </c>
      <c r="N1268" s="75">
        <v>106</v>
      </c>
      <c r="O1268" s="122">
        <v>43116</v>
      </c>
      <c r="P1268" s="56" t="s">
        <v>3556</v>
      </c>
      <c r="Q1268" s="75">
        <v>148</v>
      </c>
      <c r="R1268" s="75">
        <v>84</v>
      </c>
      <c r="S1268" s="56" t="s">
        <v>3555</v>
      </c>
      <c r="T1268" s="57">
        <v>34942750</v>
      </c>
      <c r="U1268" s="57">
        <v>0</v>
      </c>
      <c r="V1268" s="57">
        <v>0</v>
      </c>
      <c r="W1268" s="57">
        <v>34942750</v>
      </c>
      <c r="X1268" s="57">
        <v>22687467</v>
      </c>
      <c r="Y1268" s="57">
        <v>12255283</v>
      </c>
      <c r="Z1268" s="59"/>
      <c r="AA1268" s="59"/>
      <c r="AB1268" s="59"/>
      <c r="AC1268" s="59"/>
      <c r="AD1268" s="59"/>
      <c r="AE1268" s="59"/>
      <c r="AF1268" s="59"/>
      <c r="AG1268" s="59"/>
      <c r="AH1268" s="59"/>
      <c r="AI1268" s="59"/>
      <c r="AJ1268" s="59"/>
      <c r="AK1268" s="59"/>
      <c r="AL1268" s="59"/>
      <c r="AM1268" s="59"/>
      <c r="AN1268" s="59"/>
      <c r="AO1268" s="59"/>
      <c r="AP1268" s="59"/>
      <c r="AQ1268" s="59"/>
      <c r="AR1268" s="59"/>
      <c r="AS1268" s="59"/>
      <c r="AT1268" s="59"/>
      <c r="AU1268" s="59"/>
      <c r="AV1268" s="59"/>
      <c r="AW1268" s="59"/>
    </row>
    <row r="1269" spans="1:49" x14ac:dyDescent="0.25">
      <c r="A1269" s="75">
        <v>39</v>
      </c>
      <c r="B1269" s="75" t="s">
        <v>3557</v>
      </c>
      <c r="C1269" s="56" t="s">
        <v>3517</v>
      </c>
      <c r="D1269" s="56" t="s">
        <v>3518</v>
      </c>
      <c r="E1269" s="121">
        <v>110</v>
      </c>
      <c r="F1269" s="75" t="s">
        <v>3497</v>
      </c>
      <c r="G1269" s="75" t="s">
        <v>3453</v>
      </c>
      <c r="H1269" s="56" t="s">
        <v>927</v>
      </c>
      <c r="I1269" s="56" t="s">
        <v>55</v>
      </c>
      <c r="J1269" s="56" t="s">
        <v>3455</v>
      </c>
      <c r="K1269" s="57">
        <v>17767500</v>
      </c>
      <c r="L1269" s="57">
        <v>0</v>
      </c>
      <c r="M1269" s="57">
        <f t="shared" si="137"/>
        <v>17767500</v>
      </c>
      <c r="N1269" s="75">
        <v>43</v>
      </c>
      <c r="O1269" s="122">
        <v>43116</v>
      </c>
      <c r="P1269" s="56" t="s">
        <v>3558</v>
      </c>
      <c r="Q1269" s="75">
        <v>148</v>
      </c>
      <c r="R1269" s="75">
        <v>50</v>
      </c>
      <c r="S1269" s="56" t="s">
        <v>927</v>
      </c>
      <c r="T1269" s="57">
        <v>17767500</v>
      </c>
      <c r="U1269" s="57">
        <v>0</v>
      </c>
      <c r="V1269" s="57">
        <v>0</v>
      </c>
      <c r="W1269" s="57">
        <v>17767500</v>
      </c>
      <c r="X1269" s="57">
        <v>11536000</v>
      </c>
      <c r="Y1269" s="57">
        <v>6231500</v>
      </c>
      <c r="Z1269" s="59"/>
      <c r="AA1269" s="59"/>
      <c r="AB1269" s="59"/>
      <c r="AC1269" s="59"/>
      <c r="AD1269" s="59"/>
      <c r="AE1269" s="59"/>
      <c r="AF1269" s="59"/>
      <c r="AG1269" s="59"/>
      <c r="AH1269" s="59"/>
      <c r="AI1269" s="59"/>
      <c r="AJ1269" s="59"/>
      <c r="AK1269" s="59"/>
      <c r="AL1269" s="59"/>
      <c r="AM1269" s="59"/>
      <c r="AN1269" s="59"/>
      <c r="AO1269" s="59"/>
      <c r="AP1269" s="59"/>
      <c r="AQ1269" s="59"/>
      <c r="AR1269" s="59"/>
      <c r="AS1269" s="59"/>
      <c r="AT1269" s="59"/>
      <c r="AU1269" s="59"/>
      <c r="AV1269" s="59"/>
      <c r="AW1269" s="59"/>
    </row>
    <row r="1270" spans="1:49" x14ac:dyDescent="0.25">
      <c r="A1270" s="75">
        <v>40</v>
      </c>
      <c r="B1270" s="75" t="s">
        <v>3559</v>
      </c>
      <c r="C1270" s="56" t="s">
        <v>3517</v>
      </c>
      <c r="D1270" s="56" t="s">
        <v>3518</v>
      </c>
      <c r="E1270" s="121">
        <v>109</v>
      </c>
      <c r="F1270" s="75" t="s">
        <v>3497</v>
      </c>
      <c r="G1270" s="75" t="s">
        <v>3453</v>
      </c>
      <c r="H1270" s="56" t="s">
        <v>927</v>
      </c>
      <c r="I1270" s="56" t="s">
        <v>55</v>
      </c>
      <c r="J1270" s="56" t="s">
        <v>3455</v>
      </c>
      <c r="K1270" s="57">
        <v>17767500</v>
      </c>
      <c r="L1270" s="57">
        <v>0</v>
      </c>
      <c r="M1270" s="57">
        <f t="shared" si="137"/>
        <v>17767500</v>
      </c>
      <c r="N1270" s="75">
        <v>36</v>
      </c>
      <c r="O1270" s="122">
        <v>43116</v>
      </c>
      <c r="P1270" s="56" t="s">
        <v>3560</v>
      </c>
      <c r="Q1270" s="75">
        <v>148</v>
      </c>
      <c r="R1270" s="75">
        <v>46</v>
      </c>
      <c r="S1270" s="56" t="s">
        <v>927</v>
      </c>
      <c r="T1270" s="57">
        <v>17767500</v>
      </c>
      <c r="U1270" s="57">
        <v>0</v>
      </c>
      <c r="V1270" s="57">
        <v>0</v>
      </c>
      <c r="W1270" s="57">
        <v>17767500</v>
      </c>
      <c r="X1270" s="57">
        <v>11536000</v>
      </c>
      <c r="Y1270" s="57">
        <v>6231500</v>
      </c>
      <c r="Z1270" s="59"/>
      <c r="AA1270" s="59"/>
      <c r="AB1270" s="59"/>
      <c r="AC1270" s="59"/>
      <c r="AD1270" s="59"/>
      <c r="AE1270" s="59"/>
      <c r="AF1270" s="59"/>
      <c r="AG1270" s="59"/>
      <c r="AH1270" s="59"/>
      <c r="AI1270" s="59"/>
      <c r="AJ1270" s="59"/>
      <c r="AK1270" s="59"/>
      <c r="AL1270" s="59"/>
      <c r="AM1270" s="59"/>
      <c r="AN1270" s="59"/>
      <c r="AO1270" s="59"/>
      <c r="AP1270" s="59"/>
      <c r="AQ1270" s="59"/>
      <c r="AR1270" s="59"/>
      <c r="AS1270" s="59"/>
      <c r="AT1270" s="59"/>
      <c r="AU1270" s="59"/>
      <c r="AV1270" s="59"/>
      <c r="AW1270" s="59"/>
    </row>
    <row r="1271" spans="1:49" x14ac:dyDescent="0.25">
      <c r="A1271" s="75">
        <v>41</v>
      </c>
      <c r="B1271" s="75" t="s">
        <v>3561</v>
      </c>
      <c r="C1271" s="56" t="s">
        <v>3517</v>
      </c>
      <c r="D1271" s="56" t="s">
        <v>3518</v>
      </c>
      <c r="E1271" s="121">
        <v>108</v>
      </c>
      <c r="F1271" s="75" t="s">
        <v>3497</v>
      </c>
      <c r="G1271" s="75" t="s">
        <v>3453</v>
      </c>
      <c r="H1271" s="56" t="s">
        <v>3540</v>
      </c>
      <c r="I1271" s="56" t="s">
        <v>55</v>
      </c>
      <c r="J1271" s="56" t="s">
        <v>3455</v>
      </c>
      <c r="K1271" s="57">
        <v>28428000</v>
      </c>
      <c r="L1271" s="57">
        <v>0</v>
      </c>
      <c r="M1271" s="57">
        <f t="shared" si="137"/>
        <v>28428000</v>
      </c>
      <c r="N1271" s="75">
        <v>226</v>
      </c>
      <c r="O1271" s="122">
        <v>43118</v>
      </c>
      <c r="P1271" s="56" t="s">
        <v>3562</v>
      </c>
      <c r="Q1271" s="75">
        <v>148</v>
      </c>
      <c r="R1271" s="75">
        <v>196</v>
      </c>
      <c r="S1271" s="56" t="s">
        <v>3540</v>
      </c>
      <c r="T1271" s="57">
        <v>28428000</v>
      </c>
      <c r="U1271" s="57">
        <v>0</v>
      </c>
      <c r="V1271" s="57">
        <v>0</v>
      </c>
      <c r="W1271" s="57">
        <v>28428000</v>
      </c>
      <c r="X1271" s="57">
        <v>18292800</v>
      </c>
      <c r="Y1271" s="57">
        <v>10135200</v>
      </c>
      <c r="Z1271" s="59"/>
      <c r="AA1271" s="59"/>
      <c r="AB1271" s="59"/>
      <c r="AC1271" s="59"/>
      <c r="AD1271" s="59"/>
      <c r="AE1271" s="59"/>
      <c r="AF1271" s="59"/>
      <c r="AG1271" s="59"/>
      <c r="AH1271" s="59"/>
      <c r="AI1271" s="59"/>
      <c r="AJ1271" s="59"/>
      <c r="AK1271" s="59"/>
      <c r="AL1271" s="59"/>
      <c r="AM1271" s="59"/>
      <c r="AN1271" s="59"/>
      <c r="AO1271" s="59"/>
      <c r="AP1271" s="59"/>
      <c r="AQ1271" s="59"/>
      <c r="AR1271" s="59"/>
      <c r="AS1271" s="59"/>
      <c r="AT1271" s="59"/>
      <c r="AU1271" s="59"/>
      <c r="AV1271" s="59"/>
      <c r="AW1271" s="59"/>
    </row>
    <row r="1272" spans="1:49" x14ac:dyDescent="0.25">
      <c r="A1272" s="75">
        <v>42</v>
      </c>
      <c r="B1272" s="75" t="s">
        <v>3563</v>
      </c>
      <c r="C1272" s="56" t="s">
        <v>3517</v>
      </c>
      <c r="D1272" s="56" t="s">
        <v>3518</v>
      </c>
      <c r="E1272" s="121">
        <v>107</v>
      </c>
      <c r="F1272" s="75" t="s">
        <v>3497</v>
      </c>
      <c r="G1272" s="75" t="s">
        <v>3453</v>
      </c>
      <c r="H1272" s="56" t="s">
        <v>3564</v>
      </c>
      <c r="I1272" s="56" t="s">
        <v>55</v>
      </c>
      <c r="J1272" s="56" t="s">
        <v>3455</v>
      </c>
      <c r="K1272" s="57">
        <v>20136500</v>
      </c>
      <c r="L1272" s="57">
        <v>0</v>
      </c>
      <c r="M1272" s="57">
        <f t="shared" si="137"/>
        <v>20136500</v>
      </c>
      <c r="N1272" s="75">
        <v>49</v>
      </c>
      <c r="O1272" s="122">
        <v>43116</v>
      </c>
      <c r="P1272" s="56" t="s">
        <v>3565</v>
      </c>
      <c r="Q1272" s="75">
        <v>148</v>
      </c>
      <c r="R1272" s="75">
        <v>53</v>
      </c>
      <c r="S1272" s="56" t="s">
        <v>3564</v>
      </c>
      <c r="T1272" s="57">
        <v>20136500</v>
      </c>
      <c r="U1272" s="57">
        <v>0</v>
      </c>
      <c r="V1272" s="57">
        <v>0</v>
      </c>
      <c r="W1272" s="57">
        <v>20136500</v>
      </c>
      <c r="X1272" s="57">
        <v>13074133</v>
      </c>
      <c r="Y1272" s="57">
        <v>7062367</v>
      </c>
      <c r="Z1272" s="59"/>
      <c r="AA1272" s="59"/>
      <c r="AB1272" s="59"/>
      <c r="AC1272" s="59"/>
      <c r="AD1272" s="59"/>
      <c r="AE1272" s="59"/>
      <c r="AF1272" s="59"/>
      <c r="AG1272" s="59"/>
      <c r="AH1272" s="59"/>
      <c r="AI1272" s="59"/>
      <c r="AJ1272" s="59"/>
      <c r="AK1272" s="59"/>
      <c r="AL1272" s="59"/>
      <c r="AM1272" s="59"/>
      <c r="AN1272" s="59"/>
      <c r="AO1272" s="59"/>
      <c r="AP1272" s="59"/>
      <c r="AQ1272" s="59"/>
      <c r="AR1272" s="59"/>
      <c r="AS1272" s="59"/>
      <c r="AT1272" s="59"/>
      <c r="AU1272" s="59"/>
      <c r="AV1272" s="59"/>
      <c r="AW1272" s="59"/>
    </row>
    <row r="1273" spans="1:49" x14ac:dyDescent="0.25">
      <c r="A1273" s="75">
        <v>44</v>
      </c>
      <c r="B1273" s="75" t="s">
        <v>3566</v>
      </c>
      <c r="C1273" s="56" t="s">
        <v>3517</v>
      </c>
      <c r="D1273" s="56" t="s">
        <v>3518</v>
      </c>
      <c r="E1273" s="121">
        <v>105</v>
      </c>
      <c r="F1273" s="75" t="s">
        <v>3497</v>
      </c>
      <c r="G1273" s="75" t="s">
        <v>3453</v>
      </c>
      <c r="H1273" s="56" t="s">
        <v>3567</v>
      </c>
      <c r="I1273" s="56" t="s">
        <v>55</v>
      </c>
      <c r="J1273" s="56" t="s">
        <v>3455</v>
      </c>
      <c r="K1273" s="57">
        <v>20136500</v>
      </c>
      <c r="L1273" s="57">
        <v>0</v>
      </c>
      <c r="M1273" s="57">
        <f t="shared" si="137"/>
        <v>20136500</v>
      </c>
      <c r="N1273" s="75">
        <v>70</v>
      </c>
      <c r="O1273" s="122">
        <v>43116</v>
      </c>
      <c r="P1273" s="56" t="s">
        <v>3568</v>
      </c>
      <c r="Q1273" s="75">
        <v>148</v>
      </c>
      <c r="R1273" s="75">
        <v>56</v>
      </c>
      <c r="S1273" s="56" t="s">
        <v>3567</v>
      </c>
      <c r="T1273" s="57">
        <v>20136500</v>
      </c>
      <c r="U1273" s="57">
        <v>0</v>
      </c>
      <c r="V1273" s="57">
        <v>0</v>
      </c>
      <c r="W1273" s="57">
        <v>20136500</v>
      </c>
      <c r="X1273" s="57">
        <v>13074133</v>
      </c>
      <c r="Y1273" s="57">
        <v>7062367</v>
      </c>
      <c r="Z1273" s="59"/>
      <c r="AA1273" s="59"/>
      <c r="AB1273" s="59"/>
      <c r="AC1273" s="59"/>
      <c r="AD1273" s="59"/>
      <c r="AE1273" s="59"/>
      <c r="AF1273" s="59"/>
      <c r="AG1273" s="59"/>
      <c r="AH1273" s="59"/>
      <c r="AI1273" s="59"/>
      <c r="AJ1273" s="59"/>
      <c r="AK1273" s="59"/>
      <c r="AL1273" s="59"/>
      <c r="AM1273" s="59"/>
      <c r="AN1273" s="59"/>
      <c r="AO1273" s="59"/>
      <c r="AP1273" s="59"/>
      <c r="AQ1273" s="59"/>
      <c r="AR1273" s="59"/>
      <c r="AS1273" s="59"/>
      <c r="AT1273" s="59"/>
      <c r="AU1273" s="59"/>
      <c r="AV1273" s="59"/>
      <c r="AW1273" s="59"/>
    </row>
    <row r="1274" spans="1:49" x14ac:dyDescent="0.25">
      <c r="A1274" s="75">
        <v>2</v>
      </c>
      <c r="B1274" s="75" t="s">
        <v>3569</v>
      </c>
      <c r="C1274" s="56" t="s">
        <v>3450</v>
      </c>
      <c r="D1274" s="56" t="s">
        <v>3451</v>
      </c>
      <c r="E1274" s="121">
        <v>315</v>
      </c>
      <c r="F1274" s="75" t="s">
        <v>3570</v>
      </c>
      <c r="G1274" s="75" t="s">
        <v>3453</v>
      </c>
      <c r="H1274" s="56" t="s">
        <v>3571</v>
      </c>
      <c r="I1274" s="56" t="s">
        <v>55</v>
      </c>
      <c r="J1274" s="56" t="s">
        <v>3455</v>
      </c>
      <c r="K1274" s="57">
        <v>40865250</v>
      </c>
      <c r="L1274" s="57">
        <v>0</v>
      </c>
      <c r="M1274" s="57">
        <f t="shared" si="137"/>
        <v>40865250</v>
      </c>
      <c r="N1274" s="75">
        <v>164</v>
      </c>
      <c r="O1274" s="122">
        <v>43118</v>
      </c>
      <c r="P1274" s="56" t="s">
        <v>3572</v>
      </c>
      <c r="Q1274" s="75">
        <v>145</v>
      </c>
      <c r="R1274" s="75">
        <v>122</v>
      </c>
      <c r="S1274" s="56" t="s">
        <v>3571</v>
      </c>
      <c r="T1274" s="57">
        <v>40865250</v>
      </c>
      <c r="U1274" s="57">
        <v>0</v>
      </c>
      <c r="V1274" s="57">
        <v>0</v>
      </c>
      <c r="W1274" s="57">
        <v>40865250</v>
      </c>
      <c r="X1274" s="57">
        <v>26414350</v>
      </c>
      <c r="Y1274" s="57">
        <v>14450900</v>
      </c>
      <c r="Z1274" s="59"/>
      <c r="AA1274" s="59"/>
      <c r="AB1274" s="59"/>
      <c r="AC1274" s="59"/>
      <c r="AD1274" s="59"/>
      <c r="AE1274" s="59"/>
      <c r="AF1274" s="59"/>
      <c r="AG1274" s="59"/>
      <c r="AH1274" s="59"/>
      <c r="AI1274" s="59"/>
      <c r="AJ1274" s="59"/>
      <c r="AK1274" s="59"/>
      <c r="AL1274" s="59"/>
      <c r="AM1274" s="59"/>
      <c r="AN1274" s="59"/>
      <c r="AO1274" s="59"/>
      <c r="AP1274" s="59"/>
      <c r="AQ1274" s="59"/>
      <c r="AR1274" s="59"/>
      <c r="AS1274" s="59"/>
      <c r="AT1274" s="59"/>
      <c r="AU1274" s="59"/>
      <c r="AV1274" s="59"/>
      <c r="AW1274" s="59"/>
    </row>
    <row r="1275" spans="1:49" x14ac:dyDescent="0.25">
      <c r="A1275" s="75">
        <v>9</v>
      </c>
      <c r="B1275" s="75" t="s">
        <v>3573</v>
      </c>
      <c r="C1275" s="56" t="s">
        <v>3450</v>
      </c>
      <c r="D1275" s="56" t="s">
        <v>3451</v>
      </c>
      <c r="E1275" s="121">
        <v>484</v>
      </c>
      <c r="F1275" s="75" t="s">
        <v>3574</v>
      </c>
      <c r="G1275" s="75" t="s">
        <v>3453</v>
      </c>
      <c r="H1275" s="56" t="s">
        <v>3575</v>
      </c>
      <c r="I1275" s="56" t="s">
        <v>55</v>
      </c>
      <c r="J1275" s="56" t="s">
        <v>3455</v>
      </c>
      <c r="K1275" s="57">
        <v>40865250</v>
      </c>
      <c r="L1275" s="57">
        <v>0</v>
      </c>
      <c r="M1275" s="57">
        <f t="shared" si="137"/>
        <v>40865250</v>
      </c>
      <c r="N1275" s="75">
        <v>112</v>
      </c>
      <c r="O1275" s="122">
        <v>43117</v>
      </c>
      <c r="P1275" s="56" t="s">
        <v>3576</v>
      </c>
      <c r="Q1275" s="75">
        <v>145</v>
      </c>
      <c r="R1275" s="75">
        <v>105</v>
      </c>
      <c r="S1275" s="56" t="s">
        <v>3575</v>
      </c>
      <c r="T1275" s="57">
        <v>40865250</v>
      </c>
      <c r="U1275" s="57">
        <v>0</v>
      </c>
      <c r="V1275" s="57">
        <v>0</v>
      </c>
      <c r="W1275" s="57">
        <v>40865250</v>
      </c>
      <c r="X1275" s="57">
        <v>26532800</v>
      </c>
      <c r="Y1275" s="57">
        <v>14332450</v>
      </c>
      <c r="Z1275" s="59"/>
      <c r="AA1275" s="59"/>
      <c r="AB1275" s="59"/>
      <c r="AC1275" s="59"/>
      <c r="AD1275" s="59"/>
      <c r="AE1275" s="59"/>
      <c r="AF1275" s="59"/>
      <c r="AG1275" s="59"/>
      <c r="AH1275" s="59"/>
      <c r="AI1275" s="59"/>
      <c r="AJ1275" s="59"/>
      <c r="AK1275" s="59"/>
      <c r="AL1275" s="59"/>
      <c r="AM1275" s="59"/>
      <c r="AN1275" s="59"/>
      <c r="AO1275" s="59"/>
      <c r="AP1275" s="59"/>
      <c r="AQ1275" s="59"/>
      <c r="AR1275" s="59"/>
      <c r="AS1275" s="59"/>
      <c r="AT1275" s="59"/>
      <c r="AU1275" s="59"/>
      <c r="AV1275" s="59"/>
      <c r="AW1275" s="59"/>
    </row>
    <row r="1276" spans="1:49" x14ac:dyDescent="0.25">
      <c r="A1276" s="22">
        <v>43</v>
      </c>
      <c r="B1276" s="18" t="s">
        <v>3577</v>
      </c>
      <c r="C1276" s="15" t="s">
        <v>3517</v>
      </c>
      <c r="D1276" s="15" t="s">
        <v>3518</v>
      </c>
      <c r="E1276" s="19">
        <v>436</v>
      </c>
      <c r="F1276" s="18" t="s">
        <v>3578</v>
      </c>
      <c r="G1276" s="18" t="s">
        <v>3453</v>
      </c>
      <c r="H1276" s="15" t="s">
        <v>3579</v>
      </c>
      <c r="I1276" s="15" t="s">
        <v>55</v>
      </c>
      <c r="J1276" s="15" t="s">
        <v>3455</v>
      </c>
      <c r="K1276" s="14">
        <v>28428000</v>
      </c>
      <c r="L1276" s="14">
        <v>0</v>
      </c>
      <c r="M1276" s="14">
        <f t="shared" si="137"/>
        <v>28428000</v>
      </c>
      <c r="N1276" s="18">
        <v>55</v>
      </c>
      <c r="O1276" s="20">
        <v>43116</v>
      </c>
      <c r="P1276" s="15" t="s">
        <v>3580</v>
      </c>
      <c r="Q1276" s="18">
        <v>148</v>
      </c>
      <c r="R1276" s="18">
        <v>40</v>
      </c>
      <c r="S1276" s="15" t="s">
        <v>3579</v>
      </c>
      <c r="T1276" s="14">
        <v>28428000</v>
      </c>
      <c r="U1276" s="14">
        <v>0</v>
      </c>
      <c r="V1276" s="14">
        <v>0</v>
      </c>
      <c r="W1276" s="14">
        <v>28428000</v>
      </c>
      <c r="X1276" s="14">
        <v>18457600</v>
      </c>
      <c r="Y1276" s="14">
        <v>9970400</v>
      </c>
    </row>
    <row r="1277" spans="1:49" x14ac:dyDescent="0.25">
      <c r="A1277" s="22">
        <v>16</v>
      </c>
      <c r="B1277" s="18" t="s">
        <v>3581</v>
      </c>
      <c r="C1277" s="15" t="s">
        <v>3450</v>
      </c>
      <c r="D1277" s="15" t="s">
        <v>3451</v>
      </c>
      <c r="E1277" s="19">
        <v>524</v>
      </c>
      <c r="F1277" s="18" t="s">
        <v>3582</v>
      </c>
      <c r="G1277" s="18" t="s">
        <v>3453</v>
      </c>
      <c r="H1277" s="15" t="s">
        <v>3583</v>
      </c>
      <c r="I1277" s="15" t="s">
        <v>55</v>
      </c>
      <c r="J1277" s="15" t="s">
        <v>3455</v>
      </c>
      <c r="K1277" s="14">
        <v>68425000</v>
      </c>
      <c r="L1277" s="14">
        <v>0</v>
      </c>
      <c r="M1277" s="14">
        <f t="shared" si="137"/>
        <v>68425000</v>
      </c>
      <c r="N1277" s="18">
        <v>308</v>
      </c>
      <c r="O1277" s="20">
        <v>43122</v>
      </c>
      <c r="P1277" s="15" t="s">
        <v>1340</v>
      </c>
      <c r="Q1277" s="18">
        <v>145</v>
      </c>
      <c r="R1277" s="18">
        <v>280</v>
      </c>
      <c r="S1277" s="15" t="s">
        <v>3583</v>
      </c>
      <c r="T1277" s="14">
        <v>68425000</v>
      </c>
      <c r="U1277" s="14">
        <v>0</v>
      </c>
      <c r="V1277" s="14">
        <v>0</v>
      </c>
      <c r="W1277" s="14">
        <v>68425000</v>
      </c>
      <c r="X1277" s="14">
        <v>40063333</v>
      </c>
      <c r="Y1277" s="14">
        <v>28361667</v>
      </c>
    </row>
    <row r="1278" spans="1:49" x14ac:dyDescent="0.25">
      <c r="A1278" s="18">
        <v>83</v>
      </c>
      <c r="B1278" s="18" t="s">
        <v>3584</v>
      </c>
      <c r="C1278" s="15" t="s">
        <v>3585</v>
      </c>
      <c r="D1278" s="15" t="s">
        <v>3586</v>
      </c>
      <c r="E1278" s="19">
        <v>522</v>
      </c>
      <c r="F1278" s="18" t="s">
        <v>3582</v>
      </c>
      <c r="G1278" s="18" t="s">
        <v>3453</v>
      </c>
      <c r="H1278" s="15" t="s">
        <v>3587</v>
      </c>
      <c r="I1278" s="15" t="s">
        <v>55</v>
      </c>
      <c r="J1278" s="15" t="s">
        <v>3455</v>
      </c>
      <c r="K1278" s="14">
        <v>747183</v>
      </c>
      <c r="L1278" s="14">
        <v>0</v>
      </c>
      <c r="M1278" s="14">
        <f t="shared" si="137"/>
        <v>747183</v>
      </c>
      <c r="N1278" s="18">
        <v>307</v>
      </c>
      <c r="O1278" s="20">
        <v>43122</v>
      </c>
      <c r="P1278" s="15" t="s">
        <v>3588</v>
      </c>
      <c r="Q1278" s="18">
        <v>28</v>
      </c>
      <c r="R1278" s="18">
        <v>565515</v>
      </c>
      <c r="S1278" s="15" t="s">
        <v>3589</v>
      </c>
      <c r="T1278" s="14">
        <v>747183</v>
      </c>
      <c r="U1278" s="14">
        <v>0</v>
      </c>
      <c r="V1278" s="14">
        <v>0</v>
      </c>
      <c r="W1278" s="14">
        <v>747183</v>
      </c>
      <c r="X1278" s="14">
        <v>747183</v>
      </c>
      <c r="Y1278" s="14">
        <v>0</v>
      </c>
    </row>
    <row r="1279" spans="1:49" x14ac:dyDescent="0.25">
      <c r="A1279" s="22">
        <v>64</v>
      </c>
      <c r="B1279" s="18" t="s">
        <v>3590</v>
      </c>
      <c r="C1279" s="15" t="s">
        <v>3585</v>
      </c>
      <c r="D1279" s="15" t="s">
        <v>3586</v>
      </c>
      <c r="E1279" s="19">
        <v>521</v>
      </c>
      <c r="F1279" s="18" t="s">
        <v>3582</v>
      </c>
      <c r="G1279" s="18" t="s">
        <v>3453</v>
      </c>
      <c r="H1279" s="15" t="s">
        <v>3591</v>
      </c>
      <c r="I1279" s="15" t="s">
        <v>55</v>
      </c>
      <c r="J1279" s="15" t="s">
        <v>3455</v>
      </c>
      <c r="K1279" s="14">
        <v>11865600</v>
      </c>
      <c r="L1279" s="14">
        <v>0</v>
      </c>
      <c r="M1279" s="14">
        <f t="shared" si="137"/>
        <v>11865600</v>
      </c>
      <c r="N1279" s="18">
        <v>488</v>
      </c>
      <c r="O1279" s="20">
        <v>43126</v>
      </c>
      <c r="P1279" s="15" t="s">
        <v>3592</v>
      </c>
      <c r="Q1279" s="18">
        <v>28</v>
      </c>
      <c r="R1279" s="18">
        <v>43506</v>
      </c>
      <c r="S1279" s="15" t="s">
        <v>3593</v>
      </c>
      <c r="T1279" s="14">
        <v>654012</v>
      </c>
      <c r="U1279" s="14">
        <v>0</v>
      </c>
      <c r="V1279" s="14">
        <v>0</v>
      </c>
      <c r="W1279" s="14">
        <v>654012</v>
      </c>
      <c r="X1279" s="14">
        <v>654012</v>
      </c>
      <c r="Y1279" s="14">
        <v>0</v>
      </c>
    </row>
    <row r="1280" spans="1:49" x14ac:dyDescent="0.25">
      <c r="A1280" s="22">
        <v>64</v>
      </c>
      <c r="B1280" s="18"/>
      <c r="C1280" s="15"/>
      <c r="D1280" s="15"/>
      <c r="E1280" s="19"/>
      <c r="F1280" s="18"/>
      <c r="G1280" s="18"/>
      <c r="H1280" s="15"/>
      <c r="I1280" s="15"/>
      <c r="J1280" s="15"/>
      <c r="K1280" s="14"/>
      <c r="L1280" s="14"/>
      <c r="M1280" s="14"/>
      <c r="N1280" s="18">
        <v>1467</v>
      </c>
      <c r="O1280" s="20">
        <v>43154</v>
      </c>
      <c r="P1280" s="15" t="s">
        <v>3592</v>
      </c>
      <c r="Q1280" s="18">
        <v>28</v>
      </c>
      <c r="R1280" s="18">
        <v>16154</v>
      </c>
      <c r="S1280" s="15" t="s">
        <v>3594</v>
      </c>
      <c r="T1280" s="14">
        <v>655108</v>
      </c>
      <c r="U1280" s="14">
        <v>0</v>
      </c>
      <c r="V1280" s="14">
        <v>0</v>
      </c>
      <c r="W1280" s="14">
        <v>655108</v>
      </c>
      <c r="X1280" s="14">
        <v>655108</v>
      </c>
      <c r="Y1280" s="14">
        <v>0</v>
      </c>
    </row>
    <row r="1281" spans="1:25" x14ac:dyDescent="0.25">
      <c r="A1281" s="22">
        <v>64</v>
      </c>
      <c r="B1281" s="18"/>
      <c r="C1281" s="15"/>
      <c r="D1281" s="15"/>
      <c r="E1281" s="19"/>
      <c r="F1281" s="18"/>
      <c r="G1281" s="18"/>
      <c r="H1281" s="15"/>
      <c r="I1281" s="15"/>
      <c r="J1281" s="15"/>
      <c r="K1281" s="14"/>
      <c r="L1281" s="14"/>
      <c r="M1281" s="14"/>
      <c r="N1281" s="18">
        <v>1659</v>
      </c>
      <c r="O1281" s="20">
        <v>43185</v>
      </c>
      <c r="P1281" s="15" t="s">
        <v>3592</v>
      </c>
      <c r="Q1281" s="18">
        <v>28</v>
      </c>
      <c r="R1281" s="18">
        <v>11910</v>
      </c>
      <c r="S1281" s="15" t="s">
        <v>3595</v>
      </c>
      <c r="T1281" s="14">
        <v>654012</v>
      </c>
      <c r="U1281" s="14">
        <v>0</v>
      </c>
      <c r="V1281" s="14">
        <v>0</v>
      </c>
      <c r="W1281" s="14">
        <v>654012</v>
      </c>
      <c r="X1281" s="14">
        <v>654012</v>
      </c>
      <c r="Y1281" s="14">
        <v>0</v>
      </c>
    </row>
    <row r="1282" spans="1:25" x14ac:dyDescent="0.25">
      <c r="A1282" s="22">
        <v>64</v>
      </c>
      <c r="B1282" s="18"/>
      <c r="C1282" s="15"/>
      <c r="D1282" s="15"/>
      <c r="E1282" s="19"/>
      <c r="F1282" s="18"/>
      <c r="G1282" s="18"/>
      <c r="H1282" s="15"/>
      <c r="I1282" s="15"/>
      <c r="J1282" s="15"/>
      <c r="K1282" s="14"/>
      <c r="L1282" s="14"/>
      <c r="M1282" s="14"/>
      <c r="N1282" s="18">
        <v>1847</v>
      </c>
      <c r="O1282" s="20">
        <v>43217</v>
      </c>
      <c r="P1282" s="15" t="s">
        <v>3592</v>
      </c>
      <c r="Q1282" s="18">
        <v>28</v>
      </c>
      <c r="R1282" s="18">
        <v>493615</v>
      </c>
      <c r="S1282" s="15" t="s">
        <v>3596</v>
      </c>
      <c r="T1282" s="14">
        <v>654012</v>
      </c>
      <c r="U1282" s="14">
        <v>0</v>
      </c>
      <c r="V1282" s="14">
        <v>0</v>
      </c>
      <c r="W1282" s="14">
        <v>654012</v>
      </c>
      <c r="X1282" s="14">
        <v>654012</v>
      </c>
      <c r="Y1282" s="14">
        <v>0</v>
      </c>
    </row>
    <row r="1283" spans="1:25" x14ac:dyDescent="0.25">
      <c r="A1283" s="22">
        <v>64</v>
      </c>
      <c r="B1283" s="18"/>
      <c r="C1283" s="15"/>
      <c r="D1283" s="15"/>
      <c r="E1283" s="19"/>
      <c r="F1283" s="18"/>
      <c r="G1283" s="18"/>
      <c r="H1283" s="15"/>
      <c r="I1283" s="15"/>
      <c r="J1283" s="15"/>
      <c r="K1283" s="14"/>
      <c r="L1283" s="14"/>
      <c r="M1283" s="14"/>
      <c r="N1283" s="18">
        <v>1958</v>
      </c>
      <c r="O1283" s="20">
        <v>43249</v>
      </c>
      <c r="P1283" s="15" t="s">
        <v>3592</v>
      </c>
      <c r="Q1283" s="18">
        <v>28</v>
      </c>
      <c r="R1283" s="18">
        <v>287285</v>
      </c>
      <c r="S1283" s="15" t="s">
        <v>3597</v>
      </c>
      <c r="T1283" s="14">
        <v>654012</v>
      </c>
      <c r="U1283" s="14">
        <v>0</v>
      </c>
      <c r="V1283" s="14">
        <v>0</v>
      </c>
      <c r="W1283" s="14">
        <v>654012</v>
      </c>
      <c r="X1283" s="14">
        <v>654012</v>
      </c>
      <c r="Y1283" s="14">
        <v>0</v>
      </c>
    </row>
    <row r="1284" spans="1:25" x14ac:dyDescent="0.25">
      <c r="A1284" s="22">
        <v>64</v>
      </c>
      <c r="B1284" s="18"/>
      <c r="C1284" s="15"/>
      <c r="D1284" s="15"/>
      <c r="E1284" s="19"/>
      <c r="F1284" s="18"/>
      <c r="G1284" s="18"/>
      <c r="H1284" s="15"/>
      <c r="I1284" s="15"/>
      <c r="J1284" s="15"/>
      <c r="K1284" s="14"/>
      <c r="L1284" s="14"/>
      <c r="M1284" s="14"/>
      <c r="N1284" s="18">
        <v>2146</v>
      </c>
      <c r="O1284" s="20">
        <v>43277</v>
      </c>
      <c r="P1284" s="15" t="s">
        <v>3592</v>
      </c>
      <c r="Q1284" s="18">
        <v>28</v>
      </c>
      <c r="R1284" s="18">
        <v>8061701</v>
      </c>
      <c r="S1284" s="15" t="s">
        <v>3598</v>
      </c>
      <c r="T1284" s="14">
        <v>654012</v>
      </c>
      <c r="U1284" s="14">
        <v>0</v>
      </c>
      <c r="V1284" s="14">
        <v>0</v>
      </c>
      <c r="W1284" s="14">
        <v>654012</v>
      </c>
      <c r="X1284" s="14">
        <v>654012</v>
      </c>
      <c r="Y1284" s="14">
        <v>0</v>
      </c>
    </row>
    <row r="1285" spans="1:25" x14ac:dyDescent="0.25">
      <c r="A1285" s="22">
        <v>64</v>
      </c>
      <c r="B1285" s="18"/>
      <c r="C1285" s="15"/>
      <c r="D1285" s="15"/>
      <c r="E1285" s="19"/>
      <c r="F1285" s="18"/>
      <c r="G1285" s="18"/>
      <c r="H1285" s="15"/>
      <c r="I1285" s="15"/>
      <c r="J1285" s="15"/>
      <c r="K1285" s="14"/>
      <c r="L1285" s="14"/>
      <c r="M1285" s="14"/>
      <c r="N1285" s="18">
        <v>2532</v>
      </c>
      <c r="O1285" s="20">
        <v>43305</v>
      </c>
      <c r="P1285" s="15" t="s">
        <v>3592</v>
      </c>
      <c r="Q1285" s="18">
        <v>28</v>
      </c>
      <c r="R1285" s="18">
        <v>841394</v>
      </c>
      <c r="S1285" s="15" t="s">
        <v>3599</v>
      </c>
      <c r="T1285" s="14">
        <v>692722</v>
      </c>
      <c r="U1285" s="14">
        <v>0</v>
      </c>
      <c r="V1285" s="14">
        <v>0</v>
      </c>
      <c r="W1285" s="14">
        <v>692722</v>
      </c>
      <c r="X1285" s="14">
        <v>692722</v>
      </c>
      <c r="Y1285" s="14">
        <v>0</v>
      </c>
    </row>
    <row r="1286" spans="1:25" x14ac:dyDescent="0.25">
      <c r="A1286" s="22">
        <v>64</v>
      </c>
      <c r="B1286" s="18"/>
      <c r="C1286" s="15"/>
      <c r="D1286" s="15"/>
      <c r="E1286" s="19"/>
      <c r="F1286" s="18"/>
      <c r="G1286" s="18"/>
      <c r="H1286" s="15"/>
      <c r="I1286" s="15"/>
      <c r="J1286" s="15"/>
      <c r="K1286" s="14"/>
      <c r="L1286" s="14"/>
      <c r="M1286" s="14"/>
      <c r="N1286" s="18">
        <v>2750</v>
      </c>
      <c r="O1286" s="20">
        <v>43336</v>
      </c>
      <c r="P1286" s="15" t="s">
        <v>3592</v>
      </c>
      <c r="Q1286" s="18">
        <v>28</v>
      </c>
      <c r="R1286" s="18">
        <v>652520</v>
      </c>
      <c r="S1286" s="15" t="s">
        <v>3600</v>
      </c>
      <c r="T1286" s="14">
        <v>692357</v>
      </c>
      <c r="U1286" s="14">
        <v>692357</v>
      </c>
      <c r="V1286" s="14">
        <v>0</v>
      </c>
      <c r="W1286" s="14">
        <v>0</v>
      </c>
      <c r="X1286" s="14">
        <v>0</v>
      </c>
      <c r="Y1286" s="14">
        <v>0</v>
      </c>
    </row>
    <row r="1287" spans="1:25" x14ac:dyDescent="0.25">
      <c r="A1287" s="22">
        <v>64</v>
      </c>
      <c r="B1287" s="18"/>
      <c r="C1287" s="15"/>
      <c r="D1287" s="15"/>
      <c r="E1287" s="19"/>
      <c r="F1287" s="18"/>
      <c r="G1287" s="18"/>
      <c r="H1287" s="15"/>
      <c r="I1287" s="15"/>
      <c r="J1287" s="15"/>
      <c r="K1287" s="14"/>
      <c r="L1287" s="14"/>
      <c r="M1287" s="14"/>
      <c r="N1287" s="18">
        <v>2751</v>
      </c>
      <c r="O1287" s="20">
        <v>43336</v>
      </c>
      <c r="P1287" s="15" t="s">
        <v>3592</v>
      </c>
      <c r="Q1287" s="18">
        <v>28</v>
      </c>
      <c r="R1287" s="18">
        <v>652520</v>
      </c>
      <c r="S1287" s="15" t="s">
        <v>3600</v>
      </c>
      <c r="T1287" s="14">
        <v>692357</v>
      </c>
      <c r="U1287" s="14">
        <v>692357</v>
      </c>
      <c r="V1287" s="14">
        <v>0</v>
      </c>
      <c r="W1287" s="14">
        <v>0</v>
      </c>
      <c r="X1287" s="14">
        <v>0</v>
      </c>
      <c r="Y1287" s="14">
        <v>0</v>
      </c>
    </row>
    <row r="1288" spans="1:25" x14ac:dyDescent="0.25">
      <c r="A1288" s="22">
        <v>64</v>
      </c>
      <c r="B1288" s="18"/>
      <c r="C1288" s="15"/>
      <c r="D1288" s="15"/>
      <c r="E1288" s="19"/>
      <c r="F1288" s="18"/>
      <c r="G1288" s="18"/>
      <c r="H1288" s="15"/>
      <c r="I1288" s="15"/>
      <c r="J1288" s="15"/>
      <c r="K1288" s="14"/>
      <c r="L1288" s="14"/>
      <c r="M1288" s="14"/>
      <c r="N1288" s="18">
        <v>2753</v>
      </c>
      <c r="O1288" s="20">
        <v>43339</v>
      </c>
      <c r="P1288" s="15" t="s">
        <v>3592</v>
      </c>
      <c r="Q1288" s="18">
        <v>28</v>
      </c>
      <c r="R1288" s="18">
        <v>652520</v>
      </c>
      <c r="S1288" s="15" t="s">
        <v>3600</v>
      </c>
      <c r="T1288" s="14">
        <v>692357</v>
      </c>
      <c r="U1288" s="14">
        <v>0</v>
      </c>
      <c r="V1288" s="14">
        <v>0</v>
      </c>
      <c r="W1288" s="14">
        <v>692357</v>
      </c>
      <c r="X1288" s="14">
        <v>692357</v>
      </c>
      <c r="Y1288" s="14">
        <v>0</v>
      </c>
    </row>
    <row r="1289" spans="1:25" x14ac:dyDescent="0.25">
      <c r="A1289" s="22">
        <v>64</v>
      </c>
      <c r="B1289" s="18"/>
      <c r="C1289" s="15"/>
      <c r="D1289" s="15"/>
      <c r="E1289" s="19"/>
      <c r="F1289" s="18"/>
      <c r="G1289" s="18"/>
      <c r="H1289" s="15"/>
      <c r="I1289" s="15"/>
      <c r="J1289" s="15"/>
      <c r="K1289" s="14"/>
      <c r="L1289" s="14"/>
      <c r="M1289" s="14"/>
      <c r="N1289" s="18">
        <v>2929</v>
      </c>
      <c r="O1289" s="20">
        <v>43369</v>
      </c>
      <c r="P1289" s="15" t="s">
        <v>3592</v>
      </c>
      <c r="Q1289" s="18">
        <v>28</v>
      </c>
      <c r="R1289" s="18">
        <v>263340</v>
      </c>
      <c r="S1289" s="15" t="s">
        <v>3601</v>
      </c>
      <c r="T1289" s="14">
        <v>287453</v>
      </c>
      <c r="U1289" s="14">
        <v>0</v>
      </c>
      <c r="V1289" s="14">
        <v>0</v>
      </c>
      <c r="W1289" s="14">
        <v>287453</v>
      </c>
      <c r="X1289" s="14">
        <v>0</v>
      </c>
      <c r="Y1289" s="14">
        <v>287453</v>
      </c>
    </row>
    <row r="1290" spans="1:25" x14ac:dyDescent="0.25">
      <c r="A1290" s="22">
        <v>60</v>
      </c>
      <c r="B1290" s="18" t="s">
        <v>3602</v>
      </c>
      <c r="C1290" s="15" t="s">
        <v>3603</v>
      </c>
      <c r="D1290" s="15" t="s">
        <v>3604</v>
      </c>
      <c r="E1290" s="19">
        <v>548</v>
      </c>
      <c r="F1290" s="18" t="s">
        <v>3605</v>
      </c>
      <c r="G1290" s="18" t="s">
        <v>3453</v>
      </c>
      <c r="H1290" s="15" t="s">
        <v>3606</v>
      </c>
      <c r="I1290" s="15" t="s">
        <v>55</v>
      </c>
      <c r="J1290" s="15" t="s">
        <v>3455</v>
      </c>
      <c r="K1290" s="23">
        <v>8000000</v>
      </c>
      <c r="L1290" s="23">
        <v>0</v>
      </c>
      <c r="M1290" s="23">
        <f>K1290-L1290</f>
        <v>8000000</v>
      </c>
      <c r="N1290" s="18">
        <v>1585</v>
      </c>
      <c r="O1290" s="20">
        <v>43174</v>
      </c>
      <c r="P1290" s="15" t="s">
        <v>737</v>
      </c>
      <c r="Q1290" s="18">
        <v>27</v>
      </c>
      <c r="R1290" s="18">
        <v>2</v>
      </c>
      <c r="S1290" s="15" t="s">
        <v>3607</v>
      </c>
      <c r="T1290" s="14">
        <v>114900</v>
      </c>
      <c r="U1290" s="14">
        <v>0</v>
      </c>
      <c r="V1290" s="14">
        <v>0</v>
      </c>
      <c r="W1290" s="14">
        <v>114900</v>
      </c>
      <c r="X1290" s="14">
        <v>114900</v>
      </c>
      <c r="Y1290" s="14">
        <v>0</v>
      </c>
    </row>
    <row r="1291" spans="1:25" x14ac:dyDescent="0.25">
      <c r="A1291" s="22">
        <v>60</v>
      </c>
      <c r="B1291" s="18"/>
      <c r="C1291" s="15"/>
      <c r="D1291" s="15"/>
      <c r="E1291" s="19"/>
      <c r="F1291" s="18"/>
      <c r="G1291" s="18"/>
      <c r="H1291" s="15"/>
      <c r="I1291" s="15"/>
      <c r="J1291" s="15"/>
      <c r="K1291" s="23"/>
      <c r="L1291" s="23"/>
      <c r="M1291" s="23"/>
      <c r="N1291" s="18">
        <v>1820</v>
      </c>
      <c r="O1291" s="20">
        <v>43209</v>
      </c>
      <c r="P1291" s="15" t="s">
        <v>737</v>
      </c>
      <c r="Q1291" s="18">
        <v>27</v>
      </c>
      <c r="R1291" s="18">
        <v>3</v>
      </c>
      <c r="S1291" s="15" t="s">
        <v>3608</v>
      </c>
      <c r="T1291" s="14">
        <v>106000</v>
      </c>
      <c r="U1291" s="14">
        <v>0</v>
      </c>
      <c r="V1291" s="14">
        <v>0</v>
      </c>
      <c r="W1291" s="14">
        <v>106000</v>
      </c>
      <c r="X1291" s="14">
        <v>106000</v>
      </c>
      <c r="Y1291" s="14">
        <v>0</v>
      </c>
    </row>
    <row r="1292" spans="1:25" x14ac:dyDescent="0.25">
      <c r="A1292" s="22">
        <v>60</v>
      </c>
      <c r="B1292" s="18"/>
      <c r="C1292" s="15"/>
      <c r="D1292" s="15"/>
      <c r="E1292" s="19"/>
      <c r="F1292" s="18"/>
      <c r="G1292" s="18"/>
      <c r="H1292" s="15"/>
      <c r="I1292" s="15"/>
      <c r="J1292" s="15"/>
      <c r="K1292" s="23"/>
      <c r="L1292" s="23"/>
      <c r="M1292" s="23"/>
      <c r="N1292" s="18">
        <v>1897</v>
      </c>
      <c r="O1292" s="20">
        <v>43231</v>
      </c>
      <c r="P1292" s="15" t="s">
        <v>737</v>
      </c>
      <c r="Q1292" s="18">
        <v>27</v>
      </c>
      <c r="R1292" s="18">
        <v>4</v>
      </c>
      <c r="S1292" s="15" t="s">
        <v>3609</v>
      </c>
      <c r="T1292" s="14">
        <v>13200</v>
      </c>
      <c r="U1292" s="14">
        <v>0</v>
      </c>
      <c r="V1292" s="14">
        <v>0</v>
      </c>
      <c r="W1292" s="14">
        <v>13200</v>
      </c>
      <c r="X1292" s="14">
        <v>13200</v>
      </c>
      <c r="Y1292" s="14">
        <v>0</v>
      </c>
    </row>
    <row r="1293" spans="1:25" x14ac:dyDescent="0.25">
      <c r="A1293" s="22">
        <v>60</v>
      </c>
      <c r="B1293" s="18"/>
      <c r="C1293" s="15"/>
      <c r="D1293" s="15"/>
      <c r="E1293" s="19"/>
      <c r="F1293" s="18"/>
      <c r="G1293" s="18"/>
      <c r="H1293" s="15"/>
      <c r="I1293" s="15"/>
      <c r="J1293" s="15"/>
      <c r="K1293" s="23"/>
      <c r="L1293" s="23"/>
      <c r="M1293" s="23"/>
      <c r="N1293" s="18">
        <v>2042</v>
      </c>
      <c r="O1293" s="20">
        <v>43271</v>
      </c>
      <c r="P1293" s="15" t="s">
        <v>737</v>
      </c>
      <c r="Q1293" s="18">
        <v>27</v>
      </c>
      <c r="R1293" s="18">
        <v>5</v>
      </c>
      <c r="S1293" s="15" t="s">
        <v>3610</v>
      </c>
      <c r="T1293" s="14">
        <v>60000</v>
      </c>
      <c r="U1293" s="14">
        <v>0</v>
      </c>
      <c r="V1293" s="14">
        <v>0</v>
      </c>
      <c r="W1293" s="14">
        <v>60000</v>
      </c>
      <c r="X1293" s="14">
        <v>60000</v>
      </c>
      <c r="Y1293" s="14">
        <v>0</v>
      </c>
    </row>
    <row r="1294" spans="1:25" x14ac:dyDescent="0.25">
      <c r="A1294" s="22">
        <v>60</v>
      </c>
      <c r="B1294" s="18"/>
      <c r="C1294" s="15"/>
      <c r="D1294" s="15"/>
      <c r="E1294" s="19"/>
      <c r="F1294" s="18"/>
      <c r="G1294" s="18"/>
      <c r="H1294" s="15"/>
      <c r="I1294" s="15"/>
      <c r="J1294" s="15"/>
      <c r="K1294" s="23"/>
      <c r="L1294" s="23"/>
      <c r="M1294" s="23"/>
      <c r="N1294" s="18">
        <v>2513</v>
      </c>
      <c r="O1294" s="20">
        <v>43300</v>
      </c>
      <c r="P1294" s="15" t="s">
        <v>737</v>
      </c>
      <c r="Q1294" s="18">
        <v>27</v>
      </c>
      <c r="R1294" s="18">
        <v>6</v>
      </c>
      <c r="S1294" s="15" t="s">
        <v>3611</v>
      </c>
      <c r="T1294" s="14">
        <v>22000</v>
      </c>
      <c r="U1294" s="14">
        <v>0</v>
      </c>
      <c r="V1294" s="14">
        <v>0</v>
      </c>
      <c r="W1294" s="14">
        <v>22000</v>
      </c>
      <c r="X1294" s="14">
        <v>22000</v>
      </c>
      <c r="Y1294" s="14">
        <v>0</v>
      </c>
    </row>
    <row r="1295" spans="1:25" x14ac:dyDescent="0.25">
      <c r="A1295" s="22">
        <v>60</v>
      </c>
      <c r="B1295" s="18"/>
      <c r="C1295" s="15"/>
      <c r="D1295" s="15"/>
      <c r="E1295" s="19"/>
      <c r="F1295" s="18"/>
      <c r="G1295" s="18"/>
      <c r="H1295" s="15"/>
      <c r="I1295" s="15"/>
      <c r="J1295" s="15"/>
      <c r="K1295" s="23"/>
      <c r="L1295" s="23"/>
      <c r="M1295" s="23"/>
      <c r="N1295" s="18">
        <v>2717</v>
      </c>
      <c r="O1295" s="20">
        <v>43335</v>
      </c>
      <c r="P1295" s="15" t="s">
        <v>737</v>
      </c>
      <c r="Q1295" s="18">
        <v>27</v>
      </c>
      <c r="R1295" s="18">
        <v>7</v>
      </c>
      <c r="S1295" s="15" t="s">
        <v>3612</v>
      </c>
      <c r="T1295" s="14">
        <v>70686</v>
      </c>
      <c r="U1295" s="14">
        <v>0</v>
      </c>
      <c r="V1295" s="14">
        <v>0</v>
      </c>
      <c r="W1295" s="14">
        <v>70686</v>
      </c>
      <c r="X1295" s="14">
        <v>70686</v>
      </c>
      <c r="Y1295" s="14">
        <v>0</v>
      </c>
    </row>
    <row r="1296" spans="1:25" x14ac:dyDescent="0.25">
      <c r="A1296" s="22">
        <v>65</v>
      </c>
      <c r="B1296" s="18" t="s">
        <v>3613</v>
      </c>
      <c r="C1296" s="15" t="s">
        <v>3585</v>
      </c>
      <c r="D1296" s="15" t="s">
        <v>3586</v>
      </c>
      <c r="E1296" s="19">
        <v>549</v>
      </c>
      <c r="F1296" s="18" t="s">
        <v>3605</v>
      </c>
      <c r="G1296" s="18" t="s">
        <v>3453</v>
      </c>
      <c r="H1296" s="15" t="s">
        <v>3606</v>
      </c>
      <c r="I1296" s="15" t="s">
        <v>55</v>
      </c>
      <c r="J1296" s="15" t="s">
        <v>3455</v>
      </c>
      <c r="K1296" s="14">
        <v>4500000</v>
      </c>
      <c r="L1296" s="14">
        <v>4454800</v>
      </c>
      <c r="M1296" s="14">
        <f>K1296-L1296</f>
        <v>45200</v>
      </c>
      <c r="N1296" s="18">
        <v>1359</v>
      </c>
      <c r="O1296" s="20">
        <v>43146</v>
      </c>
      <c r="P1296" s="15" t="s">
        <v>737</v>
      </c>
      <c r="Q1296" s="18">
        <v>27</v>
      </c>
      <c r="R1296" s="18">
        <v>1</v>
      </c>
      <c r="S1296" s="15" t="s">
        <v>3614</v>
      </c>
      <c r="T1296" s="14">
        <v>45200</v>
      </c>
      <c r="U1296" s="14">
        <v>0</v>
      </c>
      <c r="V1296" s="14">
        <v>0</v>
      </c>
      <c r="W1296" s="14">
        <v>45200</v>
      </c>
      <c r="X1296" s="14">
        <v>45200</v>
      </c>
      <c r="Y1296" s="14">
        <v>0</v>
      </c>
    </row>
    <row r="1297" spans="1:25" x14ac:dyDescent="0.25">
      <c r="A1297" s="18">
        <v>69</v>
      </c>
      <c r="B1297" s="18" t="s">
        <v>3615</v>
      </c>
      <c r="C1297" s="15" t="s">
        <v>3616</v>
      </c>
      <c r="D1297" s="15" t="s">
        <v>3617</v>
      </c>
      <c r="E1297" s="19">
        <v>550</v>
      </c>
      <c r="F1297" s="18" t="s">
        <v>3618</v>
      </c>
      <c r="G1297" s="18" t="s">
        <v>3453</v>
      </c>
      <c r="H1297" s="15" t="s">
        <v>3619</v>
      </c>
      <c r="I1297" s="15" t="s">
        <v>55</v>
      </c>
      <c r="J1297" s="15" t="s">
        <v>3455</v>
      </c>
      <c r="K1297" s="14">
        <v>8000000</v>
      </c>
      <c r="L1297" s="14">
        <v>3612912</v>
      </c>
      <c r="M1297" s="14">
        <f>K1297-L1297</f>
        <v>4387088</v>
      </c>
      <c r="N1297" s="18">
        <v>1586</v>
      </c>
      <c r="O1297" s="20">
        <v>43174</v>
      </c>
      <c r="P1297" s="15" t="s">
        <v>737</v>
      </c>
      <c r="Q1297" s="18">
        <v>27</v>
      </c>
      <c r="R1297" s="18">
        <v>2</v>
      </c>
      <c r="S1297" s="15" t="s">
        <v>3607</v>
      </c>
      <c r="T1297" s="14">
        <v>120000</v>
      </c>
      <c r="U1297" s="14">
        <v>0</v>
      </c>
      <c r="V1297" s="14">
        <v>0</v>
      </c>
      <c r="W1297" s="14">
        <v>120000</v>
      </c>
      <c r="X1297" s="14">
        <v>120000</v>
      </c>
      <c r="Y1297" s="14">
        <v>0</v>
      </c>
    </row>
    <row r="1298" spans="1:25" x14ac:dyDescent="0.25">
      <c r="A1298" s="18">
        <v>69</v>
      </c>
      <c r="B1298" s="18"/>
      <c r="C1298" s="15"/>
      <c r="D1298" s="15"/>
      <c r="E1298" s="19"/>
      <c r="F1298" s="18"/>
      <c r="G1298" s="18"/>
      <c r="H1298" s="15"/>
      <c r="I1298" s="15"/>
      <c r="J1298" s="15"/>
      <c r="K1298" s="14"/>
      <c r="L1298" s="14"/>
      <c r="M1298" s="14"/>
      <c r="N1298" s="18">
        <v>1899</v>
      </c>
      <c r="O1298" s="20">
        <v>43231</v>
      </c>
      <c r="P1298" s="15" t="s">
        <v>737</v>
      </c>
      <c r="Q1298" s="18">
        <v>27</v>
      </c>
      <c r="R1298" s="18">
        <v>4</v>
      </c>
      <c r="S1298" s="15" t="s">
        <v>3609</v>
      </c>
      <c r="T1298" s="14">
        <v>38556</v>
      </c>
      <c r="U1298" s="14">
        <v>0</v>
      </c>
      <c r="V1298" s="14">
        <v>0</v>
      </c>
      <c r="W1298" s="14">
        <v>38556</v>
      </c>
      <c r="X1298" s="14">
        <v>38556</v>
      </c>
      <c r="Y1298" s="14">
        <v>0</v>
      </c>
    </row>
    <row r="1299" spans="1:25" x14ac:dyDescent="0.25">
      <c r="A1299" s="18">
        <v>69</v>
      </c>
      <c r="B1299" s="18"/>
      <c r="C1299" s="15"/>
      <c r="D1299" s="15"/>
      <c r="E1299" s="19"/>
      <c r="F1299" s="18"/>
      <c r="G1299" s="18"/>
      <c r="H1299" s="15"/>
      <c r="I1299" s="15"/>
      <c r="J1299" s="15"/>
      <c r="K1299" s="14"/>
      <c r="L1299" s="14"/>
      <c r="M1299" s="14"/>
      <c r="N1299" s="18">
        <v>2044</v>
      </c>
      <c r="O1299" s="20">
        <v>43271</v>
      </c>
      <c r="P1299" s="15" t="s">
        <v>737</v>
      </c>
      <c r="Q1299" s="18">
        <v>27</v>
      </c>
      <c r="R1299" s="18">
        <v>5</v>
      </c>
      <c r="S1299" s="15" t="s">
        <v>3610</v>
      </c>
      <c r="T1299" s="14">
        <v>33900</v>
      </c>
      <c r="U1299" s="14">
        <v>0</v>
      </c>
      <c r="V1299" s="14">
        <v>0</v>
      </c>
      <c r="W1299" s="14">
        <v>33900</v>
      </c>
      <c r="X1299" s="14">
        <v>33900</v>
      </c>
      <c r="Y1299" s="14">
        <v>0</v>
      </c>
    </row>
    <row r="1300" spans="1:25" x14ac:dyDescent="0.25">
      <c r="A1300" s="18">
        <v>69</v>
      </c>
      <c r="B1300" s="18"/>
      <c r="C1300" s="15"/>
      <c r="D1300" s="15"/>
      <c r="E1300" s="19"/>
      <c r="F1300" s="18"/>
      <c r="G1300" s="18"/>
      <c r="H1300" s="15"/>
      <c r="I1300" s="15"/>
      <c r="J1300" s="15"/>
      <c r="K1300" s="14"/>
      <c r="L1300" s="14"/>
      <c r="M1300" s="14"/>
      <c r="N1300" s="18">
        <v>2515</v>
      </c>
      <c r="O1300" s="20">
        <v>43300</v>
      </c>
      <c r="P1300" s="15" t="s">
        <v>737</v>
      </c>
      <c r="Q1300" s="18">
        <v>27</v>
      </c>
      <c r="R1300" s="18">
        <v>6</v>
      </c>
      <c r="S1300" s="15" t="s">
        <v>3611</v>
      </c>
      <c r="T1300" s="14">
        <v>56700</v>
      </c>
      <c r="U1300" s="14">
        <v>0</v>
      </c>
      <c r="V1300" s="14">
        <v>0</v>
      </c>
      <c r="W1300" s="14">
        <v>56700</v>
      </c>
      <c r="X1300" s="14">
        <v>56700</v>
      </c>
      <c r="Y1300" s="14">
        <v>0</v>
      </c>
    </row>
    <row r="1301" spans="1:25" x14ac:dyDescent="0.25">
      <c r="A1301" s="18">
        <v>69</v>
      </c>
      <c r="B1301" s="18"/>
      <c r="C1301" s="15"/>
      <c r="D1301" s="15"/>
      <c r="E1301" s="19"/>
      <c r="F1301" s="18"/>
      <c r="G1301" s="18"/>
      <c r="H1301" s="15"/>
      <c r="I1301" s="15"/>
      <c r="J1301" s="15"/>
      <c r="K1301" s="14"/>
      <c r="L1301" s="14"/>
      <c r="M1301" s="14"/>
      <c r="N1301" s="18">
        <v>2719</v>
      </c>
      <c r="O1301" s="20">
        <v>43335</v>
      </c>
      <c r="P1301" s="15" t="s">
        <v>737</v>
      </c>
      <c r="Q1301" s="18">
        <v>27</v>
      </c>
      <c r="R1301" s="18">
        <v>7</v>
      </c>
      <c r="S1301" s="15" t="s">
        <v>3612</v>
      </c>
      <c r="T1301" s="14">
        <v>29170</v>
      </c>
      <c r="U1301" s="14">
        <v>0</v>
      </c>
      <c r="V1301" s="14">
        <v>0</v>
      </c>
      <c r="W1301" s="14">
        <v>29170</v>
      </c>
      <c r="X1301" s="14">
        <v>29170</v>
      </c>
      <c r="Y1301" s="14">
        <v>0</v>
      </c>
    </row>
    <row r="1302" spans="1:25" x14ac:dyDescent="0.25">
      <c r="A1302" s="18">
        <v>80</v>
      </c>
      <c r="B1302" s="18" t="s">
        <v>3620</v>
      </c>
      <c r="C1302" s="15" t="s">
        <v>3621</v>
      </c>
      <c r="D1302" s="15" t="s">
        <v>3622</v>
      </c>
      <c r="E1302" s="19">
        <v>542</v>
      </c>
      <c r="F1302" s="18" t="s">
        <v>3605</v>
      </c>
      <c r="G1302" s="18" t="s">
        <v>3453</v>
      </c>
      <c r="H1302" s="15" t="s">
        <v>3623</v>
      </c>
      <c r="I1302" s="15" t="s">
        <v>55</v>
      </c>
      <c r="J1302" s="15" t="s">
        <v>3455</v>
      </c>
      <c r="K1302" s="14">
        <v>8000000</v>
      </c>
      <c r="L1302" s="14">
        <v>3511868</v>
      </c>
      <c r="M1302" s="14">
        <f>K1302-L1302</f>
        <v>4488132</v>
      </c>
      <c r="N1302" s="18">
        <v>1822</v>
      </c>
      <c r="O1302" s="20">
        <v>43209</v>
      </c>
      <c r="P1302" s="15" t="s">
        <v>737</v>
      </c>
      <c r="Q1302" s="18">
        <v>27</v>
      </c>
      <c r="R1302" s="18">
        <v>3</v>
      </c>
      <c r="S1302" s="15" t="s">
        <v>3624</v>
      </c>
      <c r="T1302" s="14">
        <v>128300</v>
      </c>
      <c r="U1302" s="14">
        <v>0</v>
      </c>
      <c r="V1302" s="14">
        <v>0</v>
      </c>
      <c r="W1302" s="14">
        <v>128300</v>
      </c>
      <c r="X1302" s="14">
        <v>128300</v>
      </c>
      <c r="Y1302" s="14">
        <v>0</v>
      </c>
    </row>
    <row r="1303" spans="1:25" x14ac:dyDescent="0.25">
      <c r="A1303" s="18">
        <v>80</v>
      </c>
      <c r="B1303" s="18"/>
      <c r="C1303" s="15"/>
      <c r="D1303" s="15"/>
      <c r="E1303" s="19"/>
      <c r="F1303" s="18"/>
      <c r="G1303" s="18"/>
      <c r="H1303" s="15"/>
      <c r="I1303" s="15"/>
      <c r="J1303" s="15"/>
      <c r="K1303" s="14"/>
      <c r="L1303" s="14"/>
      <c r="M1303" s="14"/>
      <c r="N1303" s="18">
        <v>2045</v>
      </c>
      <c r="O1303" s="20">
        <v>43271</v>
      </c>
      <c r="P1303" s="15" t="s">
        <v>737</v>
      </c>
      <c r="Q1303" s="18">
        <v>27</v>
      </c>
      <c r="R1303" s="18">
        <v>5</v>
      </c>
      <c r="S1303" s="15" t="s">
        <v>3610</v>
      </c>
      <c r="T1303" s="14">
        <v>100000</v>
      </c>
      <c r="U1303" s="14">
        <v>0</v>
      </c>
      <c r="V1303" s="14">
        <v>0</v>
      </c>
      <c r="W1303" s="14">
        <v>100000</v>
      </c>
      <c r="X1303" s="14">
        <v>100000</v>
      </c>
      <c r="Y1303" s="14">
        <v>0</v>
      </c>
    </row>
    <row r="1304" spans="1:25" x14ac:dyDescent="0.25">
      <c r="A1304" s="18">
        <v>80</v>
      </c>
      <c r="B1304" s="18"/>
      <c r="C1304" s="15"/>
      <c r="D1304" s="15"/>
      <c r="E1304" s="19"/>
      <c r="F1304" s="18"/>
      <c r="G1304" s="18"/>
      <c r="H1304" s="15"/>
      <c r="I1304" s="15"/>
      <c r="J1304" s="15"/>
      <c r="K1304" s="14"/>
      <c r="L1304" s="14"/>
      <c r="M1304" s="14"/>
      <c r="N1304" s="18">
        <v>2516</v>
      </c>
      <c r="O1304" s="20">
        <v>43300</v>
      </c>
      <c r="P1304" s="15" t="s">
        <v>737</v>
      </c>
      <c r="Q1304" s="18">
        <v>27</v>
      </c>
      <c r="R1304" s="18">
        <v>6</v>
      </c>
      <c r="S1304" s="15" t="s">
        <v>3611</v>
      </c>
      <c r="T1304" s="14">
        <v>121900</v>
      </c>
      <c r="U1304" s="14">
        <v>0</v>
      </c>
      <c r="V1304" s="14">
        <v>0</v>
      </c>
      <c r="W1304" s="14">
        <v>121900</v>
      </c>
      <c r="X1304" s="14">
        <v>121900</v>
      </c>
      <c r="Y1304" s="14">
        <v>0</v>
      </c>
    </row>
    <row r="1305" spans="1:25" x14ac:dyDescent="0.25">
      <c r="A1305" s="18">
        <v>80</v>
      </c>
      <c r="B1305" s="18"/>
      <c r="C1305" s="15"/>
      <c r="D1305" s="15"/>
      <c r="E1305" s="19"/>
      <c r="F1305" s="18"/>
      <c r="G1305" s="18"/>
      <c r="H1305" s="15"/>
      <c r="I1305" s="15"/>
      <c r="J1305" s="15"/>
      <c r="K1305" s="14"/>
      <c r="L1305" s="14"/>
      <c r="M1305" s="14"/>
      <c r="N1305" s="18">
        <v>2916</v>
      </c>
      <c r="O1305" s="20">
        <v>43364</v>
      </c>
      <c r="P1305" s="15" t="s">
        <v>737</v>
      </c>
      <c r="Q1305" s="18">
        <v>27</v>
      </c>
      <c r="R1305" s="18">
        <v>8</v>
      </c>
      <c r="S1305" s="15" t="s">
        <v>3625</v>
      </c>
      <c r="T1305" s="14">
        <v>359380</v>
      </c>
      <c r="U1305" s="14">
        <v>0</v>
      </c>
      <c r="V1305" s="14">
        <v>0</v>
      </c>
      <c r="W1305" s="14">
        <v>359380</v>
      </c>
      <c r="X1305" s="14">
        <v>359380</v>
      </c>
      <c r="Y1305" s="14">
        <v>0</v>
      </c>
    </row>
    <row r="1306" spans="1:25" x14ac:dyDescent="0.25">
      <c r="A1306" s="18">
        <v>81</v>
      </c>
      <c r="B1306" s="18" t="s">
        <v>3626</v>
      </c>
      <c r="C1306" s="15" t="s">
        <v>3627</v>
      </c>
      <c r="D1306" s="15" t="s">
        <v>3628</v>
      </c>
      <c r="E1306" s="19">
        <v>547</v>
      </c>
      <c r="F1306" s="18" t="s">
        <v>3605</v>
      </c>
      <c r="G1306" s="18" t="s">
        <v>3453</v>
      </c>
      <c r="H1306" s="15" t="s">
        <v>3623</v>
      </c>
      <c r="I1306" s="15" t="s">
        <v>55</v>
      </c>
      <c r="J1306" s="15" t="s">
        <v>3455</v>
      </c>
      <c r="K1306" s="14">
        <v>3000000</v>
      </c>
      <c r="L1306" s="14">
        <v>0</v>
      </c>
      <c r="M1306" s="14">
        <f>K1306-L1306</f>
        <v>3000000</v>
      </c>
      <c r="N1306" s="18">
        <v>1587</v>
      </c>
      <c r="O1306" s="20">
        <v>43174</v>
      </c>
      <c r="P1306" s="15" t="s">
        <v>737</v>
      </c>
      <c r="Q1306" s="18">
        <v>27</v>
      </c>
      <c r="R1306" s="18">
        <v>2</v>
      </c>
      <c r="S1306" s="15" t="s">
        <v>3607</v>
      </c>
      <c r="T1306" s="14">
        <v>124288</v>
      </c>
      <c r="U1306" s="14">
        <v>0</v>
      </c>
      <c r="V1306" s="14">
        <v>0</v>
      </c>
      <c r="W1306" s="14">
        <v>124288</v>
      </c>
      <c r="X1306" s="14">
        <v>124288</v>
      </c>
      <c r="Y1306" s="14">
        <v>0</v>
      </c>
    </row>
    <row r="1307" spans="1:25" x14ac:dyDescent="0.25">
      <c r="A1307" s="18">
        <v>81</v>
      </c>
      <c r="B1307" s="18" t="s">
        <v>3626</v>
      </c>
      <c r="C1307" s="15"/>
      <c r="D1307" s="15"/>
      <c r="E1307" s="19"/>
      <c r="F1307" s="18"/>
      <c r="G1307" s="18"/>
      <c r="H1307" s="15"/>
      <c r="I1307" s="15"/>
      <c r="J1307" s="15"/>
      <c r="K1307" s="14"/>
      <c r="L1307" s="14"/>
      <c r="M1307" s="14"/>
      <c r="N1307" s="18">
        <v>1823</v>
      </c>
      <c r="O1307" s="20">
        <v>43209</v>
      </c>
      <c r="P1307" s="15" t="s">
        <v>737</v>
      </c>
      <c r="Q1307" s="18">
        <v>27</v>
      </c>
      <c r="R1307" s="18">
        <v>3</v>
      </c>
      <c r="S1307" s="15" t="s">
        <v>3624</v>
      </c>
      <c r="T1307" s="14">
        <v>45972</v>
      </c>
      <c r="U1307" s="14">
        <v>0</v>
      </c>
      <c r="V1307" s="14">
        <v>0</v>
      </c>
      <c r="W1307" s="14">
        <v>45972</v>
      </c>
      <c r="X1307" s="14">
        <v>45972</v>
      </c>
      <c r="Y1307" s="14">
        <v>0</v>
      </c>
    </row>
    <row r="1308" spans="1:25" x14ac:dyDescent="0.25">
      <c r="A1308" s="18">
        <v>81</v>
      </c>
      <c r="B1308" s="18" t="s">
        <v>3626</v>
      </c>
      <c r="C1308" s="15"/>
      <c r="D1308" s="15"/>
      <c r="E1308" s="19"/>
      <c r="F1308" s="18"/>
      <c r="G1308" s="18"/>
      <c r="H1308" s="15"/>
      <c r="I1308" s="15"/>
      <c r="J1308" s="15"/>
      <c r="K1308" s="14"/>
      <c r="L1308" s="14"/>
      <c r="M1308" s="14"/>
      <c r="N1308" s="18">
        <v>1900</v>
      </c>
      <c r="O1308" s="20">
        <v>43231</v>
      </c>
      <c r="P1308" s="15" t="s">
        <v>737</v>
      </c>
      <c r="Q1308" s="18">
        <v>27</v>
      </c>
      <c r="R1308" s="18">
        <v>4</v>
      </c>
      <c r="S1308" s="15" t="s">
        <v>3609</v>
      </c>
      <c r="T1308" s="14">
        <v>42545</v>
      </c>
      <c r="U1308" s="14">
        <v>0</v>
      </c>
      <c r="V1308" s="14">
        <v>0</v>
      </c>
      <c r="W1308" s="14">
        <v>42545</v>
      </c>
      <c r="X1308" s="14">
        <v>42545</v>
      </c>
      <c r="Y1308" s="14">
        <v>0</v>
      </c>
    </row>
    <row r="1309" spans="1:25" x14ac:dyDescent="0.25">
      <c r="A1309" s="18">
        <v>81</v>
      </c>
      <c r="B1309" s="18" t="s">
        <v>3626</v>
      </c>
      <c r="C1309" s="15"/>
      <c r="D1309" s="15"/>
      <c r="E1309" s="19"/>
      <c r="F1309" s="18"/>
      <c r="G1309" s="18"/>
      <c r="H1309" s="15"/>
      <c r="I1309" s="15"/>
      <c r="J1309" s="15"/>
      <c r="K1309" s="14"/>
      <c r="L1309" s="14"/>
      <c r="M1309" s="14"/>
      <c r="N1309" s="18">
        <v>2046</v>
      </c>
      <c r="O1309" s="20">
        <v>43271</v>
      </c>
      <c r="P1309" s="15" t="s">
        <v>737</v>
      </c>
      <c r="Q1309" s="18">
        <v>27</v>
      </c>
      <c r="R1309" s="18">
        <v>5</v>
      </c>
      <c r="S1309" s="15" t="s">
        <v>3610</v>
      </c>
      <c r="T1309" s="14">
        <v>122094</v>
      </c>
      <c r="U1309" s="14">
        <v>0</v>
      </c>
      <c r="V1309" s="14">
        <v>0</v>
      </c>
      <c r="W1309" s="14">
        <v>122094</v>
      </c>
      <c r="X1309" s="14">
        <v>122094</v>
      </c>
      <c r="Y1309" s="14">
        <v>0</v>
      </c>
    </row>
    <row r="1310" spans="1:25" x14ac:dyDescent="0.25">
      <c r="A1310" s="18">
        <v>81</v>
      </c>
      <c r="B1310" s="18" t="s">
        <v>3626</v>
      </c>
      <c r="C1310" s="15"/>
      <c r="D1310" s="15"/>
      <c r="E1310" s="19"/>
      <c r="F1310" s="18"/>
      <c r="G1310" s="18"/>
      <c r="H1310" s="15"/>
      <c r="I1310" s="15"/>
      <c r="J1310" s="15"/>
      <c r="K1310" s="14"/>
      <c r="L1310" s="14"/>
      <c r="M1310" s="14"/>
      <c r="N1310" s="18">
        <v>2517</v>
      </c>
      <c r="O1310" s="20">
        <v>43300</v>
      </c>
      <c r="P1310" s="15" t="s">
        <v>737</v>
      </c>
      <c r="Q1310" s="18">
        <v>27</v>
      </c>
      <c r="R1310" s="18">
        <v>6</v>
      </c>
      <c r="S1310" s="15" t="s">
        <v>3611</v>
      </c>
      <c r="T1310" s="14">
        <v>126187</v>
      </c>
      <c r="U1310" s="14">
        <v>0</v>
      </c>
      <c r="V1310" s="14">
        <v>0</v>
      </c>
      <c r="W1310" s="14">
        <v>126187</v>
      </c>
      <c r="X1310" s="14">
        <v>126187</v>
      </c>
      <c r="Y1310" s="14">
        <v>0</v>
      </c>
    </row>
    <row r="1311" spans="1:25" x14ac:dyDescent="0.25">
      <c r="A1311" s="18">
        <v>81</v>
      </c>
      <c r="B1311" s="18" t="s">
        <v>3626</v>
      </c>
      <c r="C1311" s="15"/>
      <c r="D1311" s="15"/>
      <c r="E1311" s="19"/>
      <c r="F1311" s="18"/>
      <c r="G1311" s="18"/>
      <c r="H1311" s="15"/>
      <c r="I1311" s="15"/>
      <c r="J1311" s="15"/>
      <c r="K1311" s="14"/>
      <c r="L1311" s="14"/>
      <c r="M1311" s="14"/>
      <c r="N1311" s="18">
        <v>2918</v>
      </c>
      <c r="O1311" s="20">
        <v>43364</v>
      </c>
      <c r="P1311" s="15" t="s">
        <v>737</v>
      </c>
      <c r="Q1311" s="18">
        <v>27</v>
      </c>
      <c r="R1311" s="18">
        <v>8</v>
      </c>
      <c r="S1311" s="15" t="s">
        <v>3625</v>
      </c>
      <c r="T1311" s="14">
        <v>47124</v>
      </c>
      <c r="U1311" s="14">
        <v>0</v>
      </c>
      <c r="V1311" s="14">
        <v>0</v>
      </c>
      <c r="W1311" s="14">
        <v>47124</v>
      </c>
      <c r="X1311" s="14">
        <v>47124</v>
      </c>
      <c r="Y1311" s="14">
        <v>0</v>
      </c>
    </row>
    <row r="1312" spans="1:25" x14ac:dyDescent="0.25">
      <c r="A1312" s="18">
        <v>84</v>
      </c>
      <c r="B1312" s="18" t="s">
        <v>3629</v>
      </c>
      <c r="C1312" s="15" t="s">
        <v>3585</v>
      </c>
      <c r="D1312" s="15" t="s">
        <v>3586</v>
      </c>
      <c r="E1312" s="19">
        <v>545</v>
      </c>
      <c r="F1312" s="18" t="s">
        <v>3605</v>
      </c>
      <c r="G1312" s="18" t="s">
        <v>3453</v>
      </c>
      <c r="H1312" s="15" t="s">
        <v>3587</v>
      </c>
      <c r="I1312" s="15" t="s">
        <v>55</v>
      </c>
      <c r="J1312" s="15" t="s">
        <v>3455</v>
      </c>
      <c r="K1312" s="14">
        <v>191533</v>
      </c>
      <c r="L1312" s="14">
        <v>0</v>
      </c>
      <c r="M1312" s="14">
        <f>K1312-L1312</f>
        <v>191533</v>
      </c>
      <c r="N1312" s="18">
        <v>319</v>
      </c>
      <c r="O1312" s="20">
        <v>43122</v>
      </c>
      <c r="P1312" s="15" t="s">
        <v>3588</v>
      </c>
      <c r="Q1312" s="18">
        <v>28</v>
      </c>
      <c r="R1312" s="18">
        <v>565515</v>
      </c>
      <c r="S1312" s="15" t="s">
        <v>3630</v>
      </c>
      <c r="T1312" s="14">
        <v>191533</v>
      </c>
      <c r="U1312" s="14">
        <v>0</v>
      </c>
      <c r="V1312" s="14">
        <v>0</v>
      </c>
      <c r="W1312" s="14">
        <v>191533</v>
      </c>
      <c r="X1312" s="14">
        <v>191533</v>
      </c>
      <c r="Y1312" s="14">
        <v>0</v>
      </c>
    </row>
    <row r="1313" spans="1:25" x14ac:dyDescent="0.25">
      <c r="A1313" s="18">
        <v>76</v>
      </c>
      <c r="B1313" s="18" t="s">
        <v>3631</v>
      </c>
      <c r="C1313" s="15" t="s">
        <v>3621</v>
      </c>
      <c r="D1313" s="15" t="s">
        <v>3622</v>
      </c>
      <c r="E1313" s="19">
        <v>627</v>
      </c>
      <c r="F1313" s="24">
        <v>43133</v>
      </c>
      <c r="G1313" s="18" t="s">
        <v>3453</v>
      </c>
      <c r="H1313" s="15" t="s">
        <v>3632</v>
      </c>
      <c r="I1313" s="15" t="s">
        <v>55</v>
      </c>
      <c r="J1313" s="15" t="s">
        <v>3455</v>
      </c>
      <c r="K1313" s="14">
        <v>16480000</v>
      </c>
      <c r="L1313" s="14">
        <v>850</v>
      </c>
      <c r="M1313" s="14">
        <f>K1313-L1313</f>
        <v>16479150</v>
      </c>
      <c r="N1313" s="18">
        <v>1724</v>
      </c>
      <c r="O1313" s="20">
        <v>43195</v>
      </c>
      <c r="P1313" s="15" t="s">
        <v>3633</v>
      </c>
      <c r="Q1313" s="18">
        <v>19</v>
      </c>
      <c r="R1313" s="18">
        <v>432</v>
      </c>
      <c r="S1313" s="15" t="s">
        <v>3632</v>
      </c>
      <c r="T1313" s="14">
        <v>16479150</v>
      </c>
      <c r="U1313" s="14">
        <v>0</v>
      </c>
      <c r="V1313" s="14">
        <v>0</v>
      </c>
      <c r="W1313" s="14">
        <v>16479150</v>
      </c>
      <c r="X1313" s="14">
        <v>2393983</v>
      </c>
      <c r="Y1313" s="14">
        <v>14085167</v>
      </c>
    </row>
    <row r="1314" spans="1:25" x14ac:dyDescent="0.25">
      <c r="A1314" s="22">
        <v>51</v>
      </c>
      <c r="B1314" s="18" t="s">
        <v>3634</v>
      </c>
      <c r="C1314" s="15" t="s">
        <v>3635</v>
      </c>
      <c r="D1314" s="15" t="s">
        <v>3636</v>
      </c>
      <c r="E1314" s="19">
        <v>628</v>
      </c>
      <c r="F1314" s="24">
        <v>43136</v>
      </c>
      <c r="G1314" s="18" t="s">
        <v>3453</v>
      </c>
      <c r="H1314" s="15" t="s">
        <v>3637</v>
      </c>
      <c r="I1314" s="15" t="s">
        <v>55</v>
      </c>
      <c r="J1314" s="15" t="s">
        <v>3455</v>
      </c>
      <c r="K1314" s="14">
        <v>7000000</v>
      </c>
      <c r="L1314" s="14">
        <v>0</v>
      </c>
      <c r="M1314" s="14">
        <f>K1314-L1314</f>
        <v>7000000</v>
      </c>
      <c r="N1314" s="18">
        <v>1525</v>
      </c>
      <c r="O1314" s="20">
        <v>43164</v>
      </c>
      <c r="P1314" s="15" t="s">
        <v>737</v>
      </c>
      <c r="Q1314" s="18">
        <v>31</v>
      </c>
      <c r="R1314" s="18">
        <v>1459</v>
      </c>
      <c r="S1314" s="15" t="s">
        <v>3637</v>
      </c>
      <c r="T1314" s="14">
        <v>3879630</v>
      </c>
      <c r="U1314" s="14">
        <v>0</v>
      </c>
      <c r="V1314" s="14">
        <v>0</v>
      </c>
      <c r="W1314" s="14">
        <v>3879630</v>
      </c>
      <c r="X1314" s="14">
        <v>3879630</v>
      </c>
      <c r="Y1314" s="14">
        <v>0</v>
      </c>
    </row>
    <row r="1315" spans="1:25" x14ac:dyDescent="0.25">
      <c r="A1315" s="22">
        <v>51</v>
      </c>
      <c r="B1315" s="18" t="s">
        <v>3634</v>
      </c>
      <c r="C1315" s="15"/>
      <c r="D1315" s="15"/>
      <c r="E1315" s="19"/>
      <c r="F1315" s="24"/>
      <c r="G1315" s="18"/>
      <c r="H1315" s="15"/>
      <c r="I1315" s="15"/>
      <c r="J1315" s="15"/>
      <c r="K1315" s="14"/>
      <c r="L1315" s="14"/>
      <c r="M1315" s="14"/>
      <c r="N1315" s="18">
        <v>1810</v>
      </c>
      <c r="O1315" s="20">
        <v>43209</v>
      </c>
      <c r="P1315" s="15" t="s">
        <v>3638</v>
      </c>
      <c r="Q1315" s="18">
        <v>31</v>
      </c>
      <c r="R1315" s="18">
        <v>1861</v>
      </c>
      <c r="S1315" s="15" t="s">
        <v>3637</v>
      </c>
      <c r="T1315" s="14">
        <v>505641</v>
      </c>
      <c r="U1315" s="14">
        <v>0</v>
      </c>
      <c r="V1315" s="14">
        <v>0</v>
      </c>
      <c r="W1315" s="14">
        <v>505641</v>
      </c>
      <c r="X1315" s="14">
        <v>505641</v>
      </c>
      <c r="Y1315" s="14">
        <v>0</v>
      </c>
    </row>
    <row r="1316" spans="1:25" x14ac:dyDescent="0.25">
      <c r="A1316" s="18">
        <v>73</v>
      </c>
      <c r="B1316" s="18" t="s">
        <v>3639</v>
      </c>
      <c r="C1316" s="15" t="s">
        <v>3621</v>
      </c>
      <c r="D1316" s="15" t="s">
        <v>3622</v>
      </c>
      <c r="E1316" s="19">
        <v>648</v>
      </c>
      <c r="F1316" s="24">
        <v>43150</v>
      </c>
      <c r="G1316" s="18" t="s">
        <v>3453</v>
      </c>
      <c r="H1316" s="15" t="s">
        <v>3640</v>
      </c>
      <c r="I1316" s="15" t="s">
        <v>55</v>
      </c>
      <c r="J1316" s="15" t="s">
        <v>3455</v>
      </c>
      <c r="K1316" s="14">
        <v>172262398</v>
      </c>
      <c r="L1316" s="14">
        <v>14725118</v>
      </c>
      <c r="M1316" s="14">
        <f t="shared" ref="M1316:M1321" si="138">K1316-L1316</f>
        <v>157537280</v>
      </c>
      <c r="N1316" s="18">
        <v>1484</v>
      </c>
      <c r="O1316" s="20">
        <v>43160</v>
      </c>
      <c r="P1316" s="15" t="s">
        <v>3641</v>
      </c>
      <c r="Q1316" s="18">
        <v>4</v>
      </c>
      <c r="R1316" s="18">
        <v>429</v>
      </c>
      <c r="S1316" s="15" t="s">
        <v>3640</v>
      </c>
      <c r="T1316" s="14">
        <v>157537280</v>
      </c>
      <c r="U1316" s="14">
        <v>0</v>
      </c>
      <c r="V1316" s="14">
        <v>0</v>
      </c>
      <c r="W1316" s="14">
        <v>157537280</v>
      </c>
      <c r="X1316" s="14">
        <v>101617927</v>
      </c>
      <c r="Y1316" s="14">
        <v>55919353</v>
      </c>
    </row>
    <row r="1317" spans="1:25" x14ac:dyDescent="0.25">
      <c r="A1317" s="18">
        <v>85</v>
      </c>
      <c r="B1317" s="18" t="s">
        <v>3642</v>
      </c>
      <c r="C1317" s="15" t="s">
        <v>3585</v>
      </c>
      <c r="D1317" s="15" t="s">
        <v>3586</v>
      </c>
      <c r="E1317" s="19">
        <v>653</v>
      </c>
      <c r="F1317" s="24">
        <v>43151</v>
      </c>
      <c r="G1317" s="18" t="s">
        <v>3453</v>
      </c>
      <c r="H1317" s="15" t="s">
        <v>3643</v>
      </c>
      <c r="I1317" s="15" t="s">
        <v>55</v>
      </c>
      <c r="J1317" s="15" t="s">
        <v>3455</v>
      </c>
      <c r="K1317" s="14">
        <v>747185</v>
      </c>
      <c r="L1317" s="14">
        <v>0</v>
      </c>
      <c r="M1317" s="14">
        <f t="shared" si="138"/>
        <v>747185</v>
      </c>
      <c r="N1317" s="18">
        <v>1457</v>
      </c>
      <c r="O1317" s="20">
        <v>43153</v>
      </c>
      <c r="P1317" s="15" t="s">
        <v>3588</v>
      </c>
      <c r="Q1317" s="18">
        <v>28</v>
      </c>
      <c r="R1317" s="18">
        <v>37984</v>
      </c>
      <c r="S1317" s="15" t="s">
        <v>3644</v>
      </c>
      <c r="T1317" s="14">
        <v>747185</v>
      </c>
      <c r="U1317" s="14">
        <v>0</v>
      </c>
      <c r="V1317" s="14">
        <v>0</v>
      </c>
      <c r="W1317" s="14">
        <v>747185</v>
      </c>
      <c r="X1317" s="14">
        <v>747185</v>
      </c>
      <c r="Y1317" s="14">
        <v>0</v>
      </c>
    </row>
    <row r="1318" spans="1:25" x14ac:dyDescent="0.25">
      <c r="A1318" s="18">
        <v>86</v>
      </c>
      <c r="B1318" s="18" t="s">
        <v>3645</v>
      </c>
      <c r="C1318" s="15" t="s">
        <v>3585</v>
      </c>
      <c r="D1318" s="15" t="s">
        <v>3586</v>
      </c>
      <c r="E1318" s="19">
        <v>661</v>
      </c>
      <c r="F1318" s="24">
        <v>43154</v>
      </c>
      <c r="G1318" s="18" t="s">
        <v>3453</v>
      </c>
      <c r="H1318" s="15" t="s">
        <v>3646</v>
      </c>
      <c r="I1318" s="15" t="s">
        <v>55</v>
      </c>
      <c r="J1318" s="15" t="s">
        <v>3455</v>
      </c>
      <c r="K1318" s="14">
        <v>22000000</v>
      </c>
      <c r="L1318" s="14">
        <v>0</v>
      </c>
      <c r="M1318" s="14">
        <f t="shared" si="138"/>
        <v>22000000</v>
      </c>
      <c r="N1318" s="18">
        <v>1613</v>
      </c>
      <c r="O1318" s="20">
        <v>43181</v>
      </c>
      <c r="P1318" s="15" t="s">
        <v>3647</v>
      </c>
      <c r="Q1318" s="18">
        <v>12</v>
      </c>
      <c r="R1318" s="18">
        <v>419</v>
      </c>
      <c r="S1318" s="15" t="s">
        <v>3646</v>
      </c>
      <c r="T1318" s="14">
        <v>22000000</v>
      </c>
      <c r="U1318" s="14">
        <v>0</v>
      </c>
      <c r="V1318" s="14">
        <v>0</v>
      </c>
      <c r="W1318" s="14">
        <v>22000000</v>
      </c>
      <c r="X1318" s="14">
        <v>22000000</v>
      </c>
      <c r="Y1318" s="14">
        <v>0</v>
      </c>
    </row>
    <row r="1319" spans="1:25" x14ac:dyDescent="0.25">
      <c r="A1319" s="22">
        <v>57</v>
      </c>
      <c r="B1319" s="18" t="s">
        <v>3648</v>
      </c>
      <c r="C1319" s="15" t="s">
        <v>3649</v>
      </c>
      <c r="D1319" s="15" t="s">
        <v>3650</v>
      </c>
      <c r="E1319" s="19">
        <v>671</v>
      </c>
      <c r="F1319" s="24">
        <v>43161</v>
      </c>
      <c r="G1319" s="18" t="s">
        <v>3453</v>
      </c>
      <c r="H1319" s="15" t="s">
        <v>3651</v>
      </c>
      <c r="I1319" s="15" t="s">
        <v>55</v>
      </c>
      <c r="J1319" s="15" t="s">
        <v>3455</v>
      </c>
      <c r="K1319" s="14">
        <v>16000000</v>
      </c>
      <c r="L1319" s="14">
        <v>0</v>
      </c>
      <c r="M1319" s="14">
        <f t="shared" si="138"/>
        <v>16000000</v>
      </c>
      <c r="N1319" s="18">
        <v>1589</v>
      </c>
      <c r="O1319" s="20">
        <v>43175</v>
      </c>
      <c r="P1319" s="15" t="s">
        <v>3652</v>
      </c>
      <c r="Q1319" s="18">
        <v>16</v>
      </c>
      <c r="R1319" s="18">
        <v>587</v>
      </c>
      <c r="S1319" s="15" t="s">
        <v>3651</v>
      </c>
      <c r="T1319" s="14">
        <v>16000000</v>
      </c>
      <c r="U1319" s="14">
        <v>0</v>
      </c>
      <c r="V1319" s="14">
        <v>0</v>
      </c>
      <c r="W1319" s="14">
        <v>16000000</v>
      </c>
      <c r="X1319" s="14">
        <v>15909828</v>
      </c>
      <c r="Y1319" s="14">
        <v>90172</v>
      </c>
    </row>
    <row r="1320" spans="1:25" x14ac:dyDescent="0.25">
      <c r="A1320" s="18">
        <v>87</v>
      </c>
      <c r="B1320" s="18" t="s">
        <v>3653</v>
      </c>
      <c r="C1320" s="15" t="s">
        <v>3621</v>
      </c>
      <c r="D1320" s="15" t="s">
        <v>3622</v>
      </c>
      <c r="E1320" s="19">
        <v>716</v>
      </c>
      <c r="F1320" s="24">
        <v>43174</v>
      </c>
      <c r="G1320" s="18" t="s">
        <v>3453</v>
      </c>
      <c r="H1320" s="15" t="s">
        <v>3654</v>
      </c>
      <c r="I1320" s="15" t="s">
        <v>55</v>
      </c>
      <c r="J1320" s="15" t="s">
        <v>3455</v>
      </c>
      <c r="K1320" s="14">
        <v>95729495</v>
      </c>
      <c r="L1320" s="14">
        <v>36</v>
      </c>
      <c r="M1320" s="14">
        <f t="shared" si="138"/>
        <v>95729459</v>
      </c>
      <c r="N1320" s="18">
        <v>1739</v>
      </c>
      <c r="O1320" s="20">
        <v>43199</v>
      </c>
      <c r="P1320" s="15" t="s">
        <v>3655</v>
      </c>
      <c r="Q1320" s="18">
        <v>12</v>
      </c>
      <c r="R1320" s="18">
        <v>423</v>
      </c>
      <c r="S1320" s="15" t="s">
        <v>3656</v>
      </c>
      <c r="T1320" s="14">
        <v>95729459</v>
      </c>
      <c r="U1320" s="14">
        <v>0</v>
      </c>
      <c r="V1320" s="14">
        <v>0</v>
      </c>
      <c r="W1320" s="14">
        <v>95729459</v>
      </c>
      <c r="X1320" s="14">
        <v>95729459</v>
      </c>
      <c r="Y1320" s="14">
        <v>0</v>
      </c>
    </row>
    <row r="1321" spans="1:25" x14ac:dyDescent="0.25">
      <c r="A1321" s="18">
        <v>88</v>
      </c>
      <c r="B1321" s="18" t="s">
        <v>3657</v>
      </c>
      <c r="C1321" s="15" t="s">
        <v>3585</v>
      </c>
      <c r="D1321" s="15" t="s">
        <v>3586</v>
      </c>
      <c r="E1321" s="19">
        <v>719</v>
      </c>
      <c r="F1321" s="24">
        <v>43174</v>
      </c>
      <c r="G1321" s="18" t="s">
        <v>3453</v>
      </c>
      <c r="H1321" s="15" t="s">
        <v>3658</v>
      </c>
      <c r="I1321" s="15" t="s">
        <v>55</v>
      </c>
      <c r="J1321" s="15" t="s">
        <v>3455</v>
      </c>
      <c r="K1321" s="14">
        <v>4454800</v>
      </c>
      <c r="L1321" s="14">
        <v>0</v>
      </c>
      <c r="M1321" s="14">
        <f t="shared" si="138"/>
        <v>4454800</v>
      </c>
      <c r="N1321" s="18">
        <v>1601</v>
      </c>
      <c r="O1321" s="20">
        <v>43179</v>
      </c>
      <c r="P1321" s="15" t="s">
        <v>737</v>
      </c>
      <c r="Q1321" s="18">
        <v>27</v>
      </c>
      <c r="R1321" s="18">
        <v>2</v>
      </c>
      <c r="S1321" s="15" t="s">
        <v>3607</v>
      </c>
      <c r="T1321" s="14">
        <v>135800</v>
      </c>
      <c r="U1321" s="14">
        <v>0</v>
      </c>
      <c r="V1321" s="14">
        <v>0</v>
      </c>
      <c r="W1321" s="14">
        <v>135800</v>
      </c>
      <c r="X1321" s="14">
        <v>135800</v>
      </c>
      <c r="Y1321" s="14">
        <v>0</v>
      </c>
    </row>
    <row r="1322" spans="1:25" x14ac:dyDescent="0.25">
      <c r="A1322" s="18"/>
      <c r="B1322" s="18"/>
      <c r="C1322" s="15"/>
      <c r="D1322" s="15"/>
      <c r="E1322" s="19"/>
      <c r="F1322" s="24"/>
      <c r="G1322" s="18"/>
      <c r="H1322" s="15"/>
      <c r="I1322" s="15"/>
      <c r="J1322" s="15"/>
      <c r="K1322" s="14"/>
      <c r="L1322" s="14"/>
      <c r="M1322" s="14"/>
      <c r="N1322" s="18">
        <v>1821</v>
      </c>
      <c r="O1322" s="20">
        <v>43209</v>
      </c>
      <c r="P1322" s="15" t="s">
        <v>737</v>
      </c>
      <c r="Q1322" s="18">
        <v>27</v>
      </c>
      <c r="R1322" s="18">
        <v>3</v>
      </c>
      <c r="S1322" s="15" t="s">
        <v>3624</v>
      </c>
      <c r="T1322" s="14">
        <v>124700</v>
      </c>
      <c r="U1322" s="14">
        <v>0</v>
      </c>
      <c r="V1322" s="14">
        <v>0</v>
      </c>
      <c r="W1322" s="14">
        <v>124700</v>
      </c>
      <c r="X1322" s="14">
        <v>124700</v>
      </c>
      <c r="Y1322" s="14">
        <v>0</v>
      </c>
    </row>
    <row r="1323" spans="1:25" x14ac:dyDescent="0.25">
      <c r="A1323" s="18"/>
      <c r="B1323" s="18"/>
      <c r="C1323" s="15"/>
      <c r="D1323" s="15"/>
      <c r="E1323" s="19"/>
      <c r="F1323" s="24"/>
      <c r="G1323" s="18"/>
      <c r="H1323" s="15"/>
      <c r="I1323" s="15"/>
      <c r="J1323" s="15"/>
      <c r="K1323" s="14"/>
      <c r="L1323" s="14"/>
      <c r="M1323" s="14"/>
      <c r="N1323" s="18">
        <v>1898</v>
      </c>
      <c r="O1323" s="20">
        <v>43231</v>
      </c>
      <c r="P1323" s="15" t="s">
        <v>737</v>
      </c>
      <c r="Q1323" s="18">
        <v>27</v>
      </c>
      <c r="R1323" s="18">
        <v>4</v>
      </c>
      <c r="S1323" s="15" t="s">
        <v>3609</v>
      </c>
      <c r="T1323" s="14">
        <v>153200</v>
      </c>
      <c r="U1323" s="14">
        <v>0</v>
      </c>
      <c r="V1323" s="14">
        <v>0</v>
      </c>
      <c r="W1323" s="14">
        <v>153200</v>
      </c>
      <c r="X1323" s="14">
        <v>153200</v>
      </c>
      <c r="Y1323" s="14">
        <v>0</v>
      </c>
    </row>
    <row r="1324" spans="1:25" x14ac:dyDescent="0.25">
      <c r="A1324" s="18"/>
      <c r="B1324" s="18"/>
      <c r="C1324" s="15"/>
      <c r="D1324" s="15"/>
      <c r="E1324" s="19"/>
      <c r="F1324" s="24"/>
      <c r="G1324" s="18"/>
      <c r="H1324" s="15"/>
      <c r="I1324" s="15"/>
      <c r="J1324" s="15"/>
      <c r="K1324" s="14"/>
      <c r="L1324" s="14"/>
      <c r="M1324" s="14"/>
      <c r="N1324" s="18">
        <v>2043</v>
      </c>
      <c r="O1324" s="20">
        <v>43271</v>
      </c>
      <c r="P1324" s="15" t="s">
        <v>737</v>
      </c>
      <c r="Q1324" s="18">
        <v>27</v>
      </c>
      <c r="R1324" s="18">
        <v>5</v>
      </c>
      <c r="S1324" s="15" t="s">
        <v>3610</v>
      </c>
      <c r="T1324" s="14">
        <v>338815</v>
      </c>
      <c r="U1324" s="14">
        <v>0</v>
      </c>
      <c r="V1324" s="14">
        <v>0</v>
      </c>
      <c r="W1324" s="14">
        <v>338815</v>
      </c>
      <c r="X1324" s="14">
        <v>338815</v>
      </c>
      <c r="Y1324" s="14">
        <v>0</v>
      </c>
    </row>
    <row r="1325" spans="1:25" x14ac:dyDescent="0.25">
      <c r="A1325" s="18"/>
      <c r="B1325" s="18"/>
      <c r="C1325" s="15"/>
      <c r="D1325" s="15"/>
      <c r="E1325" s="19"/>
      <c r="F1325" s="24"/>
      <c r="G1325" s="18"/>
      <c r="H1325" s="15"/>
      <c r="I1325" s="15"/>
      <c r="J1325" s="15"/>
      <c r="K1325" s="14"/>
      <c r="L1325" s="14"/>
      <c r="M1325" s="14"/>
      <c r="N1325" s="18">
        <v>2514</v>
      </c>
      <c r="O1325" s="20">
        <v>43300</v>
      </c>
      <c r="P1325" s="15" t="s">
        <v>737</v>
      </c>
      <c r="Q1325" s="18">
        <v>27</v>
      </c>
      <c r="R1325" s="18">
        <v>6</v>
      </c>
      <c r="S1325" s="15" t="s">
        <v>3611</v>
      </c>
      <c r="T1325" s="14">
        <v>263500</v>
      </c>
      <c r="U1325" s="14">
        <v>0</v>
      </c>
      <c r="V1325" s="14">
        <v>0</v>
      </c>
      <c r="W1325" s="14">
        <v>263500</v>
      </c>
      <c r="X1325" s="14">
        <v>263500</v>
      </c>
      <c r="Y1325" s="14">
        <v>0</v>
      </c>
    </row>
    <row r="1326" spans="1:25" x14ac:dyDescent="0.25">
      <c r="A1326" s="18"/>
      <c r="B1326" s="18"/>
      <c r="C1326" s="15"/>
      <c r="D1326" s="15"/>
      <c r="E1326" s="19"/>
      <c r="F1326" s="24"/>
      <c r="G1326" s="18"/>
      <c r="H1326" s="15"/>
      <c r="I1326" s="15"/>
      <c r="J1326" s="15"/>
      <c r="K1326" s="14"/>
      <c r="L1326" s="14"/>
      <c r="M1326" s="14"/>
      <c r="N1326" s="18">
        <v>2718</v>
      </c>
      <c r="O1326" s="20">
        <v>43335</v>
      </c>
      <c r="P1326" s="15" t="s">
        <v>737</v>
      </c>
      <c r="Q1326" s="18">
        <v>27</v>
      </c>
      <c r="R1326" s="18">
        <v>7</v>
      </c>
      <c r="S1326" s="15" t="s">
        <v>3612</v>
      </c>
      <c r="T1326" s="14">
        <v>181210</v>
      </c>
      <c r="U1326" s="14">
        <v>0</v>
      </c>
      <c r="V1326" s="14">
        <v>0</v>
      </c>
      <c r="W1326" s="14">
        <v>181210</v>
      </c>
      <c r="X1326" s="14">
        <v>181210</v>
      </c>
      <c r="Y1326" s="14">
        <v>0</v>
      </c>
    </row>
    <row r="1327" spans="1:25" x14ac:dyDescent="0.25">
      <c r="A1327" s="18"/>
      <c r="B1327" s="18"/>
      <c r="C1327" s="15"/>
      <c r="D1327" s="15"/>
      <c r="E1327" s="19"/>
      <c r="F1327" s="24"/>
      <c r="G1327" s="18"/>
      <c r="H1327" s="15"/>
      <c r="I1327" s="15"/>
      <c r="J1327" s="15"/>
      <c r="K1327" s="14"/>
      <c r="L1327" s="14"/>
      <c r="M1327" s="14"/>
      <c r="N1327" s="18">
        <v>2917</v>
      </c>
      <c r="O1327" s="20">
        <v>43364</v>
      </c>
      <c r="P1327" s="15" t="s">
        <v>737</v>
      </c>
      <c r="Q1327" s="18">
        <v>27</v>
      </c>
      <c r="R1327" s="18">
        <v>8</v>
      </c>
      <c r="S1327" s="15" t="s">
        <v>3625</v>
      </c>
      <c r="T1327" s="14">
        <v>163800</v>
      </c>
      <c r="U1327" s="14">
        <v>0</v>
      </c>
      <c r="V1327" s="14">
        <v>0</v>
      </c>
      <c r="W1327" s="14">
        <v>163800</v>
      </c>
      <c r="X1327" s="14">
        <v>163800</v>
      </c>
      <c r="Y1327" s="14">
        <v>0</v>
      </c>
    </row>
    <row r="1328" spans="1:25" x14ac:dyDescent="0.25">
      <c r="A1328" s="18">
        <v>89</v>
      </c>
      <c r="B1328" s="18"/>
      <c r="C1328" s="15"/>
      <c r="D1328" s="15"/>
      <c r="E1328" s="19"/>
      <c r="F1328" s="24"/>
      <c r="G1328" s="18"/>
      <c r="H1328" s="15"/>
      <c r="I1328" s="15"/>
      <c r="J1328" s="15"/>
      <c r="K1328" s="14"/>
      <c r="L1328" s="14"/>
      <c r="M1328" s="14"/>
      <c r="N1328" s="18"/>
      <c r="O1328" s="20"/>
      <c r="P1328" s="15"/>
      <c r="Q1328" s="18"/>
      <c r="R1328" s="18"/>
      <c r="S1328" s="15"/>
      <c r="T1328" s="14"/>
      <c r="U1328" s="14"/>
      <c r="V1328" s="14"/>
      <c r="W1328" s="14"/>
      <c r="X1328" s="14"/>
      <c r="Y1328" s="14"/>
    </row>
    <row r="1329" spans="1:25" x14ac:dyDescent="0.25">
      <c r="A1329" s="18">
        <v>90</v>
      </c>
      <c r="B1329" s="18"/>
      <c r="C1329" s="15"/>
      <c r="D1329" s="15"/>
      <c r="E1329" s="19"/>
      <c r="F1329" s="24"/>
      <c r="G1329" s="18"/>
      <c r="H1329" s="15"/>
      <c r="I1329" s="15"/>
      <c r="J1329" s="15"/>
      <c r="K1329" s="14"/>
      <c r="L1329" s="14"/>
      <c r="M1329" s="14"/>
      <c r="N1329" s="18"/>
      <c r="O1329" s="20"/>
      <c r="P1329" s="15"/>
      <c r="Q1329" s="18"/>
      <c r="R1329" s="18"/>
      <c r="S1329" s="15"/>
      <c r="T1329" s="14"/>
      <c r="U1329" s="14"/>
      <c r="V1329" s="14"/>
      <c r="W1329" s="14"/>
      <c r="X1329" s="14"/>
      <c r="Y1329" s="14"/>
    </row>
    <row r="1330" spans="1:25" x14ac:dyDescent="0.25">
      <c r="A1330" s="18">
        <v>91</v>
      </c>
      <c r="B1330" s="18"/>
      <c r="C1330" s="15"/>
      <c r="D1330" s="15"/>
      <c r="E1330" s="19"/>
      <c r="F1330" s="24"/>
      <c r="G1330" s="18"/>
      <c r="H1330" s="15"/>
      <c r="I1330" s="15"/>
      <c r="J1330" s="15"/>
      <c r="K1330" s="14"/>
      <c r="L1330" s="14"/>
      <c r="M1330" s="14"/>
      <c r="N1330" s="18"/>
      <c r="O1330" s="20"/>
      <c r="P1330" s="15"/>
      <c r="Q1330" s="18"/>
      <c r="R1330" s="18"/>
      <c r="S1330" s="15"/>
      <c r="T1330" s="14"/>
      <c r="U1330" s="14"/>
      <c r="V1330" s="14"/>
      <c r="W1330" s="14"/>
      <c r="X1330" s="14"/>
      <c r="Y1330" s="14"/>
    </row>
    <row r="1331" spans="1:25" x14ac:dyDescent="0.25">
      <c r="A1331" s="18">
        <v>92</v>
      </c>
      <c r="B1331" s="18"/>
      <c r="C1331" s="15"/>
      <c r="D1331" s="15"/>
      <c r="E1331" s="19"/>
      <c r="F1331" s="24"/>
      <c r="G1331" s="18"/>
      <c r="H1331" s="15"/>
      <c r="I1331" s="15"/>
      <c r="J1331" s="15"/>
      <c r="K1331" s="14"/>
      <c r="L1331" s="14"/>
      <c r="M1331" s="14"/>
      <c r="N1331" s="18"/>
      <c r="O1331" s="20"/>
      <c r="P1331" s="15"/>
      <c r="Q1331" s="18"/>
      <c r="R1331" s="18"/>
      <c r="S1331" s="15"/>
      <c r="T1331" s="14"/>
      <c r="U1331" s="14"/>
      <c r="V1331" s="14"/>
      <c r="W1331" s="14"/>
      <c r="X1331" s="14"/>
      <c r="Y1331" s="14"/>
    </row>
    <row r="1332" spans="1:25" x14ac:dyDescent="0.25">
      <c r="A1332" s="18">
        <v>93</v>
      </c>
      <c r="B1332" s="18"/>
      <c r="C1332" s="15"/>
      <c r="D1332" s="15"/>
      <c r="E1332" s="19"/>
      <c r="F1332" s="24"/>
      <c r="G1332" s="18"/>
      <c r="H1332" s="15"/>
      <c r="I1332" s="15"/>
      <c r="J1332" s="15"/>
      <c r="K1332" s="14"/>
      <c r="L1332" s="14"/>
      <c r="M1332" s="14"/>
      <c r="N1332" s="18"/>
      <c r="O1332" s="20"/>
      <c r="P1332" s="15"/>
      <c r="Q1332" s="18"/>
      <c r="R1332" s="18"/>
      <c r="S1332" s="15"/>
      <c r="T1332" s="14"/>
      <c r="U1332" s="14"/>
      <c r="V1332" s="14"/>
      <c r="W1332" s="14"/>
      <c r="X1332" s="14"/>
      <c r="Y1332" s="14"/>
    </row>
    <row r="1333" spans="1:25" x14ac:dyDescent="0.25">
      <c r="A1333" s="18">
        <v>94</v>
      </c>
      <c r="B1333" s="18" t="s">
        <v>3659</v>
      </c>
      <c r="C1333" s="15" t="s">
        <v>3585</v>
      </c>
      <c r="D1333" s="15" t="s">
        <v>3586</v>
      </c>
      <c r="E1333" s="19">
        <v>755</v>
      </c>
      <c r="F1333" s="24">
        <v>43181</v>
      </c>
      <c r="G1333" s="18" t="s">
        <v>3453</v>
      </c>
      <c r="H1333" s="15" t="s">
        <v>3660</v>
      </c>
      <c r="I1333" s="15" t="s">
        <v>55</v>
      </c>
      <c r="J1333" s="15" t="s">
        <v>3455</v>
      </c>
      <c r="K1333" s="14">
        <v>748900</v>
      </c>
      <c r="L1333" s="14">
        <v>0</v>
      </c>
      <c r="M1333" s="14">
        <f>K1333-L1333</f>
        <v>748900</v>
      </c>
      <c r="N1333" s="18">
        <v>1620</v>
      </c>
      <c r="O1333" s="20">
        <v>43181</v>
      </c>
      <c r="P1333" s="15" t="s">
        <v>3588</v>
      </c>
      <c r="Q1333" s="18">
        <v>28</v>
      </c>
      <c r="R1333" s="18">
        <v>20173</v>
      </c>
      <c r="S1333" s="15" t="s">
        <v>3661</v>
      </c>
      <c r="T1333" s="14">
        <v>748900</v>
      </c>
      <c r="U1333" s="14">
        <v>0</v>
      </c>
      <c r="V1333" s="14">
        <v>0</v>
      </c>
      <c r="W1333" s="14">
        <v>748900</v>
      </c>
      <c r="X1333" s="14">
        <v>748900</v>
      </c>
      <c r="Y1333" s="14">
        <v>0</v>
      </c>
    </row>
    <row r="1334" spans="1:25" x14ac:dyDescent="0.25">
      <c r="A1334" s="18">
        <v>95</v>
      </c>
      <c r="B1334" s="18" t="s">
        <v>3662</v>
      </c>
      <c r="C1334" s="15" t="s">
        <v>3635</v>
      </c>
      <c r="D1334" s="15" t="s">
        <v>3636</v>
      </c>
      <c r="E1334" s="19">
        <v>758</v>
      </c>
      <c r="F1334" s="24">
        <v>43182</v>
      </c>
      <c r="G1334" s="18" t="s">
        <v>3453</v>
      </c>
      <c r="H1334" s="15" t="s">
        <v>3663</v>
      </c>
      <c r="I1334" s="15" t="s">
        <v>55</v>
      </c>
      <c r="J1334" s="15" t="s">
        <v>3455</v>
      </c>
      <c r="K1334" s="14">
        <v>2346902</v>
      </c>
      <c r="L1334" s="14">
        <v>0</v>
      </c>
      <c r="M1334" s="14">
        <f>K1334-L1334</f>
        <v>2346902</v>
      </c>
      <c r="N1334" s="18">
        <v>1809</v>
      </c>
      <c r="O1334" s="20">
        <v>43208</v>
      </c>
      <c r="P1334" s="15" t="s">
        <v>3664</v>
      </c>
      <c r="Q1334" s="18">
        <v>31</v>
      </c>
      <c r="R1334" s="18">
        <v>1860</v>
      </c>
      <c r="S1334" s="15" t="s">
        <v>3665</v>
      </c>
      <c r="T1334" s="14">
        <v>2346902</v>
      </c>
      <c r="U1334" s="14">
        <v>0</v>
      </c>
      <c r="V1334" s="14">
        <v>0</v>
      </c>
      <c r="W1334" s="14">
        <v>2346902</v>
      </c>
      <c r="X1334" s="14">
        <v>2346902</v>
      </c>
      <c r="Y1334" s="14">
        <v>0</v>
      </c>
    </row>
    <row r="1335" spans="1:25" x14ac:dyDescent="0.25">
      <c r="A1335" s="18">
        <v>70</v>
      </c>
      <c r="B1335" s="18" t="s">
        <v>3666</v>
      </c>
      <c r="C1335" s="15" t="s">
        <v>3616</v>
      </c>
      <c r="D1335" s="15" t="s">
        <v>3617</v>
      </c>
      <c r="E1335" s="19">
        <v>775</v>
      </c>
      <c r="F1335" s="18" t="s">
        <v>3667</v>
      </c>
      <c r="G1335" s="18" t="s">
        <v>3453</v>
      </c>
      <c r="H1335" s="15" t="s">
        <v>3668</v>
      </c>
      <c r="I1335" s="15" t="s">
        <v>55</v>
      </c>
      <c r="J1335" s="15" t="s">
        <v>3455</v>
      </c>
      <c r="K1335" s="14">
        <v>3174815</v>
      </c>
      <c r="L1335" s="14">
        <v>74815</v>
      </c>
      <c r="M1335" s="25">
        <f>K1335-L1335</f>
        <v>3100000</v>
      </c>
      <c r="N1335" s="18">
        <v>2555</v>
      </c>
      <c r="O1335" s="20">
        <v>43313</v>
      </c>
      <c r="P1335" s="15" t="s">
        <v>3669</v>
      </c>
      <c r="Q1335" s="18">
        <v>12</v>
      </c>
      <c r="R1335" s="18">
        <v>468</v>
      </c>
      <c r="S1335" s="15" t="s">
        <v>3668</v>
      </c>
      <c r="T1335" s="14">
        <v>3100000</v>
      </c>
      <c r="U1335" s="14">
        <v>0</v>
      </c>
      <c r="V1335" s="14">
        <v>0</v>
      </c>
      <c r="W1335" s="14">
        <v>3100000</v>
      </c>
      <c r="X1335" s="14">
        <v>0</v>
      </c>
      <c r="Y1335" s="14">
        <v>3100000</v>
      </c>
    </row>
    <row r="1336" spans="1:25" x14ac:dyDescent="0.25">
      <c r="A1336" s="18">
        <v>99</v>
      </c>
      <c r="B1336" s="18" t="s">
        <v>3670</v>
      </c>
      <c r="C1336" s="15" t="s">
        <v>3585</v>
      </c>
      <c r="D1336" s="15" t="s">
        <v>3586</v>
      </c>
      <c r="E1336" s="19">
        <v>794</v>
      </c>
      <c r="F1336" s="18" t="s">
        <v>3671</v>
      </c>
      <c r="G1336" s="18" t="s">
        <v>3453</v>
      </c>
      <c r="H1336" s="15" t="s">
        <v>3587</v>
      </c>
      <c r="I1336" s="15" t="s">
        <v>55</v>
      </c>
      <c r="J1336" s="15" t="s">
        <v>3455</v>
      </c>
      <c r="K1336" s="14">
        <v>6000000</v>
      </c>
      <c r="L1336" s="14">
        <v>0</v>
      </c>
      <c r="M1336" s="14">
        <f>K1336-L1336</f>
        <v>6000000</v>
      </c>
      <c r="N1336" s="18">
        <v>1813</v>
      </c>
      <c r="O1336" s="20">
        <v>43209</v>
      </c>
      <c r="P1336" s="15" t="s">
        <v>3588</v>
      </c>
      <c r="Q1336" s="18">
        <v>28</v>
      </c>
      <c r="R1336" s="18">
        <v>971377</v>
      </c>
      <c r="S1336" s="15" t="s">
        <v>3672</v>
      </c>
      <c r="T1336" s="14">
        <v>748901</v>
      </c>
      <c r="U1336" s="14">
        <v>0</v>
      </c>
      <c r="V1336" s="14">
        <v>0</v>
      </c>
      <c r="W1336" s="14">
        <v>748901</v>
      </c>
      <c r="X1336" s="14">
        <v>748901</v>
      </c>
      <c r="Y1336" s="14">
        <v>0</v>
      </c>
    </row>
    <row r="1337" spans="1:25" x14ac:dyDescent="0.25">
      <c r="A1337" s="18"/>
      <c r="B1337" s="18"/>
      <c r="C1337" s="15"/>
      <c r="D1337" s="15"/>
      <c r="E1337" s="19"/>
      <c r="F1337" s="18"/>
      <c r="G1337" s="18"/>
      <c r="H1337" s="15"/>
      <c r="I1337" s="15"/>
      <c r="J1337" s="15"/>
      <c r="K1337" s="14"/>
      <c r="L1337" s="14"/>
      <c r="M1337" s="14"/>
      <c r="N1337" s="26"/>
      <c r="O1337" s="18"/>
      <c r="P1337" s="18"/>
      <c r="Q1337" s="18"/>
      <c r="R1337" s="27"/>
      <c r="S1337" s="18"/>
      <c r="T1337" s="28"/>
      <c r="U1337" s="14"/>
      <c r="V1337" s="14"/>
      <c r="W1337" s="14"/>
      <c r="X1337" s="14"/>
      <c r="Y1337" s="14"/>
    </row>
    <row r="1338" spans="1:25" x14ac:dyDescent="0.25">
      <c r="A1338" s="18"/>
      <c r="B1338" s="18"/>
      <c r="C1338" s="15"/>
      <c r="D1338" s="15"/>
      <c r="E1338" s="19"/>
      <c r="F1338" s="18"/>
      <c r="G1338" s="18"/>
      <c r="H1338" s="15"/>
      <c r="I1338" s="15"/>
      <c r="J1338" s="15"/>
      <c r="K1338" s="14"/>
      <c r="L1338" s="14"/>
      <c r="M1338" s="14"/>
      <c r="N1338" s="26"/>
      <c r="O1338" s="18"/>
      <c r="P1338" s="18"/>
      <c r="Q1338" s="18"/>
      <c r="R1338" s="27"/>
      <c r="S1338" s="18"/>
      <c r="T1338" s="28"/>
      <c r="U1338" s="14"/>
      <c r="V1338" s="14"/>
      <c r="W1338" s="14"/>
      <c r="X1338" s="14"/>
      <c r="Y1338" s="14"/>
    </row>
    <row r="1339" spans="1:25" x14ac:dyDescent="0.25">
      <c r="A1339" s="18"/>
      <c r="B1339" s="18"/>
      <c r="C1339" s="15"/>
      <c r="D1339" s="15"/>
      <c r="E1339" s="19"/>
      <c r="F1339" s="18"/>
      <c r="G1339" s="18"/>
      <c r="H1339" s="15"/>
      <c r="I1339" s="15"/>
      <c r="J1339" s="15"/>
      <c r="K1339" s="14"/>
      <c r="L1339" s="14"/>
      <c r="M1339" s="14"/>
      <c r="N1339" s="26"/>
      <c r="O1339" s="18"/>
      <c r="P1339" s="18"/>
      <c r="Q1339" s="18"/>
      <c r="R1339" s="27"/>
      <c r="S1339" s="18"/>
      <c r="T1339" s="28"/>
      <c r="U1339" s="14"/>
      <c r="V1339" s="14"/>
      <c r="W1339" s="14"/>
      <c r="X1339" s="14"/>
      <c r="Y1339" s="14"/>
    </row>
    <row r="1340" spans="1:25" x14ac:dyDescent="0.25">
      <c r="A1340" s="18"/>
      <c r="B1340" s="18"/>
      <c r="C1340" s="15"/>
      <c r="D1340" s="15"/>
      <c r="E1340" s="19"/>
      <c r="F1340" s="18"/>
      <c r="G1340" s="18"/>
      <c r="H1340" s="15"/>
      <c r="I1340" s="15"/>
      <c r="J1340" s="15"/>
      <c r="K1340" s="14"/>
      <c r="L1340" s="14"/>
      <c r="M1340" s="14"/>
      <c r="N1340" s="26"/>
      <c r="O1340" s="18"/>
      <c r="P1340" s="18"/>
      <c r="Q1340" s="18"/>
      <c r="R1340" s="27"/>
      <c r="S1340" s="18"/>
      <c r="T1340" s="28"/>
      <c r="U1340" s="14"/>
      <c r="V1340" s="14"/>
      <c r="W1340" s="14"/>
      <c r="X1340" s="14"/>
      <c r="Y1340" s="14"/>
    </row>
    <row r="1341" spans="1:25" x14ac:dyDescent="0.25">
      <c r="A1341" s="18"/>
      <c r="B1341" s="18"/>
      <c r="C1341" s="15"/>
      <c r="D1341" s="15"/>
      <c r="E1341" s="19"/>
      <c r="F1341" s="18"/>
      <c r="G1341" s="18"/>
      <c r="H1341" s="15"/>
      <c r="I1341" s="15"/>
      <c r="J1341" s="15"/>
      <c r="K1341" s="14"/>
      <c r="L1341" s="14"/>
      <c r="M1341" s="14"/>
      <c r="N1341" s="26"/>
      <c r="O1341" s="18"/>
      <c r="P1341" s="18"/>
      <c r="Q1341" s="18"/>
      <c r="R1341" s="27"/>
      <c r="S1341" s="18"/>
      <c r="T1341" s="28"/>
      <c r="U1341" s="14"/>
      <c r="V1341" s="14"/>
      <c r="W1341" s="14"/>
      <c r="X1341" s="14"/>
      <c r="Y1341" s="14"/>
    </row>
    <row r="1342" spans="1:25" x14ac:dyDescent="0.25">
      <c r="A1342" s="18"/>
      <c r="B1342" s="18"/>
      <c r="C1342" s="15"/>
      <c r="D1342" s="15"/>
      <c r="E1342" s="19"/>
      <c r="F1342" s="18"/>
      <c r="G1342" s="18"/>
      <c r="H1342" s="15"/>
      <c r="I1342" s="15"/>
      <c r="J1342" s="15"/>
      <c r="K1342" s="14"/>
      <c r="L1342" s="14"/>
      <c r="M1342" s="14"/>
      <c r="N1342" s="26"/>
      <c r="O1342" s="18"/>
      <c r="P1342" s="18"/>
      <c r="Q1342" s="18"/>
      <c r="R1342" s="27"/>
      <c r="S1342" s="18"/>
      <c r="T1342" s="28"/>
      <c r="U1342" s="14"/>
      <c r="V1342" s="14"/>
      <c r="W1342" s="14"/>
      <c r="X1342" s="14"/>
      <c r="Y1342" s="14"/>
    </row>
    <row r="1343" spans="1:25" x14ac:dyDescent="0.25">
      <c r="A1343" s="22">
        <v>62</v>
      </c>
      <c r="B1343" s="18" t="s">
        <v>3673</v>
      </c>
      <c r="C1343" s="15" t="s">
        <v>3585</v>
      </c>
      <c r="D1343" s="15" t="s">
        <v>3586</v>
      </c>
      <c r="E1343" s="19">
        <v>793</v>
      </c>
      <c r="F1343" s="18" t="s">
        <v>3671</v>
      </c>
      <c r="G1343" s="18" t="s">
        <v>3453</v>
      </c>
      <c r="H1343" s="15" t="s">
        <v>3674</v>
      </c>
      <c r="I1343" s="15" t="s">
        <v>55</v>
      </c>
      <c r="J1343" s="15" t="s">
        <v>3455</v>
      </c>
      <c r="K1343" s="14">
        <v>33800000</v>
      </c>
      <c r="L1343" s="14">
        <v>0</v>
      </c>
      <c r="M1343" s="14">
        <f>K1343-L1343</f>
        <v>33800000</v>
      </c>
      <c r="N1343" s="18">
        <v>2446</v>
      </c>
      <c r="O1343" s="20">
        <v>43286</v>
      </c>
      <c r="P1343" s="15" t="s">
        <v>3675</v>
      </c>
      <c r="Q1343" s="18">
        <v>12</v>
      </c>
      <c r="R1343" s="18">
        <v>440</v>
      </c>
      <c r="S1343" s="15" t="s">
        <v>3674</v>
      </c>
      <c r="T1343" s="14">
        <v>33800000</v>
      </c>
      <c r="U1343" s="14">
        <v>0</v>
      </c>
      <c r="V1343" s="14">
        <v>0</v>
      </c>
      <c r="W1343" s="14">
        <v>33800000</v>
      </c>
      <c r="X1343" s="14">
        <v>0</v>
      </c>
      <c r="Y1343" s="14">
        <v>33800000</v>
      </c>
    </row>
    <row r="1344" spans="1:25" x14ac:dyDescent="0.25">
      <c r="A1344" s="18">
        <v>75</v>
      </c>
      <c r="B1344" s="18" t="s">
        <v>3676</v>
      </c>
      <c r="C1344" s="15" t="s">
        <v>3621</v>
      </c>
      <c r="D1344" s="15" t="s">
        <v>3622</v>
      </c>
      <c r="E1344" s="19">
        <v>791</v>
      </c>
      <c r="F1344" s="18" t="s">
        <v>3671</v>
      </c>
      <c r="G1344" s="18" t="s">
        <v>3453</v>
      </c>
      <c r="H1344" s="15" t="s">
        <v>3677</v>
      </c>
      <c r="I1344" s="15" t="s">
        <v>55</v>
      </c>
      <c r="J1344" s="15" t="s">
        <v>3455</v>
      </c>
      <c r="K1344" s="14">
        <v>255579128</v>
      </c>
      <c r="L1344" s="14">
        <v>0</v>
      </c>
      <c r="M1344" s="14">
        <f>K1344-L1344</f>
        <v>255579128</v>
      </c>
      <c r="N1344" s="18">
        <v>2739</v>
      </c>
      <c r="O1344" s="20">
        <v>43336</v>
      </c>
      <c r="P1344" s="15" t="s">
        <v>3678</v>
      </c>
      <c r="Q1344" s="18">
        <v>12</v>
      </c>
      <c r="R1344" s="18">
        <v>537</v>
      </c>
      <c r="S1344" s="15" t="s">
        <v>3679</v>
      </c>
      <c r="T1344" s="14">
        <v>255579128</v>
      </c>
      <c r="U1344" s="14">
        <v>0</v>
      </c>
      <c r="V1344" s="14">
        <v>0</v>
      </c>
      <c r="W1344" s="14">
        <v>255579128</v>
      </c>
      <c r="X1344" s="14">
        <v>6231383</v>
      </c>
      <c r="Y1344" s="14">
        <v>249347745</v>
      </c>
    </row>
    <row r="1345" spans="1:25" x14ac:dyDescent="0.25">
      <c r="A1345" s="22">
        <v>54</v>
      </c>
      <c r="B1345" s="18" t="s">
        <v>3680</v>
      </c>
      <c r="C1345" s="15" t="s">
        <v>3681</v>
      </c>
      <c r="D1345" s="15" t="s">
        <v>3682</v>
      </c>
      <c r="E1345" s="19">
        <v>822</v>
      </c>
      <c r="F1345" s="24">
        <v>43230</v>
      </c>
      <c r="G1345" s="18" t="s">
        <v>3453</v>
      </c>
      <c r="H1345" s="15" t="s">
        <v>3683</v>
      </c>
      <c r="I1345" s="15" t="s">
        <v>55</v>
      </c>
      <c r="J1345" s="15" t="s">
        <v>3455</v>
      </c>
      <c r="K1345" s="14">
        <v>5118446</v>
      </c>
      <c r="L1345" s="14">
        <v>115076</v>
      </c>
      <c r="M1345" s="14">
        <f>K1345-L1345</f>
        <v>5003370</v>
      </c>
      <c r="N1345" s="18">
        <v>2550</v>
      </c>
      <c r="O1345" s="20">
        <v>43312</v>
      </c>
      <c r="P1345" s="15" t="s">
        <v>3684</v>
      </c>
      <c r="Q1345" s="18">
        <v>12</v>
      </c>
      <c r="R1345" s="18">
        <v>467</v>
      </c>
      <c r="S1345" s="15" t="s">
        <v>3683</v>
      </c>
      <c r="T1345" s="14">
        <v>5003370</v>
      </c>
      <c r="U1345" s="14">
        <v>0</v>
      </c>
      <c r="V1345" s="14">
        <v>0</v>
      </c>
      <c r="W1345" s="14">
        <v>5003370</v>
      </c>
      <c r="X1345" s="14">
        <v>0</v>
      </c>
      <c r="Y1345" s="14">
        <v>5003370</v>
      </c>
    </row>
    <row r="1346" spans="1:25" x14ac:dyDescent="0.25">
      <c r="A1346" s="18">
        <v>100</v>
      </c>
      <c r="B1346" s="18"/>
      <c r="C1346" s="15"/>
      <c r="D1346" s="15"/>
      <c r="E1346" s="19"/>
      <c r="F1346" s="24"/>
      <c r="G1346" s="18"/>
      <c r="H1346" s="15"/>
      <c r="I1346" s="15"/>
      <c r="J1346" s="15"/>
      <c r="K1346" s="14"/>
      <c r="L1346" s="14"/>
      <c r="M1346" s="14"/>
      <c r="N1346" s="18"/>
      <c r="O1346" s="20"/>
      <c r="P1346" s="15"/>
      <c r="Q1346" s="18"/>
      <c r="R1346" s="18"/>
      <c r="S1346" s="15"/>
      <c r="T1346" s="14"/>
      <c r="U1346" s="14"/>
      <c r="V1346" s="14"/>
      <c r="W1346" s="14"/>
      <c r="X1346" s="14"/>
      <c r="Y1346" s="14"/>
    </row>
    <row r="1347" spans="1:25" x14ac:dyDescent="0.25">
      <c r="A1347" s="18">
        <v>96</v>
      </c>
      <c r="B1347" s="18" t="s">
        <v>3685</v>
      </c>
      <c r="C1347" s="15" t="s">
        <v>3681</v>
      </c>
      <c r="D1347" s="15" t="s">
        <v>3682</v>
      </c>
      <c r="E1347" s="19">
        <v>881</v>
      </c>
      <c r="F1347" s="24">
        <v>43257</v>
      </c>
      <c r="G1347" s="18" t="s">
        <v>3453</v>
      </c>
      <c r="H1347" s="15" t="s">
        <v>3686</v>
      </c>
      <c r="I1347" s="15" t="s">
        <v>55</v>
      </c>
      <c r="J1347" s="15" t="s">
        <v>3455</v>
      </c>
      <c r="K1347" s="14">
        <v>6181982</v>
      </c>
      <c r="L1347" s="14">
        <v>1209629</v>
      </c>
      <c r="M1347" s="14">
        <f t="shared" ref="M1347:M1364" si="139">K1347-L1347</f>
        <v>4972353</v>
      </c>
      <c r="N1347" s="18">
        <v>2617</v>
      </c>
      <c r="O1347" s="20">
        <v>43322</v>
      </c>
      <c r="P1347" s="15" t="s">
        <v>3687</v>
      </c>
      <c r="Q1347" s="18">
        <v>16</v>
      </c>
      <c r="R1347" s="18">
        <v>486</v>
      </c>
      <c r="S1347" s="15" t="s">
        <v>3686</v>
      </c>
      <c r="T1347" s="14">
        <v>4972353</v>
      </c>
      <c r="U1347" s="14">
        <v>0</v>
      </c>
      <c r="V1347" s="14">
        <v>0</v>
      </c>
      <c r="W1347" s="14">
        <v>4972353</v>
      </c>
      <c r="X1347" s="14">
        <v>0</v>
      </c>
      <c r="Y1347" s="14">
        <v>4972353</v>
      </c>
    </row>
    <row r="1348" spans="1:25" x14ac:dyDescent="0.25">
      <c r="A1348" s="22">
        <v>52</v>
      </c>
      <c r="B1348" s="18" t="s">
        <v>3688</v>
      </c>
      <c r="C1348" s="15" t="s">
        <v>3635</v>
      </c>
      <c r="D1348" s="15" t="s">
        <v>3636</v>
      </c>
      <c r="E1348" s="19">
        <v>884</v>
      </c>
      <c r="F1348" s="24">
        <v>43259</v>
      </c>
      <c r="G1348" s="18" t="s">
        <v>3453</v>
      </c>
      <c r="H1348" s="15" t="s">
        <v>3689</v>
      </c>
      <c r="I1348" s="15" t="s">
        <v>55</v>
      </c>
      <c r="J1348" s="15" t="s">
        <v>3455</v>
      </c>
      <c r="K1348" s="14">
        <v>63638000</v>
      </c>
      <c r="L1348" s="14">
        <v>0</v>
      </c>
      <c r="M1348" s="14">
        <f t="shared" si="139"/>
        <v>63638000</v>
      </c>
      <c r="N1348" s="18">
        <v>2764</v>
      </c>
      <c r="O1348" s="20">
        <v>43341</v>
      </c>
      <c r="P1348" s="15" t="s">
        <v>3690</v>
      </c>
      <c r="Q1348" s="18">
        <v>12</v>
      </c>
      <c r="R1348" s="18">
        <v>500</v>
      </c>
      <c r="S1348" s="15" t="s">
        <v>3689</v>
      </c>
      <c r="T1348" s="14">
        <v>63638000</v>
      </c>
      <c r="U1348" s="14">
        <v>0</v>
      </c>
      <c r="V1348" s="14">
        <v>0</v>
      </c>
      <c r="W1348" s="14">
        <v>63638000</v>
      </c>
      <c r="X1348" s="14">
        <v>0</v>
      </c>
      <c r="Y1348" s="14">
        <v>63638000</v>
      </c>
    </row>
    <row r="1349" spans="1:25" x14ac:dyDescent="0.25">
      <c r="A1349" s="22">
        <v>55</v>
      </c>
      <c r="B1349" s="18" t="s">
        <v>3691</v>
      </c>
      <c r="C1349" s="15" t="s">
        <v>3681</v>
      </c>
      <c r="D1349" s="15" t="s">
        <v>3682</v>
      </c>
      <c r="E1349" s="19">
        <v>885</v>
      </c>
      <c r="F1349" s="24">
        <v>43259</v>
      </c>
      <c r="G1349" s="18" t="s">
        <v>3453</v>
      </c>
      <c r="H1349" s="15" t="s">
        <v>3692</v>
      </c>
      <c r="I1349" s="15" t="s">
        <v>55</v>
      </c>
      <c r="J1349" s="15" t="s">
        <v>3455</v>
      </c>
      <c r="K1349" s="14">
        <v>2905801</v>
      </c>
      <c r="L1349" s="14">
        <v>766801</v>
      </c>
      <c r="M1349" s="14">
        <f t="shared" si="139"/>
        <v>2139000</v>
      </c>
      <c r="N1349" s="18">
        <v>2613</v>
      </c>
      <c r="O1349" s="20">
        <v>43320</v>
      </c>
      <c r="P1349" s="15" t="s">
        <v>3693</v>
      </c>
      <c r="Q1349" s="18">
        <v>16</v>
      </c>
      <c r="R1349" s="18">
        <v>484</v>
      </c>
      <c r="S1349" s="15" t="s">
        <v>3692</v>
      </c>
      <c r="T1349" s="14">
        <v>2139000</v>
      </c>
      <c r="U1349" s="14">
        <v>0</v>
      </c>
      <c r="V1349" s="14">
        <v>0</v>
      </c>
      <c r="W1349" s="14">
        <v>2139000</v>
      </c>
      <c r="X1349" s="14">
        <v>0</v>
      </c>
      <c r="Y1349" s="14">
        <v>2139000</v>
      </c>
    </row>
    <row r="1350" spans="1:25" x14ac:dyDescent="0.25">
      <c r="A1350" s="18">
        <v>105</v>
      </c>
      <c r="B1350" s="18" t="s">
        <v>3694</v>
      </c>
      <c r="C1350" s="15" t="s">
        <v>3681</v>
      </c>
      <c r="D1350" s="15" t="s">
        <v>3682</v>
      </c>
      <c r="E1350" s="19">
        <v>888</v>
      </c>
      <c r="F1350" s="24">
        <v>43264</v>
      </c>
      <c r="G1350" s="18" t="s">
        <v>3453</v>
      </c>
      <c r="H1350" s="15" t="s">
        <v>3695</v>
      </c>
      <c r="I1350" s="15" t="s">
        <v>55</v>
      </c>
      <c r="J1350" s="15" t="s">
        <v>3455</v>
      </c>
      <c r="K1350" s="14">
        <v>2300000</v>
      </c>
      <c r="L1350" s="14">
        <v>1412000</v>
      </c>
      <c r="M1350" s="14">
        <f t="shared" si="139"/>
        <v>888000</v>
      </c>
      <c r="N1350" s="18">
        <v>2506</v>
      </c>
      <c r="O1350" s="20">
        <v>43299</v>
      </c>
      <c r="P1350" s="15" t="s">
        <v>3696</v>
      </c>
      <c r="Q1350" s="18">
        <v>12</v>
      </c>
      <c r="R1350" s="18">
        <v>646</v>
      </c>
      <c r="S1350" s="15" t="s">
        <v>3695</v>
      </c>
      <c r="T1350" s="14">
        <v>2300000</v>
      </c>
      <c r="U1350" s="14">
        <v>1412000</v>
      </c>
      <c r="V1350" s="14">
        <v>0</v>
      </c>
      <c r="W1350" s="14">
        <v>888000</v>
      </c>
      <c r="X1350" s="14">
        <v>888000</v>
      </c>
      <c r="Y1350" s="14">
        <v>0</v>
      </c>
    </row>
    <row r="1351" spans="1:25" x14ac:dyDescent="0.25">
      <c r="A1351" s="22">
        <v>49</v>
      </c>
      <c r="B1351" s="18" t="s">
        <v>3697</v>
      </c>
      <c r="C1351" s="15" t="s">
        <v>3698</v>
      </c>
      <c r="D1351" s="15" t="s">
        <v>3699</v>
      </c>
      <c r="E1351" s="19">
        <v>890</v>
      </c>
      <c r="F1351" s="24">
        <v>43266</v>
      </c>
      <c r="G1351" s="18" t="s">
        <v>3453</v>
      </c>
      <c r="H1351" s="15" t="s">
        <v>3700</v>
      </c>
      <c r="I1351" s="15" t="s">
        <v>55</v>
      </c>
      <c r="J1351" s="15" t="s">
        <v>3455</v>
      </c>
      <c r="K1351" s="14">
        <v>34250000</v>
      </c>
      <c r="L1351" s="14">
        <v>0</v>
      </c>
      <c r="M1351" s="14">
        <f t="shared" si="139"/>
        <v>34250000</v>
      </c>
      <c r="N1351" s="18">
        <v>2756</v>
      </c>
      <c r="O1351" s="20">
        <v>43339</v>
      </c>
      <c r="P1351" s="15" t="s">
        <v>3701</v>
      </c>
      <c r="Q1351" s="18">
        <v>11</v>
      </c>
      <c r="R1351" s="18">
        <v>533</v>
      </c>
      <c r="S1351" s="15" t="s">
        <v>3700</v>
      </c>
      <c r="T1351" s="14">
        <v>34250000</v>
      </c>
      <c r="U1351" s="14">
        <v>0</v>
      </c>
      <c r="V1351" s="14">
        <v>0</v>
      </c>
      <c r="W1351" s="14">
        <v>34250000</v>
      </c>
      <c r="X1351" s="14">
        <v>0</v>
      </c>
      <c r="Y1351" s="14">
        <v>34250000</v>
      </c>
    </row>
    <row r="1352" spans="1:25" x14ac:dyDescent="0.25">
      <c r="A1352" s="22">
        <v>53</v>
      </c>
      <c r="B1352" s="18" t="s">
        <v>3702</v>
      </c>
      <c r="C1352" s="15" t="s">
        <v>3703</v>
      </c>
      <c r="D1352" s="15" t="s">
        <v>3704</v>
      </c>
      <c r="E1352" s="19">
        <v>901</v>
      </c>
      <c r="F1352" s="24">
        <v>43270</v>
      </c>
      <c r="G1352" s="18" t="s">
        <v>3453</v>
      </c>
      <c r="H1352" s="15" t="s">
        <v>3705</v>
      </c>
      <c r="I1352" s="15" t="s">
        <v>55</v>
      </c>
      <c r="J1352" s="15" t="s">
        <v>3455</v>
      </c>
      <c r="K1352" s="14">
        <v>27869964</v>
      </c>
      <c r="L1352" s="14">
        <v>0</v>
      </c>
      <c r="M1352" s="14">
        <f t="shared" si="139"/>
        <v>27869964</v>
      </c>
      <c r="N1352" s="16"/>
      <c r="O1352" s="16"/>
      <c r="P1352" s="16"/>
      <c r="Q1352" s="16"/>
      <c r="R1352" s="16"/>
      <c r="S1352" s="16"/>
      <c r="T1352" s="16"/>
      <c r="U1352" s="16"/>
      <c r="V1352" s="16"/>
      <c r="W1352" s="16"/>
      <c r="X1352" s="16"/>
      <c r="Y1352" s="16"/>
    </row>
    <row r="1353" spans="1:25" x14ac:dyDescent="0.25">
      <c r="A1353" s="22">
        <v>23</v>
      </c>
      <c r="B1353" s="18" t="s">
        <v>3706</v>
      </c>
      <c r="C1353" s="15" t="s">
        <v>3450</v>
      </c>
      <c r="D1353" s="15" t="s">
        <v>3451</v>
      </c>
      <c r="E1353" s="19">
        <v>930</v>
      </c>
      <c r="F1353" s="24">
        <v>43279</v>
      </c>
      <c r="G1353" s="18" t="s">
        <v>3453</v>
      </c>
      <c r="H1353" s="15" t="s">
        <v>3707</v>
      </c>
      <c r="I1353" s="15" t="s">
        <v>55</v>
      </c>
      <c r="J1353" s="15" t="s">
        <v>3455</v>
      </c>
      <c r="K1353" s="14">
        <v>85680000</v>
      </c>
      <c r="L1353" s="14">
        <v>0</v>
      </c>
      <c r="M1353" s="14">
        <f t="shared" si="139"/>
        <v>85680000</v>
      </c>
      <c r="N1353" s="18">
        <v>2427</v>
      </c>
      <c r="O1353" s="20">
        <v>43285</v>
      </c>
      <c r="P1353" s="15" t="s">
        <v>3708</v>
      </c>
      <c r="Q1353" s="18">
        <v>145</v>
      </c>
      <c r="R1353" s="18">
        <v>438</v>
      </c>
      <c r="S1353" s="15" t="s">
        <v>3707</v>
      </c>
      <c r="T1353" s="14">
        <v>85680000</v>
      </c>
      <c r="U1353" s="14">
        <v>0</v>
      </c>
      <c r="V1353" s="14">
        <v>0</v>
      </c>
      <c r="W1353" s="14">
        <v>85680000</v>
      </c>
      <c r="X1353" s="14">
        <v>27132000</v>
      </c>
      <c r="Y1353" s="14">
        <v>58548000</v>
      </c>
    </row>
    <row r="1354" spans="1:25" x14ac:dyDescent="0.25">
      <c r="A1354" s="18">
        <v>78</v>
      </c>
      <c r="B1354" s="18" t="s">
        <v>3709</v>
      </c>
      <c r="C1354" s="15" t="s">
        <v>3621</v>
      </c>
      <c r="D1354" s="15" t="s">
        <v>3622</v>
      </c>
      <c r="E1354" s="19">
        <v>938</v>
      </c>
      <c r="F1354" s="24">
        <v>43285</v>
      </c>
      <c r="G1354" s="18" t="s">
        <v>3453</v>
      </c>
      <c r="H1354" s="15" t="s">
        <v>3710</v>
      </c>
      <c r="I1354" s="15" t="s">
        <v>55</v>
      </c>
      <c r="J1354" s="15" t="s">
        <v>3455</v>
      </c>
      <c r="K1354" s="14">
        <v>5500000</v>
      </c>
      <c r="L1354" s="14">
        <v>0</v>
      </c>
      <c r="M1354" s="14">
        <f t="shared" si="139"/>
        <v>5500000</v>
      </c>
      <c r="N1354" s="18">
        <v>2618</v>
      </c>
      <c r="O1354" s="20">
        <v>43322</v>
      </c>
      <c r="P1354" s="15" t="s">
        <v>3711</v>
      </c>
      <c r="Q1354" s="18">
        <v>12</v>
      </c>
      <c r="R1354" s="18">
        <v>477</v>
      </c>
      <c r="S1354" s="15" t="s">
        <v>3712</v>
      </c>
      <c r="T1354" s="14">
        <v>5500000</v>
      </c>
      <c r="U1354" s="14">
        <v>0</v>
      </c>
      <c r="V1354" s="14">
        <v>0</v>
      </c>
      <c r="W1354" s="14">
        <v>5500000</v>
      </c>
      <c r="X1354" s="14">
        <v>0</v>
      </c>
      <c r="Y1354" s="14">
        <v>5500000</v>
      </c>
    </row>
    <row r="1355" spans="1:25" x14ac:dyDescent="0.25">
      <c r="A1355" s="18">
        <v>109</v>
      </c>
      <c r="B1355" s="18" t="s">
        <v>3713</v>
      </c>
      <c r="C1355" s="15" t="s">
        <v>3517</v>
      </c>
      <c r="D1355" s="15" t="s">
        <v>3518</v>
      </c>
      <c r="E1355" s="19">
        <v>952</v>
      </c>
      <c r="F1355" s="24">
        <v>43291</v>
      </c>
      <c r="G1355" s="18" t="s">
        <v>3453</v>
      </c>
      <c r="H1355" s="15" t="s">
        <v>3714</v>
      </c>
      <c r="I1355" s="15" t="s">
        <v>55</v>
      </c>
      <c r="J1355" s="15" t="s">
        <v>3455</v>
      </c>
      <c r="K1355" s="14">
        <v>18076157</v>
      </c>
      <c r="L1355" s="14">
        <v>0</v>
      </c>
      <c r="M1355" s="14">
        <f t="shared" si="139"/>
        <v>18076157</v>
      </c>
      <c r="N1355" s="18">
        <v>2505</v>
      </c>
      <c r="O1355" s="20">
        <v>43299</v>
      </c>
      <c r="P1355" s="15" t="s">
        <v>3715</v>
      </c>
      <c r="Q1355" s="18">
        <v>148</v>
      </c>
      <c r="R1355" s="18">
        <v>448</v>
      </c>
      <c r="S1355" s="15" t="s">
        <v>3714</v>
      </c>
      <c r="T1355" s="14">
        <v>18076157</v>
      </c>
      <c r="U1355" s="14">
        <v>0</v>
      </c>
      <c r="V1355" s="14">
        <v>0</v>
      </c>
      <c r="W1355" s="14">
        <v>18076157</v>
      </c>
      <c r="X1355" s="14">
        <v>4768557</v>
      </c>
      <c r="Y1355" s="14">
        <v>13307600</v>
      </c>
    </row>
    <row r="1356" spans="1:25" x14ac:dyDescent="0.25">
      <c r="A1356" s="18">
        <v>77</v>
      </c>
      <c r="B1356" s="18" t="s">
        <v>3716</v>
      </c>
      <c r="C1356" s="15" t="s">
        <v>3621</v>
      </c>
      <c r="D1356" s="15" t="s">
        <v>3622</v>
      </c>
      <c r="E1356" s="19">
        <v>1009</v>
      </c>
      <c r="F1356" s="24">
        <v>43311</v>
      </c>
      <c r="G1356" s="18" t="s">
        <v>3453</v>
      </c>
      <c r="H1356" s="15" t="s">
        <v>3717</v>
      </c>
      <c r="I1356" s="15" t="s">
        <v>55</v>
      </c>
      <c r="J1356" s="15" t="s">
        <v>3455</v>
      </c>
      <c r="K1356" s="14">
        <v>9242840</v>
      </c>
      <c r="L1356" s="14">
        <v>204392</v>
      </c>
      <c r="M1356" s="14">
        <f t="shared" si="139"/>
        <v>9038448</v>
      </c>
      <c r="N1356" s="18">
        <v>2829</v>
      </c>
      <c r="O1356" s="20">
        <v>43353</v>
      </c>
      <c r="P1356" s="15" t="s">
        <v>3718</v>
      </c>
      <c r="Q1356" s="18">
        <v>12</v>
      </c>
      <c r="R1356" s="18">
        <v>554</v>
      </c>
      <c r="S1356" s="15" t="s">
        <v>3717</v>
      </c>
      <c r="T1356" s="14">
        <v>9038448</v>
      </c>
      <c r="U1356" s="14">
        <v>0</v>
      </c>
      <c r="V1356" s="14">
        <v>0</v>
      </c>
      <c r="W1356" s="14">
        <v>9038448</v>
      </c>
      <c r="X1356" s="14">
        <v>0</v>
      </c>
      <c r="Y1356" s="14">
        <v>9038448</v>
      </c>
    </row>
    <row r="1357" spans="1:25" x14ac:dyDescent="0.25">
      <c r="A1357" s="18">
        <v>98</v>
      </c>
      <c r="B1357" s="29" t="s">
        <v>3719</v>
      </c>
      <c r="C1357" s="30" t="s">
        <v>3681</v>
      </c>
      <c r="D1357" s="30" t="s">
        <v>3682</v>
      </c>
      <c r="E1357" s="29">
        <v>1022</v>
      </c>
      <c r="F1357" s="31">
        <v>43314</v>
      </c>
      <c r="G1357" s="29" t="s">
        <v>3453</v>
      </c>
      <c r="H1357" s="30" t="s">
        <v>3720</v>
      </c>
      <c r="I1357" s="30" t="s">
        <v>55</v>
      </c>
      <c r="J1357" s="30" t="s">
        <v>3455</v>
      </c>
      <c r="K1357" s="32">
        <v>7766051</v>
      </c>
      <c r="L1357" s="32">
        <v>4166051</v>
      </c>
      <c r="M1357" s="32">
        <f t="shared" si="139"/>
        <v>3600000</v>
      </c>
      <c r="N1357" s="18">
        <v>2932</v>
      </c>
      <c r="O1357" s="20">
        <v>43369</v>
      </c>
      <c r="P1357" s="15" t="s">
        <v>3721</v>
      </c>
      <c r="Q1357" s="18">
        <v>12</v>
      </c>
      <c r="R1357" s="18">
        <v>594</v>
      </c>
      <c r="S1357" s="15" t="s">
        <v>3720</v>
      </c>
      <c r="T1357" s="14">
        <v>3600000</v>
      </c>
      <c r="U1357" s="14">
        <v>0</v>
      </c>
      <c r="V1357" s="14">
        <v>0</v>
      </c>
      <c r="W1357" s="14">
        <v>3600000</v>
      </c>
      <c r="X1357" s="14">
        <v>0</v>
      </c>
      <c r="Y1357" s="14">
        <v>3600000</v>
      </c>
    </row>
    <row r="1358" spans="1:25" x14ac:dyDescent="0.25">
      <c r="A1358" s="18">
        <v>110</v>
      </c>
      <c r="B1358" s="29" t="s">
        <v>3722</v>
      </c>
      <c r="C1358" s="30" t="s">
        <v>3649</v>
      </c>
      <c r="D1358" s="30" t="s">
        <v>3650</v>
      </c>
      <c r="E1358" s="29">
        <v>1059</v>
      </c>
      <c r="F1358" s="31">
        <v>43325</v>
      </c>
      <c r="G1358" s="29" t="s">
        <v>3453</v>
      </c>
      <c r="H1358" s="30" t="s">
        <v>3723</v>
      </c>
      <c r="I1358" s="30" t="s">
        <v>55</v>
      </c>
      <c r="J1358" s="30" t="s">
        <v>3455</v>
      </c>
      <c r="K1358" s="32">
        <v>11216794</v>
      </c>
      <c r="L1358" s="32">
        <v>0</v>
      </c>
      <c r="M1358" s="32">
        <f t="shared" si="139"/>
        <v>11216794</v>
      </c>
      <c r="N1358" s="18"/>
      <c r="O1358" s="33"/>
      <c r="P1358" s="15"/>
      <c r="Q1358" s="18"/>
      <c r="R1358" s="15"/>
      <c r="S1358" s="15"/>
      <c r="T1358" s="14"/>
      <c r="U1358" s="14"/>
      <c r="V1358" s="14"/>
      <c r="W1358" s="14"/>
      <c r="X1358" s="14"/>
      <c r="Y1358" s="14"/>
    </row>
    <row r="1359" spans="1:25" x14ac:dyDescent="0.25">
      <c r="A1359" s="18">
        <v>111</v>
      </c>
      <c r="B1359" s="29" t="s">
        <v>3724</v>
      </c>
      <c r="C1359" s="30" t="s">
        <v>3450</v>
      </c>
      <c r="D1359" s="30" t="s">
        <v>3451</v>
      </c>
      <c r="E1359" s="29">
        <v>1065</v>
      </c>
      <c r="F1359" s="31">
        <v>43327</v>
      </c>
      <c r="G1359" s="29" t="s">
        <v>3453</v>
      </c>
      <c r="H1359" s="30" t="s">
        <v>3725</v>
      </c>
      <c r="I1359" s="30" t="s">
        <v>55</v>
      </c>
      <c r="J1359" s="30" t="s">
        <v>3455</v>
      </c>
      <c r="K1359" s="32">
        <v>28428000</v>
      </c>
      <c r="L1359" s="32">
        <v>824000</v>
      </c>
      <c r="M1359" s="32">
        <f t="shared" si="139"/>
        <v>27604000</v>
      </c>
      <c r="N1359" s="18">
        <v>2747</v>
      </c>
      <c r="O1359" s="20">
        <v>43336</v>
      </c>
      <c r="P1359" s="15" t="s">
        <v>3726</v>
      </c>
      <c r="Q1359" s="18">
        <v>145</v>
      </c>
      <c r="R1359" s="18">
        <v>532</v>
      </c>
      <c r="S1359" s="15" t="s">
        <v>3725</v>
      </c>
      <c r="T1359" s="14">
        <v>27604000</v>
      </c>
      <c r="U1359" s="14">
        <v>0</v>
      </c>
      <c r="V1359" s="14">
        <v>0</v>
      </c>
      <c r="W1359" s="14">
        <v>27604000</v>
      </c>
      <c r="X1359" s="14">
        <v>0</v>
      </c>
      <c r="Y1359" s="14">
        <v>27604000</v>
      </c>
    </row>
    <row r="1360" spans="1:25" x14ac:dyDescent="0.25">
      <c r="A1360" s="18">
        <v>79</v>
      </c>
      <c r="B1360" s="29" t="s">
        <v>3727</v>
      </c>
      <c r="C1360" s="30" t="s">
        <v>3621</v>
      </c>
      <c r="D1360" s="30" t="s">
        <v>3622</v>
      </c>
      <c r="E1360" s="29">
        <v>1075</v>
      </c>
      <c r="F1360" s="31">
        <v>43329</v>
      </c>
      <c r="G1360" s="29" t="s">
        <v>3453</v>
      </c>
      <c r="H1360" s="30" t="s">
        <v>3728</v>
      </c>
      <c r="I1360" s="30" t="s">
        <v>55</v>
      </c>
      <c r="J1360" s="30" t="s">
        <v>3455</v>
      </c>
      <c r="K1360" s="32">
        <v>7058597</v>
      </c>
      <c r="L1360" s="32">
        <v>0</v>
      </c>
      <c r="M1360" s="32">
        <f t="shared" si="139"/>
        <v>7058597</v>
      </c>
      <c r="N1360" s="18"/>
      <c r="O1360" s="33"/>
      <c r="P1360" s="15"/>
      <c r="Q1360" s="18"/>
      <c r="R1360" s="15"/>
      <c r="S1360" s="15"/>
      <c r="T1360" s="14"/>
      <c r="U1360" s="14"/>
      <c r="V1360" s="14"/>
      <c r="W1360" s="14"/>
      <c r="X1360" s="14"/>
      <c r="Y1360" s="14"/>
    </row>
    <row r="1361" spans="1:25" x14ac:dyDescent="0.25">
      <c r="A1361" s="22">
        <v>61</v>
      </c>
      <c r="B1361" s="29" t="s">
        <v>3729</v>
      </c>
      <c r="C1361" s="30" t="s">
        <v>3730</v>
      </c>
      <c r="D1361" s="30" t="s">
        <v>3731</v>
      </c>
      <c r="E1361" s="29">
        <v>1095</v>
      </c>
      <c r="F1361" s="31">
        <v>43334</v>
      </c>
      <c r="G1361" s="29" t="s">
        <v>3453</v>
      </c>
      <c r="H1361" s="30" t="s">
        <v>3732</v>
      </c>
      <c r="I1361" s="30" t="s">
        <v>55</v>
      </c>
      <c r="J1361" s="30" t="s">
        <v>3455</v>
      </c>
      <c r="K1361" s="32">
        <v>270540849</v>
      </c>
      <c r="L1361" s="32">
        <v>0</v>
      </c>
      <c r="M1361" s="32">
        <f t="shared" si="139"/>
        <v>270540849</v>
      </c>
      <c r="N1361" s="18"/>
      <c r="O1361" s="33"/>
      <c r="P1361" s="15"/>
      <c r="Q1361" s="18"/>
      <c r="R1361" s="15"/>
      <c r="S1361" s="15"/>
      <c r="T1361" s="14"/>
      <c r="U1361" s="14"/>
      <c r="V1361" s="14"/>
      <c r="W1361" s="14"/>
      <c r="X1361" s="14"/>
      <c r="Y1361" s="14"/>
    </row>
    <row r="1362" spans="1:25" x14ac:dyDescent="0.25">
      <c r="A1362" s="18">
        <v>97</v>
      </c>
      <c r="B1362" s="29" t="s">
        <v>3733</v>
      </c>
      <c r="C1362" s="30" t="s">
        <v>3681</v>
      </c>
      <c r="D1362" s="30" t="s">
        <v>3682</v>
      </c>
      <c r="E1362" s="29">
        <v>1168</v>
      </c>
      <c r="F1362" s="31">
        <v>43361</v>
      </c>
      <c r="G1362" s="29" t="s">
        <v>3453</v>
      </c>
      <c r="H1362" s="30" t="s">
        <v>3734</v>
      </c>
      <c r="I1362" s="30" t="s">
        <v>55</v>
      </c>
      <c r="J1362" s="30" t="s">
        <v>3455</v>
      </c>
      <c r="K1362" s="32">
        <v>20309426</v>
      </c>
      <c r="L1362" s="32">
        <v>0</v>
      </c>
      <c r="M1362" s="32">
        <f t="shared" si="139"/>
        <v>20309426</v>
      </c>
      <c r="N1362" s="18"/>
      <c r="O1362" s="33"/>
      <c r="P1362" s="15"/>
      <c r="Q1362" s="18"/>
      <c r="R1362" s="15"/>
      <c r="S1362" s="15"/>
      <c r="T1362" s="14"/>
      <c r="U1362" s="14"/>
      <c r="V1362" s="14"/>
      <c r="W1362" s="14"/>
      <c r="X1362" s="14"/>
      <c r="Y1362" s="14"/>
    </row>
    <row r="1363" spans="1:25" x14ac:dyDescent="0.25">
      <c r="A1363" s="18">
        <v>113</v>
      </c>
      <c r="B1363" s="29" t="s">
        <v>3735</v>
      </c>
      <c r="C1363" s="30" t="s">
        <v>3616</v>
      </c>
      <c r="D1363" s="30" t="s">
        <v>3617</v>
      </c>
      <c r="E1363" s="29">
        <v>1199</v>
      </c>
      <c r="F1363" s="31">
        <v>43369</v>
      </c>
      <c r="G1363" s="29" t="s">
        <v>3453</v>
      </c>
      <c r="H1363" s="30" t="s">
        <v>3736</v>
      </c>
      <c r="I1363" s="30" t="s">
        <v>55</v>
      </c>
      <c r="J1363" s="30" t="s">
        <v>3455</v>
      </c>
      <c r="K1363" s="32">
        <v>10744187</v>
      </c>
      <c r="L1363" s="32">
        <v>0</v>
      </c>
      <c r="M1363" s="32">
        <f t="shared" si="139"/>
        <v>10744187</v>
      </c>
      <c r="N1363" s="18"/>
      <c r="O1363" s="33"/>
      <c r="P1363" s="15"/>
      <c r="Q1363" s="18"/>
      <c r="R1363" s="15"/>
      <c r="S1363" s="15"/>
      <c r="T1363" s="14"/>
      <c r="U1363" s="14"/>
      <c r="V1363" s="14"/>
      <c r="W1363" s="14"/>
      <c r="X1363" s="14"/>
      <c r="Y1363" s="14"/>
    </row>
    <row r="1364" spans="1:25" x14ac:dyDescent="0.25">
      <c r="A1364" s="22">
        <v>45</v>
      </c>
      <c r="B1364" s="18" t="s">
        <v>3737</v>
      </c>
      <c r="C1364" s="15" t="s">
        <v>3738</v>
      </c>
      <c r="D1364" s="15" t="s">
        <v>3739</v>
      </c>
      <c r="E1364" s="19">
        <v>127</v>
      </c>
      <c r="F1364" s="18" t="s">
        <v>3497</v>
      </c>
      <c r="G1364" s="18" t="s">
        <v>3453</v>
      </c>
      <c r="H1364" s="15" t="s">
        <v>3740</v>
      </c>
      <c r="I1364" s="15" t="s">
        <v>55</v>
      </c>
      <c r="J1364" s="15" t="s">
        <v>3455</v>
      </c>
      <c r="K1364" s="14">
        <v>154617000</v>
      </c>
      <c r="L1364" s="14">
        <v>0</v>
      </c>
      <c r="M1364" s="14">
        <f t="shared" si="139"/>
        <v>154617000</v>
      </c>
      <c r="N1364" s="18">
        <v>122</v>
      </c>
      <c r="O1364" s="20">
        <v>43117</v>
      </c>
      <c r="P1364" s="15" t="s">
        <v>3741</v>
      </c>
      <c r="Q1364" s="18">
        <v>28</v>
      </c>
      <c r="R1364" s="18">
        <v>608365</v>
      </c>
      <c r="S1364" s="15" t="s">
        <v>3742</v>
      </c>
      <c r="T1364" s="14">
        <v>11671210</v>
      </c>
      <c r="U1364" s="14">
        <v>0</v>
      </c>
      <c r="V1364" s="14">
        <v>0</v>
      </c>
      <c r="W1364" s="14">
        <v>11671210</v>
      </c>
      <c r="X1364" s="14">
        <v>11671210</v>
      </c>
      <c r="Y1364" s="14">
        <v>0</v>
      </c>
    </row>
    <row r="1365" spans="1:25" x14ac:dyDescent="0.25">
      <c r="A1365" s="22"/>
      <c r="B1365" s="18"/>
      <c r="C1365" s="15"/>
      <c r="D1365" s="15"/>
      <c r="E1365" s="19"/>
      <c r="F1365" s="18"/>
      <c r="G1365" s="18"/>
      <c r="H1365" s="15"/>
      <c r="I1365" s="15"/>
      <c r="J1365" s="15"/>
      <c r="K1365" s="14"/>
      <c r="L1365" s="14"/>
      <c r="M1365" s="14"/>
      <c r="N1365" s="18">
        <v>1378</v>
      </c>
      <c r="O1365" s="20">
        <v>43147</v>
      </c>
      <c r="P1365" s="15" t="s">
        <v>3741</v>
      </c>
      <c r="Q1365" s="18">
        <v>28</v>
      </c>
      <c r="R1365" s="18">
        <v>697031</v>
      </c>
      <c r="S1365" s="15" t="s">
        <v>3743</v>
      </c>
      <c r="T1365" s="14">
        <v>12461870</v>
      </c>
      <c r="U1365" s="14">
        <v>0</v>
      </c>
      <c r="V1365" s="14">
        <v>0</v>
      </c>
      <c r="W1365" s="14">
        <v>12461870</v>
      </c>
      <c r="X1365" s="14">
        <v>12461870</v>
      </c>
      <c r="Y1365" s="14">
        <v>0</v>
      </c>
    </row>
    <row r="1366" spans="1:25" x14ac:dyDescent="0.25">
      <c r="A1366" s="22"/>
      <c r="B1366" s="18"/>
      <c r="C1366" s="15"/>
      <c r="D1366" s="15"/>
      <c r="E1366" s="19"/>
      <c r="F1366" s="18"/>
      <c r="G1366" s="18"/>
      <c r="H1366" s="15"/>
      <c r="I1366" s="15"/>
      <c r="J1366" s="15"/>
      <c r="K1366" s="14"/>
      <c r="L1366" s="14"/>
      <c r="M1366" s="14"/>
      <c r="N1366" s="18">
        <v>1600</v>
      </c>
      <c r="O1366" s="20">
        <v>43179</v>
      </c>
      <c r="P1366" s="15" t="s">
        <v>3741</v>
      </c>
      <c r="Q1366" s="18">
        <v>28</v>
      </c>
      <c r="R1366" s="18">
        <v>818060</v>
      </c>
      <c r="S1366" s="15" t="s">
        <v>3744</v>
      </c>
      <c r="T1366" s="14">
        <v>12139210</v>
      </c>
      <c r="U1366" s="14">
        <v>0</v>
      </c>
      <c r="V1366" s="14">
        <v>0</v>
      </c>
      <c r="W1366" s="14">
        <v>12139210</v>
      </c>
      <c r="X1366" s="14">
        <v>12139210</v>
      </c>
      <c r="Y1366" s="14">
        <v>0</v>
      </c>
    </row>
    <row r="1367" spans="1:25" x14ac:dyDescent="0.25">
      <c r="A1367" s="22"/>
      <c r="B1367" s="18"/>
      <c r="C1367" s="15"/>
      <c r="D1367" s="15"/>
      <c r="E1367" s="19"/>
      <c r="F1367" s="18"/>
      <c r="G1367" s="18"/>
      <c r="H1367" s="15"/>
      <c r="I1367" s="15"/>
      <c r="J1367" s="15"/>
      <c r="K1367" s="14"/>
      <c r="L1367" s="14"/>
      <c r="M1367" s="14"/>
      <c r="N1367" s="18">
        <v>1805</v>
      </c>
      <c r="O1367" s="20">
        <v>43207</v>
      </c>
      <c r="P1367" s="15" t="s">
        <v>3741</v>
      </c>
      <c r="Q1367" s="18">
        <v>28</v>
      </c>
      <c r="R1367" s="18">
        <v>886232</v>
      </c>
      <c r="S1367" s="15" t="s">
        <v>3745</v>
      </c>
      <c r="T1367" s="14">
        <v>14173580</v>
      </c>
      <c r="U1367" s="14">
        <v>0</v>
      </c>
      <c r="V1367" s="14">
        <v>0</v>
      </c>
      <c r="W1367" s="14">
        <v>14173580</v>
      </c>
      <c r="X1367" s="14">
        <v>14173580</v>
      </c>
      <c r="Y1367" s="14">
        <v>0</v>
      </c>
    </row>
    <row r="1368" spans="1:25" x14ac:dyDescent="0.25">
      <c r="A1368" s="22"/>
      <c r="B1368" s="18"/>
      <c r="C1368" s="15"/>
      <c r="D1368" s="15"/>
      <c r="E1368" s="19"/>
      <c r="F1368" s="18"/>
      <c r="G1368" s="18"/>
      <c r="H1368" s="15"/>
      <c r="I1368" s="15"/>
      <c r="J1368" s="15"/>
      <c r="K1368" s="14"/>
      <c r="L1368" s="14"/>
      <c r="M1368" s="14"/>
      <c r="N1368" s="18">
        <v>1917</v>
      </c>
      <c r="O1368" s="20">
        <v>43241</v>
      </c>
      <c r="P1368" s="15" t="s">
        <v>3741</v>
      </c>
      <c r="Q1368" s="18">
        <v>28</v>
      </c>
      <c r="R1368" s="18">
        <v>138680</v>
      </c>
      <c r="S1368" s="15" t="s">
        <v>3746</v>
      </c>
      <c r="T1368" s="14">
        <v>13018290</v>
      </c>
      <c r="U1368" s="14">
        <v>0</v>
      </c>
      <c r="V1368" s="14">
        <v>0</v>
      </c>
      <c r="W1368" s="14">
        <v>13018290</v>
      </c>
      <c r="X1368" s="14">
        <v>13018290</v>
      </c>
      <c r="Y1368" s="14">
        <v>0</v>
      </c>
    </row>
    <row r="1369" spans="1:25" x14ac:dyDescent="0.25">
      <c r="A1369" s="22"/>
      <c r="B1369" s="18"/>
      <c r="C1369" s="15"/>
      <c r="D1369" s="15"/>
      <c r="E1369" s="19"/>
      <c r="F1369" s="18"/>
      <c r="G1369" s="18"/>
      <c r="H1369" s="15"/>
      <c r="I1369" s="15"/>
      <c r="J1369" s="15"/>
      <c r="K1369" s="14"/>
      <c r="L1369" s="14"/>
      <c r="M1369" s="14"/>
      <c r="N1369" s="18">
        <v>2037</v>
      </c>
      <c r="O1369" s="20">
        <v>43271</v>
      </c>
      <c r="P1369" s="15" t="s">
        <v>3741</v>
      </c>
      <c r="Q1369" s="18">
        <v>28</v>
      </c>
      <c r="R1369" s="18">
        <v>3023709</v>
      </c>
      <c r="S1369" s="15" t="s">
        <v>3747</v>
      </c>
      <c r="T1369" s="14">
        <v>12747380</v>
      </c>
      <c r="U1369" s="14">
        <v>0</v>
      </c>
      <c r="V1369" s="14">
        <v>0</v>
      </c>
      <c r="W1369" s="14">
        <v>12747380</v>
      </c>
      <c r="X1369" s="14">
        <v>12747380</v>
      </c>
      <c r="Y1369" s="14">
        <v>0</v>
      </c>
    </row>
    <row r="1370" spans="1:25" x14ac:dyDescent="0.25">
      <c r="A1370" s="22"/>
      <c r="B1370" s="18"/>
      <c r="C1370" s="15"/>
      <c r="D1370" s="15"/>
      <c r="E1370" s="19"/>
      <c r="F1370" s="18"/>
      <c r="G1370" s="18"/>
      <c r="H1370" s="15"/>
      <c r="I1370" s="15"/>
      <c r="J1370" s="15"/>
      <c r="K1370" s="14"/>
      <c r="L1370" s="14"/>
      <c r="M1370" s="14"/>
      <c r="N1370" s="18">
        <v>2502</v>
      </c>
      <c r="O1370" s="20">
        <v>43299</v>
      </c>
      <c r="P1370" s="15" t="s">
        <v>3741</v>
      </c>
      <c r="Q1370" s="18">
        <v>28</v>
      </c>
      <c r="R1370" s="18">
        <v>384559</v>
      </c>
      <c r="S1370" s="15" t="s">
        <v>3748</v>
      </c>
      <c r="T1370" s="14">
        <v>12613650</v>
      </c>
      <c r="U1370" s="14">
        <v>0</v>
      </c>
      <c r="V1370" s="14">
        <v>0</v>
      </c>
      <c r="W1370" s="14">
        <v>12613650</v>
      </c>
      <c r="X1370" s="14">
        <v>12613650</v>
      </c>
      <c r="Y1370" s="14">
        <v>0</v>
      </c>
    </row>
    <row r="1371" spans="1:25" x14ac:dyDescent="0.25">
      <c r="A1371" s="22"/>
      <c r="B1371" s="18"/>
      <c r="C1371" s="15"/>
      <c r="D1371" s="15"/>
      <c r="E1371" s="19"/>
      <c r="F1371" s="18"/>
      <c r="G1371" s="18"/>
      <c r="H1371" s="15"/>
      <c r="I1371" s="15"/>
      <c r="J1371" s="15"/>
      <c r="K1371" s="14"/>
      <c r="L1371" s="14"/>
      <c r="M1371" s="14"/>
      <c r="N1371" s="18">
        <v>2720</v>
      </c>
      <c r="O1371" s="20">
        <v>43335</v>
      </c>
      <c r="P1371" s="15" t="s">
        <v>3741</v>
      </c>
      <c r="Q1371" s="18">
        <v>28</v>
      </c>
      <c r="R1371" s="18">
        <v>994486</v>
      </c>
      <c r="S1371" s="15" t="s">
        <v>3749</v>
      </c>
      <c r="T1371" s="14">
        <v>12687370</v>
      </c>
      <c r="U1371" s="14">
        <v>0</v>
      </c>
      <c r="V1371" s="14">
        <v>0</v>
      </c>
      <c r="W1371" s="14">
        <v>12687370</v>
      </c>
      <c r="X1371" s="14">
        <v>12687370</v>
      </c>
      <c r="Y1371" s="14">
        <v>0</v>
      </c>
    </row>
    <row r="1372" spans="1:25" x14ac:dyDescent="0.25">
      <c r="A1372" s="22"/>
      <c r="B1372" s="18"/>
      <c r="C1372" s="15"/>
      <c r="D1372" s="15"/>
      <c r="E1372" s="19"/>
      <c r="F1372" s="18"/>
      <c r="G1372" s="18"/>
      <c r="H1372" s="15"/>
      <c r="I1372" s="15"/>
      <c r="J1372" s="15"/>
      <c r="K1372" s="14"/>
      <c r="L1372" s="14"/>
      <c r="M1372" s="14"/>
      <c r="N1372" s="18">
        <v>2871</v>
      </c>
      <c r="O1372" s="20">
        <v>43360</v>
      </c>
      <c r="P1372" s="15" t="s">
        <v>3741</v>
      </c>
      <c r="Q1372" s="18">
        <v>28</v>
      </c>
      <c r="R1372" s="18">
        <v>1002371</v>
      </c>
      <c r="S1372" s="15" t="s">
        <v>3750</v>
      </c>
      <c r="T1372" s="14">
        <v>13327240</v>
      </c>
      <c r="U1372" s="14">
        <v>0</v>
      </c>
      <c r="V1372" s="14">
        <v>0</v>
      </c>
      <c r="W1372" s="14">
        <v>13327240</v>
      </c>
      <c r="X1372" s="14">
        <v>13327240</v>
      </c>
      <c r="Y1372" s="14">
        <v>0</v>
      </c>
    </row>
    <row r="1373" spans="1:25" x14ac:dyDescent="0.25">
      <c r="A1373" s="22">
        <v>46</v>
      </c>
      <c r="B1373" s="18" t="s">
        <v>3737</v>
      </c>
      <c r="C1373" s="15" t="s">
        <v>3751</v>
      </c>
      <c r="D1373" s="15" t="s">
        <v>3752</v>
      </c>
      <c r="E1373" s="19">
        <v>128</v>
      </c>
      <c r="F1373" s="18" t="s">
        <v>3497</v>
      </c>
      <c r="G1373" s="18" t="s">
        <v>3453</v>
      </c>
      <c r="H1373" s="15" t="s">
        <v>3753</v>
      </c>
      <c r="I1373" s="15" t="s">
        <v>55</v>
      </c>
      <c r="J1373" s="15" t="s">
        <v>3455</v>
      </c>
      <c r="K1373" s="14">
        <v>22866000</v>
      </c>
      <c r="L1373" s="14">
        <v>0</v>
      </c>
      <c r="M1373" s="14">
        <f>K1373-L1373</f>
        <v>22866000</v>
      </c>
      <c r="N1373" s="18">
        <v>1379</v>
      </c>
      <c r="O1373" s="20">
        <v>43147</v>
      </c>
      <c r="P1373" s="15" t="s">
        <v>3754</v>
      </c>
      <c r="Q1373" s="18">
        <v>28</v>
      </c>
      <c r="R1373" s="18">
        <v>416516</v>
      </c>
      <c r="S1373" s="15" t="s">
        <v>3755</v>
      </c>
      <c r="T1373" s="14">
        <v>3148870</v>
      </c>
      <c r="U1373" s="14">
        <v>0</v>
      </c>
      <c r="V1373" s="14">
        <v>0</v>
      </c>
      <c r="W1373" s="14">
        <v>3148870</v>
      </c>
      <c r="X1373" s="14">
        <v>3148870</v>
      </c>
      <c r="Y1373" s="14">
        <v>0</v>
      </c>
    </row>
    <row r="1374" spans="1:25" x14ac:dyDescent="0.25">
      <c r="A1374" s="22"/>
      <c r="B1374" s="18"/>
      <c r="C1374" s="15"/>
      <c r="D1374" s="15"/>
      <c r="E1374" s="19"/>
      <c r="F1374" s="18"/>
      <c r="G1374" s="18"/>
      <c r="H1374" s="15"/>
      <c r="I1374" s="15"/>
      <c r="J1374" s="15"/>
      <c r="K1374" s="14"/>
      <c r="L1374" s="14"/>
      <c r="M1374" s="14"/>
      <c r="N1374" s="18">
        <v>1804</v>
      </c>
      <c r="O1374" s="20">
        <v>43206</v>
      </c>
      <c r="P1374" s="15" t="s">
        <v>3754</v>
      </c>
      <c r="Q1374" s="18">
        <v>28</v>
      </c>
      <c r="R1374" s="18">
        <v>864118</v>
      </c>
      <c r="S1374" s="15" t="s">
        <v>3756</v>
      </c>
      <c r="T1374" s="14">
        <v>4058310</v>
      </c>
      <c r="U1374" s="14">
        <v>0</v>
      </c>
      <c r="V1374" s="14">
        <v>0</v>
      </c>
      <c r="W1374" s="14">
        <v>4058310</v>
      </c>
      <c r="X1374" s="14">
        <v>4058310</v>
      </c>
      <c r="Y1374" s="14">
        <v>0</v>
      </c>
    </row>
    <row r="1375" spans="1:25" x14ac:dyDescent="0.25">
      <c r="A1375" s="22"/>
      <c r="B1375" s="18"/>
      <c r="C1375" s="15"/>
      <c r="D1375" s="15"/>
      <c r="E1375" s="19"/>
      <c r="F1375" s="18"/>
      <c r="G1375" s="18"/>
      <c r="H1375" s="15"/>
      <c r="I1375" s="15"/>
      <c r="J1375" s="15"/>
      <c r="K1375" s="14"/>
      <c r="L1375" s="14"/>
      <c r="M1375" s="14"/>
      <c r="N1375" s="18">
        <v>2016</v>
      </c>
      <c r="O1375" s="20">
        <v>43266</v>
      </c>
      <c r="P1375" s="15" t="s">
        <v>3754</v>
      </c>
      <c r="Q1375" s="18">
        <v>28</v>
      </c>
      <c r="R1375" s="18">
        <v>961012</v>
      </c>
      <c r="S1375" s="15" t="s">
        <v>3757</v>
      </c>
      <c r="T1375" s="14">
        <v>1901250</v>
      </c>
      <c r="U1375" s="14">
        <v>0</v>
      </c>
      <c r="V1375" s="14">
        <v>0</v>
      </c>
      <c r="W1375" s="14">
        <v>1901250</v>
      </c>
      <c r="X1375" s="14">
        <v>1901250</v>
      </c>
      <c r="Y1375" s="14">
        <v>0</v>
      </c>
    </row>
    <row r="1376" spans="1:25" x14ac:dyDescent="0.25">
      <c r="A1376" s="22"/>
      <c r="B1376" s="18"/>
      <c r="C1376" s="15"/>
      <c r="D1376" s="15"/>
      <c r="E1376" s="19"/>
      <c r="F1376" s="18"/>
      <c r="G1376" s="18"/>
      <c r="H1376" s="15"/>
      <c r="I1376" s="15"/>
      <c r="J1376" s="15"/>
      <c r="K1376" s="14"/>
      <c r="L1376" s="14"/>
      <c r="M1376" s="14"/>
      <c r="N1376" s="18">
        <v>2646</v>
      </c>
      <c r="O1376" s="20">
        <v>43326</v>
      </c>
      <c r="P1376" s="15" t="s">
        <v>3754</v>
      </c>
      <c r="Q1376" s="18">
        <v>28</v>
      </c>
      <c r="R1376" s="18">
        <v>960615</v>
      </c>
      <c r="S1376" s="15" t="s">
        <v>3758</v>
      </c>
      <c r="T1376" s="14">
        <v>2125180</v>
      </c>
      <c r="U1376" s="14">
        <v>0</v>
      </c>
      <c r="V1376" s="14">
        <v>0</v>
      </c>
      <c r="W1376" s="14">
        <v>2125180</v>
      </c>
      <c r="X1376" s="14">
        <v>2125180</v>
      </c>
      <c r="Y1376" s="14">
        <v>0</v>
      </c>
    </row>
    <row r="1377" spans="1:25" x14ac:dyDescent="0.25">
      <c r="A1377" s="22">
        <v>47</v>
      </c>
      <c r="B1377" s="18" t="s">
        <v>3737</v>
      </c>
      <c r="C1377" s="15" t="s">
        <v>3759</v>
      </c>
      <c r="D1377" s="15" t="s">
        <v>3760</v>
      </c>
      <c r="E1377" s="19">
        <v>130</v>
      </c>
      <c r="F1377" s="18" t="s">
        <v>3497</v>
      </c>
      <c r="G1377" s="18" t="s">
        <v>3453</v>
      </c>
      <c r="H1377" s="15" t="s">
        <v>3761</v>
      </c>
      <c r="I1377" s="15" t="s">
        <v>55</v>
      </c>
      <c r="J1377" s="15" t="s">
        <v>3455</v>
      </c>
      <c r="K1377" s="14">
        <v>12144000</v>
      </c>
      <c r="L1377" s="14">
        <v>0</v>
      </c>
      <c r="M1377" s="14">
        <f>K1377-L1377</f>
        <v>12144000</v>
      </c>
      <c r="N1377" s="18">
        <v>1380</v>
      </c>
      <c r="O1377" s="20">
        <v>43147</v>
      </c>
      <c r="P1377" s="15" t="s">
        <v>3754</v>
      </c>
      <c r="Q1377" s="18">
        <v>28</v>
      </c>
      <c r="R1377" s="18">
        <v>807319</v>
      </c>
      <c r="S1377" s="15" t="s">
        <v>3762</v>
      </c>
      <c r="T1377" s="14">
        <v>1730670</v>
      </c>
      <c r="U1377" s="14">
        <v>0</v>
      </c>
      <c r="V1377" s="14">
        <v>0</v>
      </c>
      <c r="W1377" s="14">
        <v>1730670</v>
      </c>
      <c r="X1377" s="14">
        <v>1730670</v>
      </c>
      <c r="Y1377" s="14">
        <v>0</v>
      </c>
    </row>
    <row r="1378" spans="1:25" x14ac:dyDescent="0.25">
      <c r="A1378" s="22"/>
      <c r="B1378" s="18"/>
      <c r="C1378" s="15"/>
      <c r="D1378" s="15"/>
      <c r="E1378" s="19"/>
      <c r="F1378" s="18"/>
      <c r="G1378" s="18"/>
      <c r="H1378" s="15"/>
      <c r="I1378" s="15"/>
      <c r="J1378" s="15"/>
      <c r="K1378" s="14"/>
      <c r="L1378" s="14"/>
      <c r="M1378" s="14"/>
      <c r="N1378" s="18">
        <v>1803</v>
      </c>
      <c r="O1378" s="20">
        <v>43206</v>
      </c>
      <c r="P1378" s="15" t="s">
        <v>3754</v>
      </c>
      <c r="Q1378" s="18">
        <v>28</v>
      </c>
      <c r="R1378" s="18">
        <v>272015</v>
      </c>
      <c r="S1378" s="15" t="s">
        <v>3763</v>
      </c>
      <c r="T1378" s="14">
        <v>1863913</v>
      </c>
      <c r="U1378" s="14">
        <v>0</v>
      </c>
      <c r="V1378" s="14">
        <v>0</v>
      </c>
      <c r="W1378" s="14">
        <v>1863913</v>
      </c>
      <c r="X1378" s="14">
        <v>1863913</v>
      </c>
      <c r="Y1378" s="14">
        <v>0</v>
      </c>
    </row>
    <row r="1379" spans="1:25" x14ac:dyDescent="0.25">
      <c r="A1379" s="22"/>
      <c r="B1379" s="18"/>
      <c r="C1379" s="15"/>
      <c r="D1379" s="15"/>
      <c r="E1379" s="19"/>
      <c r="F1379" s="18"/>
      <c r="G1379" s="18"/>
      <c r="H1379" s="15"/>
      <c r="I1379" s="15"/>
      <c r="J1379" s="15"/>
      <c r="K1379" s="14"/>
      <c r="L1379" s="14"/>
      <c r="M1379" s="14"/>
      <c r="N1379" s="18">
        <v>2586</v>
      </c>
      <c r="O1379" s="20">
        <v>43315</v>
      </c>
      <c r="P1379" s="15" t="s">
        <v>3764</v>
      </c>
      <c r="Q1379" s="18">
        <v>28</v>
      </c>
      <c r="R1379" s="18">
        <v>666406</v>
      </c>
      <c r="S1379" s="15" t="s">
        <v>3765</v>
      </c>
      <c r="T1379" s="14">
        <v>1254380</v>
      </c>
      <c r="U1379" s="14">
        <v>0</v>
      </c>
      <c r="V1379" s="14">
        <v>0</v>
      </c>
      <c r="W1379" s="14">
        <v>1254380</v>
      </c>
      <c r="X1379" s="14">
        <v>1254380</v>
      </c>
      <c r="Y1379" s="14">
        <v>0</v>
      </c>
    </row>
    <row r="1380" spans="1:25" x14ac:dyDescent="0.25">
      <c r="A1380" s="22"/>
      <c r="B1380" s="18"/>
      <c r="C1380" s="15"/>
      <c r="D1380" s="15"/>
      <c r="E1380" s="19"/>
      <c r="F1380" s="18"/>
      <c r="G1380" s="18"/>
      <c r="H1380" s="15"/>
      <c r="I1380" s="15"/>
      <c r="J1380" s="15"/>
      <c r="K1380" s="14"/>
      <c r="L1380" s="14"/>
      <c r="M1380" s="14"/>
      <c r="N1380" s="18">
        <v>2877</v>
      </c>
      <c r="O1380" s="20">
        <v>43360</v>
      </c>
      <c r="P1380" s="15" t="s">
        <v>3764</v>
      </c>
      <c r="Q1380" s="18">
        <v>28</v>
      </c>
      <c r="R1380" s="18">
        <v>22153</v>
      </c>
      <c r="S1380" s="15" t="s">
        <v>3766</v>
      </c>
      <c r="T1380" s="14">
        <v>970670</v>
      </c>
      <c r="U1380" s="14">
        <v>0</v>
      </c>
      <c r="V1380" s="14">
        <v>0</v>
      </c>
      <c r="W1380" s="14">
        <v>970670</v>
      </c>
      <c r="X1380" s="14">
        <v>970670</v>
      </c>
      <c r="Y1380" s="14">
        <v>0</v>
      </c>
    </row>
    <row r="1381" spans="1:25" x14ac:dyDescent="0.25">
      <c r="A1381" s="22">
        <v>48</v>
      </c>
      <c r="B1381" s="18" t="s">
        <v>3737</v>
      </c>
      <c r="C1381" s="15" t="s">
        <v>3767</v>
      </c>
      <c r="D1381" s="15" t="s">
        <v>3768</v>
      </c>
      <c r="E1381" s="19">
        <v>129</v>
      </c>
      <c r="F1381" s="18" t="s">
        <v>3497</v>
      </c>
      <c r="G1381" s="18" t="s">
        <v>3453</v>
      </c>
      <c r="H1381" s="15" t="s">
        <v>3769</v>
      </c>
      <c r="I1381" s="15" t="s">
        <v>55</v>
      </c>
      <c r="J1381" s="15" t="s">
        <v>3455</v>
      </c>
      <c r="K1381" s="14">
        <v>93936000</v>
      </c>
      <c r="L1381" s="14">
        <v>0</v>
      </c>
      <c r="M1381" s="14">
        <f>K1381-L1381</f>
        <v>93936000</v>
      </c>
      <c r="N1381" s="18">
        <v>313</v>
      </c>
      <c r="O1381" s="20">
        <v>43122</v>
      </c>
      <c r="P1381" s="15" t="s">
        <v>3588</v>
      </c>
      <c r="Q1381" s="18">
        <v>28</v>
      </c>
      <c r="R1381" s="18">
        <v>564832</v>
      </c>
      <c r="S1381" s="15" t="s">
        <v>3770</v>
      </c>
      <c r="T1381" s="14">
        <v>5467334</v>
      </c>
      <c r="U1381" s="14">
        <v>0</v>
      </c>
      <c r="V1381" s="14">
        <v>0</v>
      </c>
      <c r="W1381" s="14">
        <v>5467334</v>
      </c>
      <c r="X1381" s="14">
        <v>5467334</v>
      </c>
      <c r="Y1381" s="14">
        <v>0</v>
      </c>
    </row>
    <row r="1382" spans="1:25" x14ac:dyDescent="0.25">
      <c r="A1382" s="22"/>
      <c r="B1382" s="18"/>
      <c r="C1382" s="15"/>
      <c r="D1382" s="15"/>
      <c r="E1382" s="19"/>
      <c r="F1382" s="18"/>
      <c r="G1382" s="18"/>
      <c r="H1382" s="15"/>
      <c r="I1382" s="15"/>
      <c r="J1382" s="15"/>
      <c r="K1382" s="14"/>
      <c r="L1382" s="14"/>
      <c r="M1382" s="14"/>
      <c r="N1382" s="18">
        <v>1456</v>
      </c>
      <c r="O1382" s="20">
        <v>43153</v>
      </c>
      <c r="P1382" s="15" t="s">
        <v>3588</v>
      </c>
      <c r="Q1382" s="18">
        <v>28</v>
      </c>
      <c r="R1382" s="18">
        <v>37319</v>
      </c>
      <c r="S1382" s="15" t="s">
        <v>3771</v>
      </c>
      <c r="T1382" s="14">
        <v>5852635</v>
      </c>
      <c r="U1382" s="14">
        <v>0</v>
      </c>
      <c r="V1382" s="14">
        <v>0</v>
      </c>
      <c r="W1382" s="14">
        <v>5852635</v>
      </c>
      <c r="X1382" s="14">
        <v>5852635</v>
      </c>
      <c r="Y1382" s="14">
        <v>0</v>
      </c>
    </row>
    <row r="1383" spans="1:25" x14ac:dyDescent="0.25">
      <c r="A1383" s="22"/>
      <c r="B1383" s="18"/>
      <c r="C1383" s="15"/>
      <c r="D1383" s="15"/>
      <c r="E1383" s="19"/>
      <c r="F1383" s="18"/>
      <c r="G1383" s="18"/>
      <c r="H1383" s="15"/>
      <c r="I1383" s="15"/>
      <c r="J1383" s="15"/>
      <c r="K1383" s="14"/>
      <c r="L1383" s="14"/>
      <c r="M1383" s="14"/>
      <c r="N1383" s="18">
        <v>1619</v>
      </c>
      <c r="O1383" s="20">
        <v>43181</v>
      </c>
      <c r="P1383" s="15" t="s">
        <v>3588</v>
      </c>
      <c r="Q1383" s="18">
        <v>28</v>
      </c>
      <c r="R1383" s="18">
        <v>19533</v>
      </c>
      <c r="S1383" s="15" t="s">
        <v>3772</v>
      </c>
      <c r="T1383" s="14">
        <v>5483480</v>
      </c>
      <c r="U1383" s="14">
        <v>0</v>
      </c>
      <c r="V1383" s="14">
        <v>0</v>
      </c>
      <c r="W1383" s="14">
        <v>5483480</v>
      </c>
      <c r="X1383" s="14">
        <v>5483480</v>
      </c>
      <c r="Y1383" s="14">
        <v>0</v>
      </c>
    </row>
    <row r="1384" spans="1:25" x14ac:dyDescent="0.25">
      <c r="A1384" s="22"/>
      <c r="B1384" s="18"/>
      <c r="C1384" s="15"/>
      <c r="D1384" s="15"/>
      <c r="E1384" s="19"/>
      <c r="F1384" s="18"/>
      <c r="G1384" s="18"/>
      <c r="H1384" s="15"/>
      <c r="I1384" s="15"/>
      <c r="J1384" s="15"/>
      <c r="K1384" s="14"/>
      <c r="L1384" s="14"/>
      <c r="M1384" s="14"/>
      <c r="N1384" s="18">
        <v>1812</v>
      </c>
      <c r="O1384" s="20">
        <v>43209</v>
      </c>
      <c r="P1384" s="15" t="s">
        <v>3588</v>
      </c>
      <c r="Q1384" s="18">
        <v>28</v>
      </c>
      <c r="R1384" s="18">
        <v>970711</v>
      </c>
      <c r="S1384" s="15" t="s">
        <v>3773</v>
      </c>
      <c r="T1384" s="14">
        <v>5483369</v>
      </c>
      <c r="U1384" s="14">
        <v>0</v>
      </c>
      <c r="V1384" s="14">
        <v>0</v>
      </c>
      <c r="W1384" s="14">
        <v>5483369</v>
      </c>
      <c r="X1384" s="14">
        <v>5483369</v>
      </c>
      <c r="Y1384" s="14">
        <v>0</v>
      </c>
    </row>
    <row r="1385" spans="1:25" x14ac:dyDescent="0.25">
      <c r="A1385" s="22"/>
      <c r="B1385" s="18"/>
      <c r="C1385" s="15"/>
      <c r="D1385" s="15"/>
      <c r="E1385" s="19"/>
      <c r="F1385" s="18"/>
      <c r="G1385" s="18"/>
      <c r="H1385" s="15"/>
      <c r="I1385" s="15"/>
      <c r="J1385" s="15"/>
      <c r="K1385" s="14"/>
      <c r="L1385" s="14"/>
      <c r="M1385" s="14"/>
      <c r="N1385" s="18">
        <v>1930</v>
      </c>
      <c r="O1385" s="20">
        <v>43242</v>
      </c>
      <c r="P1385" s="15" t="s">
        <v>3588</v>
      </c>
      <c r="Q1385" s="18">
        <v>28</v>
      </c>
      <c r="R1385" s="18">
        <v>249536</v>
      </c>
      <c r="S1385" s="15" t="s">
        <v>3774</v>
      </c>
      <c r="T1385" s="14">
        <v>6302510</v>
      </c>
      <c r="U1385" s="14">
        <v>0</v>
      </c>
      <c r="V1385" s="14">
        <v>0</v>
      </c>
      <c r="W1385" s="14">
        <v>6302510</v>
      </c>
      <c r="X1385" s="14">
        <v>6302510</v>
      </c>
      <c r="Y1385" s="14">
        <v>0</v>
      </c>
    </row>
    <row r="1386" spans="1:25" x14ac:dyDescent="0.25">
      <c r="A1386" s="22"/>
      <c r="B1386" s="18"/>
      <c r="C1386" s="15"/>
      <c r="D1386" s="15"/>
      <c r="E1386" s="19"/>
      <c r="F1386" s="18"/>
      <c r="G1386" s="18"/>
      <c r="H1386" s="15"/>
      <c r="I1386" s="15"/>
      <c r="J1386" s="15"/>
      <c r="K1386" s="14"/>
      <c r="L1386" s="14"/>
      <c r="M1386" s="14"/>
      <c r="N1386" s="18">
        <v>2039</v>
      </c>
      <c r="O1386" s="20">
        <v>43271</v>
      </c>
      <c r="P1386" s="15" t="s">
        <v>3588</v>
      </c>
      <c r="Q1386" s="18">
        <v>28</v>
      </c>
      <c r="R1386" s="18">
        <v>545414</v>
      </c>
      <c r="S1386" s="15" t="s">
        <v>3775</v>
      </c>
      <c r="T1386" s="14">
        <v>5786059</v>
      </c>
      <c r="U1386" s="14">
        <v>0</v>
      </c>
      <c r="V1386" s="14">
        <v>0</v>
      </c>
      <c r="W1386" s="14">
        <v>5786059</v>
      </c>
      <c r="X1386" s="14">
        <v>5786059</v>
      </c>
      <c r="Y1386" s="14">
        <v>0</v>
      </c>
    </row>
    <row r="1387" spans="1:25" x14ac:dyDescent="0.25">
      <c r="A1387" s="22"/>
      <c r="B1387" s="18"/>
      <c r="C1387" s="15"/>
      <c r="D1387" s="15"/>
      <c r="E1387" s="19"/>
      <c r="F1387" s="18"/>
      <c r="G1387" s="18"/>
      <c r="H1387" s="15"/>
      <c r="I1387" s="15"/>
      <c r="J1387" s="15"/>
      <c r="K1387" s="14"/>
      <c r="L1387" s="14"/>
      <c r="M1387" s="14"/>
      <c r="N1387" s="18">
        <v>2503</v>
      </c>
      <c r="O1387" s="20">
        <v>43299</v>
      </c>
      <c r="P1387" s="15" t="s">
        <v>3588</v>
      </c>
      <c r="Q1387" s="18">
        <v>28</v>
      </c>
      <c r="R1387" s="18">
        <v>943433</v>
      </c>
      <c r="S1387" s="15" t="s">
        <v>3776</v>
      </c>
      <c r="T1387" s="14">
        <v>5786759</v>
      </c>
      <c r="U1387" s="14">
        <v>0</v>
      </c>
      <c r="V1387" s="14">
        <v>0</v>
      </c>
      <c r="W1387" s="14">
        <v>5786759</v>
      </c>
      <c r="X1387" s="14">
        <v>5786759</v>
      </c>
      <c r="Y1387" s="14">
        <v>0</v>
      </c>
    </row>
    <row r="1388" spans="1:25" x14ac:dyDescent="0.25">
      <c r="A1388" s="22"/>
      <c r="B1388" s="18"/>
      <c r="C1388" s="15"/>
      <c r="D1388" s="15"/>
      <c r="E1388" s="19"/>
      <c r="F1388" s="18"/>
      <c r="G1388" s="18"/>
      <c r="H1388" s="15"/>
      <c r="I1388" s="15"/>
      <c r="J1388" s="15"/>
      <c r="K1388" s="14"/>
      <c r="L1388" s="14"/>
      <c r="M1388" s="14"/>
      <c r="N1388" s="18">
        <v>2688</v>
      </c>
      <c r="O1388" s="20">
        <v>43333</v>
      </c>
      <c r="P1388" s="15" t="s">
        <v>3588</v>
      </c>
      <c r="Q1388" s="18">
        <v>28</v>
      </c>
      <c r="R1388" s="18">
        <v>132207</v>
      </c>
      <c r="S1388" s="15" t="s">
        <v>3777</v>
      </c>
      <c r="T1388" s="14">
        <v>5794509</v>
      </c>
      <c r="U1388" s="14">
        <v>0</v>
      </c>
      <c r="V1388" s="14">
        <v>0</v>
      </c>
      <c r="W1388" s="14">
        <v>5794509</v>
      </c>
      <c r="X1388" s="14">
        <v>5794509</v>
      </c>
      <c r="Y1388" s="14">
        <v>0</v>
      </c>
    </row>
    <row r="1389" spans="1:25" x14ac:dyDescent="0.25">
      <c r="A1389" s="22"/>
      <c r="B1389" s="18"/>
      <c r="C1389" s="15"/>
      <c r="D1389" s="15"/>
      <c r="E1389" s="19"/>
      <c r="F1389" s="18"/>
      <c r="G1389" s="18"/>
      <c r="H1389" s="15"/>
      <c r="I1389" s="15"/>
      <c r="J1389" s="15"/>
      <c r="K1389" s="14"/>
      <c r="L1389" s="14"/>
      <c r="M1389" s="14"/>
      <c r="N1389" s="18">
        <v>2896</v>
      </c>
      <c r="O1389" s="20">
        <v>43361</v>
      </c>
      <c r="P1389" s="15" t="s">
        <v>3588</v>
      </c>
      <c r="Q1389" s="18">
        <v>28</v>
      </c>
      <c r="R1389" s="18">
        <v>7332773</v>
      </c>
      <c r="S1389" s="15" t="s">
        <v>3778</v>
      </c>
      <c r="T1389" s="14">
        <v>5796616</v>
      </c>
      <c r="U1389" s="14">
        <v>0</v>
      </c>
      <c r="V1389" s="14">
        <v>0</v>
      </c>
      <c r="W1389" s="14">
        <v>5796616</v>
      </c>
      <c r="X1389" s="14">
        <v>5796616</v>
      </c>
      <c r="Y1389" s="14">
        <v>0</v>
      </c>
    </row>
    <row r="1390" spans="1:25" x14ac:dyDescent="0.25">
      <c r="A1390" s="17"/>
      <c r="B1390" s="29" t="s">
        <v>3737</v>
      </c>
      <c r="C1390" s="30" t="s">
        <v>3698</v>
      </c>
      <c r="D1390" s="30" t="s">
        <v>3699</v>
      </c>
      <c r="E1390" s="29">
        <v>1026</v>
      </c>
      <c r="F1390" s="31">
        <v>43314</v>
      </c>
      <c r="G1390" s="29" t="s">
        <v>3453</v>
      </c>
      <c r="H1390" s="30" t="s">
        <v>3779</v>
      </c>
      <c r="I1390" s="30" t="s">
        <v>55</v>
      </c>
      <c r="J1390" s="30" t="s">
        <v>3455</v>
      </c>
      <c r="K1390" s="32">
        <v>740000</v>
      </c>
      <c r="L1390" s="32">
        <v>0</v>
      </c>
      <c r="M1390" s="32">
        <f>K1390-L1390</f>
        <v>740000</v>
      </c>
      <c r="N1390" s="18">
        <v>2595</v>
      </c>
      <c r="O1390" s="20">
        <v>43315</v>
      </c>
      <c r="P1390" s="15" t="s">
        <v>3780</v>
      </c>
      <c r="Q1390" s="18">
        <v>31</v>
      </c>
      <c r="R1390" s="18">
        <v>3058</v>
      </c>
      <c r="S1390" s="15" t="s">
        <v>3779</v>
      </c>
      <c r="T1390" s="14">
        <v>740000</v>
      </c>
      <c r="U1390" s="14">
        <v>0</v>
      </c>
      <c r="V1390" s="14">
        <v>0</v>
      </c>
      <c r="W1390" s="14">
        <v>740000</v>
      </c>
      <c r="X1390" s="14">
        <v>740000</v>
      </c>
      <c r="Y1390" s="14">
        <v>0</v>
      </c>
    </row>
    <row r="1391" spans="1:25" x14ac:dyDescent="0.25">
      <c r="A1391" s="17"/>
      <c r="B1391" s="18" t="s">
        <v>3737</v>
      </c>
      <c r="C1391" s="15" t="s">
        <v>3781</v>
      </c>
      <c r="D1391" s="15" t="s">
        <v>3782</v>
      </c>
      <c r="E1391" s="19">
        <v>909</v>
      </c>
      <c r="F1391" s="24">
        <v>43273</v>
      </c>
      <c r="G1391" s="18" t="s">
        <v>3453</v>
      </c>
      <c r="H1391" s="15" t="s">
        <v>3783</v>
      </c>
      <c r="I1391" s="15" t="s">
        <v>55</v>
      </c>
      <c r="J1391" s="15" t="s">
        <v>3784</v>
      </c>
      <c r="K1391" s="14">
        <v>450000</v>
      </c>
      <c r="L1391" s="14">
        <v>0</v>
      </c>
      <c r="M1391" s="14">
        <f>K1391-L1391</f>
        <v>450000</v>
      </c>
      <c r="N1391" s="18">
        <v>2549</v>
      </c>
      <c r="O1391" s="20">
        <v>43312</v>
      </c>
      <c r="P1391" s="15" t="s">
        <v>3785</v>
      </c>
      <c r="Q1391" s="18">
        <v>31</v>
      </c>
      <c r="R1391" s="18">
        <v>2954</v>
      </c>
      <c r="S1391" s="15" t="s">
        <v>3783</v>
      </c>
      <c r="T1391" s="14">
        <v>450000</v>
      </c>
      <c r="U1391" s="14">
        <v>0</v>
      </c>
      <c r="V1391" s="14">
        <v>0</v>
      </c>
      <c r="W1391" s="14">
        <v>450000</v>
      </c>
      <c r="X1391" s="14">
        <v>450000</v>
      </c>
      <c r="Y1391" s="14">
        <v>0</v>
      </c>
    </row>
    <row r="1392" spans="1:25" x14ac:dyDescent="0.25">
      <c r="A1392" s="22">
        <v>19</v>
      </c>
      <c r="B1392" s="34"/>
      <c r="C1392" s="34"/>
      <c r="D1392" s="34"/>
      <c r="E1392" s="35"/>
      <c r="F1392" s="36"/>
      <c r="G1392" s="34"/>
      <c r="H1392" s="37"/>
      <c r="I1392" s="38"/>
      <c r="J1392" s="38"/>
      <c r="K1392" s="38"/>
      <c r="L1392" s="38"/>
      <c r="M1392" s="38"/>
      <c r="N1392" s="37"/>
      <c r="O1392" s="37"/>
      <c r="P1392" s="34"/>
      <c r="Q1392" s="34"/>
      <c r="R1392" s="34"/>
      <c r="S1392" s="34"/>
      <c r="T1392" s="39"/>
      <c r="U1392" s="39"/>
      <c r="V1392" s="39"/>
      <c r="W1392" s="39"/>
      <c r="X1392" s="39"/>
      <c r="Y1392" s="39"/>
    </row>
    <row r="1393" spans="1:25" x14ac:dyDescent="0.25">
      <c r="A1393" s="22">
        <v>32</v>
      </c>
      <c r="B1393" s="18"/>
      <c r="C1393" s="15"/>
      <c r="D1393" s="15"/>
      <c r="E1393" s="19"/>
      <c r="F1393" s="18"/>
      <c r="G1393" s="18"/>
      <c r="H1393" s="15"/>
      <c r="I1393" s="15"/>
      <c r="J1393" s="15"/>
      <c r="K1393" s="14"/>
      <c r="L1393" s="14"/>
      <c r="M1393" s="14"/>
      <c r="N1393" s="18"/>
      <c r="O1393" s="20"/>
      <c r="P1393" s="15"/>
      <c r="Q1393" s="18"/>
      <c r="R1393" s="18"/>
      <c r="S1393" s="15"/>
      <c r="T1393" s="14"/>
      <c r="U1393" s="14"/>
      <c r="V1393" s="14"/>
      <c r="W1393" s="14"/>
      <c r="X1393" s="14"/>
      <c r="Y1393" s="14"/>
    </row>
    <row r="1394" spans="1:25" x14ac:dyDescent="0.25">
      <c r="A1394" s="22">
        <v>50</v>
      </c>
      <c r="B1394" s="18"/>
      <c r="C1394" s="15"/>
      <c r="D1394" s="15"/>
      <c r="E1394" s="19"/>
      <c r="F1394" s="18"/>
      <c r="G1394" s="18"/>
      <c r="H1394" s="15"/>
      <c r="I1394" s="15"/>
      <c r="J1394" s="15"/>
      <c r="K1394" s="14"/>
      <c r="L1394" s="14"/>
      <c r="M1394" s="14"/>
      <c r="N1394" s="16"/>
      <c r="O1394" s="16"/>
      <c r="P1394" s="16"/>
      <c r="Q1394" s="16"/>
      <c r="R1394" s="16"/>
      <c r="S1394" s="16"/>
      <c r="T1394" s="16"/>
      <c r="U1394" s="16"/>
      <c r="V1394" s="16"/>
      <c r="W1394" s="16"/>
      <c r="X1394" s="16"/>
      <c r="Y1394" s="16"/>
    </row>
    <row r="1395" spans="1:25" x14ac:dyDescent="0.25">
      <c r="A1395" s="22">
        <v>56</v>
      </c>
      <c r="B1395" s="18"/>
      <c r="C1395" s="15"/>
      <c r="D1395" s="15"/>
      <c r="E1395" s="19"/>
      <c r="F1395" s="18"/>
      <c r="G1395" s="18"/>
      <c r="H1395" s="15"/>
      <c r="I1395" s="15"/>
      <c r="J1395" s="15"/>
      <c r="K1395" s="14"/>
      <c r="L1395" s="14"/>
      <c r="M1395" s="14"/>
      <c r="N1395" s="16"/>
      <c r="O1395" s="16"/>
      <c r="P1395" s="16"/>
      <c r="Q1395" s="16"/>
      <c r="R1395" s="16"/>
      <c r="S1395" s="16"/>
      <c r="T1395" s="16"/>
      <c r="U1395" s="16"/>
      <c r="V1395" s="16"/>
      <c r="W1395" s="16"/>
      <c r="X1395" s="16"/>
      <c r="Y1395" s="16"/>
    </row>
    <row r="1396" spans="1:25" x14ac:dyDescent="0.25">
      <c r="A1396" s="22">
        <v>58</v>
      </c>
      <c r="B1396" s="18"/>
      <c r="C1396" s="15"/>
      <c r="D1396" s="15"/>
      <c r="E1396" s="19"/>
      <c r="F1396" s="18"/>
      <c r="G1396" s="18"/>
      <c r="H1396" s="15"/>
      <c r="I1396" s="15"/>
      <c r="J1396" s="15"/>
      <c r="K1396" s="14"/>
      <c r="L1396" s="14"/>
      <c r="M1396" s="14"/>
      <c r="N1396" s="26"/>
      <c r="O1396" s="18"/>
      <c r="P1396" s="18"/>
      <c r="Q1396" s="18"/>
      <c r="R1396" s="27"/>
      <c r="S1396" s="18"/>
      <c r="T1396" s="28"/>
      <c r="U1396" s="14"/>
      <c r="V1396" s="14"/>
      <c r="W1396" s="14"/>
      <c r="X1396" s="14"/>
      <c r="Y1396" s="14"/>
    </row>
    <row r="1397" spans="1:25" x14ac:dyDescent="0.25">
      <c r="A1397" s="22">
        <v>59</v>
      </c>
      <c r="B1397" s="18"/>
      <c r="C1397" s="15"/>
      <c r="D1397" s="15"/>
      <c r="E1397" s="19"/>
      <c r="F1397" s="18"/>
      <c r="G1397" s="18"/>
      <c r="H1397" s="15"/>
      <c r="I1397" s="15"/>
      <c r="J1397" s="15"/>
      <c r="K1397" s="14"/>
      <c r="L1397" s="14"/>
      <c r="M1397" s="14"/>
      <c r="N1397" s="26"/>
      <c r="O1397" s="18"/>
      <c r="P1397" s="18"/>
      <c r="Q1397" s="18"/>
      <c r="R1397" s="27"/>
      <c r="S1397" s="18"/>
      <c r="T1397" s="28"/>
      <c r="U1397" s="14"/>
      <c r="V1397" s="14"/>
      <c r="W1397" s="14"/>
      <c r="X1397" s="14"/>
      <c r="Y1397" s="14"/>
    </row>
    <row r="1398" spans="1:25" x14ac:dyDescent="0.25">
      <c r="A1398" s="22">
        <v>63</v>
      </c>
      <c r="B1398" s="18"/>
      <c r="C1398" s="15"/>
      <c r="D1398" s="15"/>
      <c r="E1398" s="19"/>
      <c r="F1398" s="18"/>
      <c r="G1398" s="18"/>
      <c r="H1398" s="15"/>
      <c r="I1398" s="15"/>
      <c r="J1398" s="15"/>
      <c r="K1398" s="14"/>
      <c r="L1398" s="14"/>
      <c r="M1398" s="14"/>
      <c r="N1398" s="26"/>
      <c r="O1398" s="18"/>
      <c r="P1398" s="18"/>
      <c r="Q1398" s="18"/>
      <c r="R1398" s="27"/>
      <c r="S1398" s="18"/>
      <c r="T1398" s="28"/>
      <c r="U1398" s="14"/>
      <c r="V1398" s="14"/>
      <c r="W1398" s="14"/>
      <c r="X1398" s="14"/>
      <c r="Y1398" s="14"/>
    </row>
    <row r="1399" spans="1:25" ht="15.75" x14ac:dyDescent="0.25">
      <c r="A1399" s="21">
        <v>66</v>
      </c>
      <c r="B1399" s="17"/>
      <c r="C1399" s="40"/>
      <c r="D1399" s="40"/>
      <c r="E1399" s="17"/>
      <c r="F1399" s="17"/>
      <c r="G1399" s="17"/>
      <c r="H1399" s="40"/>
      <c r="I1399" s="40"/>
      <c r="J1399" s="40"/>
      <c r="K1399" s="41"/>
      <c r="L1399" s="41"/>
      <c r="M1399" s="41"/>
      <c r="N1399" s="26"/>
      <c r="O1399" s="17"/>
      <c r="P1399" s="17"/>
      <c r="Q1399" s="17"/>
      <c r="R1399" s="27"/>
      <c r="S1399" s="17"/>
      <c r="T1399" s="42">
        <f t="shared" ref="T1399:Y1399" si="140">SUM(T1238:T1398)</f>
        <v>3023685025</v>
      </c>
      <c r="U1399" s="43">
        <f t="shared" si="140"/>
        <v>2796714</v>
      </c>
      <c r="V1399" s="43">
        <f t="shared" si="140"/>
        <v>0</v>
      </c>
      <c r="W1399" s="43">
        <f t="shared" si="140"/>
        <v>3020888311</v>
      </c>
      <c r="X1399" s="43">
        <f t="shared" si="140"/>
        <v>1770187440</v>
      </c>
      <c r="Y1399" s="43">
        <f t="shared" si="140"/>
        <v>1250700871</v>
      </c>
    </row>
    <row r="1400" spans="1:25" x14ac:dyDescent="0.25">
      <c r="A1400" s="22">
        <v>67</v>
      </c>
      <c r="B1400" s="18"/>
      <c r="C1400" s="15"/>
      <c r="D1400" s="15"/>
      <c r="E1400" s="19"/>
      <c r="F1400" s="18"/>
      <c r="G1400" s="18"/>
      <c r="H1400" s="15"/>
      <c r="I1400" s="15"/>
      <c r="J1400" s="15"/>
      <c r="K1400" s="14"/>
      <c r="L1400" s="14"/>
      <c r="M1400" s="14"/>
      <c r="N1400" s="26"/>
      <c r="O1400" s="18"/>
      <c r="P1400" s="18"/>
      <c r="Q1400" s="18"/>
      <c r="R1400" s="27"/>
      <c r="S1400" s="18"/>
      <c r="T1400" s="28"/>
      <c r="U1400" s="14"/>
      <c r="V1400" s="14"/>
      <c r="W1400" s="14"/>
      <c r="X1400" s="14"/>
      <c r="Y1400" s="14"/>
    </row>
    <row r="1401" spans="1:25" x14ac:dyDescent="0.25">
      <c r="A1401" s="18">
        <v>68</v>
      </c>
      <c r="B1401" s="18"/>
      <c r="C1401" s="15"/>
      <c r="D1401" s="15"/>
      <c r="E1401" s="19"/>
      <c r="F1401" s="18"/>
      <c r="G1401" s="18"/>
      <c r="H1401" s="15"/>
      <c r="I1401" s="15"/>
      <c r="J1401" s="15"/>
      <c r="K1401" s="14"/>
      <c r="L1401" s="14"/>
      <c r="M1401" s="14"/>
      <c r="N1401" s="26"/>
      <c r="O1401" s="18"/>
      <c r="P1401" s="18"/>
      <c r="Q1401" s="18"/>
      <c r="R1401" s="27"/>
      <c r="S1401" s="18"/>
      <c r="T1401" s="28"/>
      <c r="U1401" s="14"/>
      <c r="V1401" s="14"/>
      <c r="W1401" s="14"/>
      <c r="X1401" s="14"/>
      <c r="Y1401" s="14"/>
    </row>
    <row r="1402" spans="1:25" x14ac:dyDescent="0.25">
      <c r="A1402" s="18">
        <v>71</v>
      </c>
      <c r="B1402" s="18"/>
      <c r="C1402" s="15"/>
      <c r="D1402" s="15"/>
      <c r="E1402" s="19"/>
      <c r="F1402" s="18"/>
      <c r="G1402" s="18"/>
      <c r="H1402" s="15"/>
      <c r="I1402" s="15"/>
      <c r="J1402" s="15"/>
      <c r="K1402" s="14"/>
      <c r="L1402" s="14"/>
      <c r="M1402" s="14"/>
      <c r="N1402" s="26"/>
      <c r="O1402" s="18"/>
      <c r="P1402" s="18"/>
      <c r="Q1402" s="18"/>
      <c r="R1402" s="27"/>
      <c r="S1402" s="18"/>
      <c r="T1402" s="28"/>
      <c r="U1402" s="14"/>
      <c r="V1402" s="14"/>
      <c r="W1402" s="14"/>
      <c r="X1402" s="14"/>
      <c r="Y1402" s="14"/>
    </row>
    <row r="1403" spans="1:25" x14ac:dyDescent="0.25">
      <c r="A1403" s="18">
        <v>72</v>
      </c>
      <c r="B1403" s="18"/>
      <c r="C1403" s="15"/>
      <c r="D1403" s="15"/>
      <c r="E1403" s="19"/>
      <c r="F1403" s="18"/>
      <c r="G1403" s="18"/>
      <c r="H1403" s="15"/>
      <c r="I1403" s="15"/>
      <c r="J1403" s="15"/>
      <c r="K1403" s="14"/>
      <c r="L1403" s="14"/>
      <c r="M1403" s="14"/>
      <c r="N1403" s="26"/>
      <c r="O1403" s="18"/>
      <c r="P1403" s="18"/>
      <c r="Q1403" s="18"/>
      <c r="R1403" s="27"/>
      <c r="S1403" s="18"/>
      <c r="T1403" s="28"/>
      <c r="U1403" s="14"/>
      <c r="V1403" s="14"/>
      <c r="W1403" s="14"/>
      <c r="X1403" s="14"/>
      <c r="Y1403" s="14"/>
    </row>
    <row r="1404" spans="1:25" x14ac:dyDescent="0.25">
      <c r="A1404" s="18">
        <v>74</v>
      </c>
      <c r="B1404" s="18"/>
      <c r="C1404" s="15"/>
      <c r="D1404" s="15"/>
      <c r="E1404" s="19"/>
      <c r="F1404" s="18"/>
      <c r="G1404" s="18"/>
      <c r="H1404" s="15"/>
      <c r="I1404" s="15"/>
      <c r="J1404" s="15"/>
      <c r="K1404" s="14"/>
      <c r="L1404" s="14"/>
      <c r="M1404" s="14"/>
      <c r="N1404" s="26"/>
      <c r="O1404" s="18"/>
      <c r="P1404" s="18"/>
      <c r="Q1404" s="18"/>
      <c r="R1404" s="27"/>
      <c r="S1404" s="18"/>
      <c r="T1404" s="28"/>
      <c r="U1404" s="14"/>
      <c r="V1404" s="14"/>
      <c r="W1404" s="14"/>
      <c r="X1404" s="14"/>
      <c r="Y1404" s="14"/>
    </row>
    <row r="1405" spans="1:25" x14ac:dyDescent="0.25">
      <c r="A1405" s="18">
        <v>82</v>
      </c>
      <c r="B1405" s="18"/>
      <c r="C1405" s="15"/>
      <c r="D1405" s="15"/>
      <c r="E1405" s="19"/>
      <c r="F1405" s="18"/>
      <c r="G1405" s="18"/>
      <c r="H1405" s="15"/>
      <c r="I1405" s="15"/>
      <c r="J1405" s="15"/>
      <c r="K1405" s="14"/>
      <c r="L1405" s="14"/>
      <c r="M1405" s="14"/>
      <c r="N1405" s="26"/>
      <c r="O1405" s="18"/>
      <c r="P1405" s="18"/>
      <c r="Q1405" s="18"/>
      <c r="R1405" s="27"/>
      <c r="S1405" s="18"/>
      <c r="T1405" s="28"/>
      <c r="U1405" s="14"/>
      <c r="V1405" s="14"/>
      <c r="W1405" s="14"/>
      <c r="X1405" s="14"/>
      <c r="Y1405" s="14"/>
    </row>
    <row r="1406" spans="1:25" x14ac:dyDescent="0.25">
      <c r="A1406" s="18">
        <v>101</v>
      </c>
      <c r="B1406" s="18"/>
      <c r="C1406" s="15"/>
      <c r="D1406" s="15"/>
      <c r="E1406" s="19"/>
      <c r="F1406" s="18"/>
      <c r="G1406" s="18"/>
      <c r="H1406" s="15"/>
      <c r="I1406" s="15"/>
      <c r="J1406" s="15"/>
      <c r="K1406" s="14"/>
      <c r="L1406" s="14"/>
      <c r="M1406" s="14"/>
      <c r="N1406" s="26"/>
      <c r="O1406" s="18"/>
      <c r="P1406" s="18"/>
      <c r="Q1406" s="18"/>
      <c r="R1406" s="27"/>
      <c r="S1406" s="18"/>
      <c r="T1406" s="28"/>
      <c r="U1406" s="14"/>
      <c r="V1406" s="14"/>
      <c r="W1406" s="14"/>
      <c r="X1406" s="14"/>
      <c r="Y1406" s="14"/>
    </row>
    <row r="1407" spans="1:25" x14ac:dyDescent="0.25">
      <c r="A1407" s="22">
        <v>102</v>
      </c>
      <c r="B1407" s="18"/>
      <c r="C1407" s="15"/>
      <c r="D1407" s="15"/>
      <c r="E1407" s="19"/>
      <c r="F1407" s="18"/>
      <c r="G1407" s="18"/>
      <c r="H1407" s="15"/>
      <c r="I1407" s="15"/>
      <c r="J1407" s="15"/>
      <c r="K1407" s="14"/>
      <c r="L1407" s="14"/>
      <c r="M1407" s="14"/>
      <c r="N1407" s="26"/>
      <c r="O1407" s="18"/>
      <c r="P1407" s="18"/>
      <c r="Q1407" s="18"/>
      <c r="R1407" s="27"/>
      <c r="S1407" s="18"/>
      <c r="T1407" s="28"/>
      <c r="U1407" s="14"/>
      <c r="V1407" s="14"/>
      <c r="W1407" s="14"/>
      <c r="X1407" s="14"/>
      <c r="Y1407" s="14"/>
    </row>
    <row r="1408" spans="1:25" x14ac:dyDescent="0.25">
      <c r="A1408" s="22">
        <v>103</v>
      </c>
      <c r="B1408" s="18"/>
      <c r="C1408" s="15"/>
      <c r="D1408" s="15"/>
      <c r="E1408" s="19"/>
      <c r="F1408" s="18"/>
      <c r="G1408" s="18"/>
      <c r="H1408" s="15"/>
      <c r="I1408" s="15"/>
      <c r="J1408" s="15"/>
      <c r="K1408" s="14"/>
      <c r="L1408" s="14"/>
      <c r="M1408" s="14"/>
      <c r="N1408" s="26"/>
      <c r="O1408" s="18"/>
      <c r="P1408" s="18"/>
      <c r="Q1408" s="18"/>
      <c r="R1408" s="27"/>
      <c r="S1408" s="18"/>
      <c r="T1408" s="28"/>
      <c r="U1408" s="14"/>
      <c r="V1408" s="14"/>
      <c r="W1408" s="14"/>
      <c r="X1408" s="14"/>
      <c r="Y1408" s="14"/>
    </row>
    <row r="1409" spans="1:25" x14ac:dyDescent="0.25">
      <c r="A1409" s="22">
        <v>104</v>
      </c>
      <c r="B1409" s="18"/>
      <c r="C1409" s="15"/>
      <c r="D1409" s="15"/>
      <c r="E1409" s="19"/>
      <c r="F1409" s="18"/>
      <c r="G1409" s="18"/>
      <c r="H1409" s="15"/>
      <c r="I1409" s="15"/>
      <c r="J1409" s="15"/>
      <c r="K1409" s="14"/>
      <c r="L1409" s="14"/>
      <c r="M1409" s="14"/>
      <c r="N1409" s="26"/>
      <c r="O1409" s="18"/>
      <c r="P1409" s="18"/>
      <c r="Q1409" s="18"/>
      <c r="R1409" s="27"/>
      <c r="S1409" s="18"/>
      <c r="T1409" s="28"/>
      <c r="U1409" s="14"/>
      <c r="V1409" s="14"/>
      <c r="W1409" s="14"/>
      <c r="X1409" s="14"/>
      <c r="Y1409" s="14"/>
    </row>
    <row r="1410" spans="1:25" x14ac:dyDescent="0.25">
      <c r="A1410" s="18">
        <v>106</v>
      </c>
      <c r="B1410" s="18"/>
      <c r="C1410" s="15"/>
      <c r="D1410" s="15"/>
      <c r="E1410" s="19"/>
      <c r="F1410" s="18"/>
      <c r="G1410" s="18"/>
      <c r="H1410" s="15"/>
      <c r="I1410" s="15"/>
      <c r="J1410" s="15"/>
      <c r="K1410" s="14"/>
      <c r="L1410" s="14"/>
      <c r="M1410" s="14"/>
      <c r="N1410" s="26"/>
      <c r="O1410" s="18"/>
      <c r="P1410" s="18"/>
      <c r="Q1410" s="18"/>
      <c r="R1410" s="27"/>
      <c r="S1410" s="18"/>
      <c r="T1410" s="28"/>
      <c r="U1410" s="14"/>
      <c r="V1410" s="14"/>
      <c r="W1410" s="14"/>
      <c r="X1410" s="14"/>
      <c r="Y1410" s="14"/>
    </row>
    <row r="1411" spans="1:25" x14ac:dyDescent="0.25">
      <c r="A1411" s="18">
        <v>107</v>
      </c>
      <c r="B1411" s="18"/>
      <c r="C1411" s="15"/>
      <c r="D1411" s="15"/>
      <c r="E1411" s="19"/>
      <c r="F1411" s="24"/>
      <c r="G1411" s="18"/>
      <c r="H1411" s="15"/>
      <c r="I1411" s="15"/>
      <c r="J1411" s="15"/>
      <c r="K1411" s="14"/>
      <c r="L1411" s="14"/>
      <c r="M1411" s="14"/>
      <c r="N1411" s="26"/>
      <c r="O1411" s="18"/>
      <c r="P1411" s="18"/>
      <c r="Q1411" s="18"/>
      <c r="R1411" s="27"/>
      <c r="S1411" s="18"/>
      <c r="T1411" s="28"/>
      <c r="U1411" s="14"/>
      <c r="V1411" s="14"/>
      <c r="W1411" s="14"/>
      <c r="X1411" s="14"/>
      <c r="Y1411" s="14"/>
    </row>
    <row r="1412" spans="1:25" x14ac:dyDescent="0.25">
      <c r="A1412" s="18">
        <v>108</v>
      </c>
      <c r="B1412" s="18"/>
      <c r="C1412" s="15"/>
      <c r="D1412" s="15"/>
      <c r="E1412" s="19"/>
      <c r="F1412" s="24"/>
      <c r="G1412" s="18"/>
      <c r="H1412" s="15"/>
      <c r="I1412" s="15"/>
      <c r="J1412" s="15"/>
      <c r="K1412" s="14"/>
      <c r="L1412" s="14"/>
      <c r="M1412" s="14"/>
      <c r="N1412" s="26"/>
      <c r="O1412" s="18"/>
      <c r="P1412" s="18"/>
      <c r="Q1412" s="18"/>
      <c r="R1412" s="27"/>
      <c r="S1412" s="18"/>
      <c r="T1412" s="28"/>
      <c r="U1412" s="14"/>
      <c r="V1412" s="14"/>
      <c r="W1412" s="14"/>
      <c r="X1412" s="14"/>
      <c r="Y1412" s="14"/>
    </row>
    <row r="1413" spans="1:25" x14ac:dyDescent="0.25">
      <c r="A1413" s="18">
        <v>112</v>
      </c>
      <c r="B1413" s="18"/>
      <c r="C1413" s="15"/>
      <c r="D1413" s="15"/>
      <c r="E1413" s="19"/>
      <c r="F1413" s="24"/>
      <c r="G1413" s="18"/>
      <c r="H1413" s="15"/>
      <c r="I1413" s="15"/>
      <c r="J1413" s="15"/>
      <c r="K1413" s="14"/>
      <c r="L1413" s="14"/>
      <c r="M1413" s="14"/>
      <c r="N1413" s="26"/>
      <c r="O1413" s="18"/>
      <c r="P1413" s="18"/>
      <c r="Q1413" s="18"/>
      <c r="R1413" s="27"/>
      <c r="S1413" s="18"/>
      <c r="T1413" s="28"/>
      <c r="U1413" s="14"/>
      <c r="V1413" s="14"/>
      <c r="W1413" s="14"/>
      <c r="X1413" s="14"/>
      <c r="Y1413" s="14"/>
    </row>
  </sheetData>
  <mergeCells count="6">
    <mergeCell ref="A1:C3"/>
    <mergeCell ref="AS1:AV1"/>
    <mergeCell ref="AS2:AT2"/>
    <mergeCell ref="AU2:AV2"/>
    <mergeCell ref="AS3:AV3"/>
    <mergeCell ref="D1:AR3"/>
  </mergeCells>
  <conditionalFormatting sqref="P103">
    <cfRule type="duplicateValues" dxfId="0" priority="1"/>
  </conditionalFormatting>
  <dataValidations disablePrompts="1" count="5">
    <dataValidation type="list" allowBlank="1" showInputMessage="1" showErrorMessage="1" sqref="D5:D98 D172:D184 D164:D167 D157:D162 D104:D108 D121:D127 D118:D119 D131:D134 D139 D142:D144 D147:D154" xr:uid="{00000000-0002-0000-0000-000000000000}">
      <formula1>$E$518:$E$527</formula1>
    </dataValidation>
    <dataValidation type="list" allowBlank="1" showInputMessage="1" showErrorMessage="1" sqref="D114:D117 D163 D128:D130 D120 D136:D137 D141 D145:D146" xr:uid="{00000000-0002-0000-0000-000001000000}">
      <formula1>$E$517:$E$526</formula1>
    </dataValidation>
    <dataValidation type="list" allowBlank="1" showInputMessage="1" showErrorMessage="1" sqref="I190:J305 I317:J344 I314:J314 I307:J309 I349:J350 F188:F350" xr:uid="{00000000-0002-0000-0000-000002000000}">
      <formula1>#REF!</formula1>
    </dataValidation>
    <dataValidation allowBlank="1" showErrorMessage="1" sqref="G424 G417 G904 G722 G771:G778 G826 G852 G987:G990 G992:G1019 G1022:G1034 G1037:G1047" xr:uid="{00000000-0002-0000-0000-000004000000}"/>
    <dataValidation type="list" allowBlank="1" showInputMessage="1" showErrorMessage="1" sqref="J1110" xr:uid="{00000000-0002-0000-0000-000005000000}">
      <formula1>$P$835:$P$839</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portatil</cp:lastModifiedBy>
  <dcterms:created xsi:type="dcterms:W3CDTF">2018-10-09T20:44:42Z</dcterms:created>
  <dcterms:modified xsi:type="dcterms:W3CDTF">2018-10-11T16:31:14Z</dcterms:modified>
</cp:coreProperties>
</file>