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"/>
    </mc:Choice>
  </mc:AlternateContent>
  <bookViews>
    <workbookView xWindow="0" yWindow="0" windowWidth="28800" windowHeight="11235" tabRatio="553" firstSheet="2" activeTab="2"/>
  </bookViews>
  <sheets>
    <sheet name="DIFERENCIAS" sheetId="52" state="hidden" r:id="rId1"/>
    <sheet name="SOPORTE REPROGRAMACIÓN $ 2017" sheetId="53" state="hidden" r:id="rId2"/>
    <sheet name="Diciembre 2020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'Diciembre 2020'!$A:$AL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AF57" i="93" l="1"/>
  <c r="AF58" i="93"/>
  <c r="AF59" i="93"/>
  <c r="AA59" i="93"/>
  <c r="AA58" i="93"/>
  <c r="AA57" i="93"/>
  <c r="V59" i="93"/>
  <c r="V58" i="93"/>
  <c r="V57" i="93"/>
  <c r="Q59" i="93"/>
  <c r="Q58" i="93"/>
  <c r="Q57" i="93"/>
  <c r="AF94" i="93" l="1"/>
  <c r="AF93" i="93"/>
  <c r="AF92" i="93"/>
  <c r="AF91" i="93"/>
  <c r="AF90" i="93"/>
  <c r="AA94" i="93"/>
  <c r="AA93" i="93"/>
  <c r="AA92" i="93"/>
  <c r="AA91" i="93"/>
  <c r="AA90" i="93"/>
  <c r="V94" i="93"/>
  <c r="V93" i="93"/>
  <c r="V92" i="93"/>
  <c r="V91" i="93"/>
  <c r="V90" i="93"/>
  <c r="Q94" i="93"/>
  <c r="Q93" i="93"/>
  <c r="Q92" i="93"/>
  <c r="Q91" i="93"/>
  <c r="Q90" i="93"/>
  <c r="AF75" i="93"/>
  <c r="AF74" i="93"/>
  <c r="AA75" i="93"/>
  <c r="AA74" i="93"/>
  <c r="V75" i="93"/>
  <c r="V74" i="93"/>
  <c r="Q75" i="93"/>
  <c r="Q74" i="93"/>
  <c r="AF40" i="93"/>
  <c r="AA41" i="93"/>
  <c r="AA40" i="93"/>
  <c r="V41" i="93"/>
  <c r="V40" i="93"/>
  <c r="Q42" i="93"/>
  <c r="Q41" i="93"/>
  <c r="Q40" i="93"/>
  <c r="AF25" i="93"/>
  <c r="AA25" i="93"/>
  <c r="AF23" i="93"/>
  <c r="AF20" i="93"/>
  <c r="AF19" i="93"/>
  <c r="AA23" i="93"/>
  <c r="AA20" i="93"/>
  <c r="AA19" i="93"/>
  <c r="V25" i="93"/>
  <c r="V23" i="93"/>
  <c r="Q25" i="93"/>
  <c r="Q23" i="93"/>
  <c r="V20" i="93"/>
  <c r="V19" i="93"/>
  <c r="Q20" i="93"/>
  <c r="Q19" i="93"/>
  <c r="L75" i="93"/>
  <c r="L74" i="93"/>
  <c r="L25" i="93"/>
  <c r="AI22" i="93"/>
  <c r="AL22" i="93"/>
  <c r="AK22" i="93"/>
  <c r="AJ22" i="93"/>
  <c r="AI19" i="93" l="1"/>
  <c r="AJ19" i="93"/>
  <c r="H89" i="93" l="1"/>
  <c r="E89" i="93"/>
  <c r="H73" i="93"/>
  <c r="E73" i="93"/>
  <c r="H56" i="93"/>
  <c r="E56" i="93"/>
  <c r="H39" i="93"/>
  <c r="E39" i="93"/>
  <c r="H18" i="93"/>
  <c r="E18" i="93"/>
  <c r="AG95" i="93" l="1"/>
  <c r="AF95" i="93"/>
  <c r="AB95" i="93"/>
  <c r="AA95" i="93"/>
  <c r="W95" i="93"/>
  <c r="V95" i="93"/>
  <c r="R95" i="93"/>
  <c r="Q95" i="93"/>
  <c r="M95" i="93"/>
  <c r="L95" i="93"/>
  <c r="AL94" i="93"/>
  <c r="AK94" i="93"/>
  <c r="AJ94" i="93"/>
  <c r="AI94" i="93"/>
  <c r="AL93" i="93" l="1"/>
  <c r="AK93" i="93"/>
  <c r="AJ93" i="93"/>
  <c r="AI93" i="93"/>
  <c r="AL92" i="93"/>
  <c r="AK92" i="93"/>
  <c r="AJ92" i="93"/>
  <c r="AI92" i="93"/>
  <c r="AL91" i="93"/>
  <c r="AK91" i="93"/>
  <c r="AJ91" i="93"/>
  <c r="AI91" i="93"/>
  <c r="AI90" i="93"/>
  <c r="AL90" i="93"/>
  <c r="AK90" i="93"/>
  <c r="AJ90" i="93"/>
  <c r="AI89" i="93"/>
  <c r="AL89" i="93"/>
  <c r="AK89" i="93"/>
  <c r="AJ89" i="93"/>
  <c r="AL75" i="93"/>
  <c r="AK75" i="93"/>
  <c r="AJ75" i="93"/>
  <c r="AI75" i="93"/>
  <c r="AJ74" i="93"/>
  <c r="AI74" i="93"/>
  <c r="AI73" i="93"/>
  <c r="AI59" i="93"/>
  <c r="AJ59" i="93"/>
  <c r="AK59" i="93"/>
  <c r="AL59" i="93"/>
  <c r="AI58" i="93"/>
  <c r="AI57" i="93"/>
  <c r="AI56" i="93"/>
  <c r="AI42" i="93"/>
  <c r="AI41" i="93"/>
  <c r="AL40" i="93"/>
  <c r="AK40" i="93"/>
  <c r="AJ40" i="93"/>
  <c r="AI40" i="93"/>
  <c r="AI39" i="93"/>
  <c r="AL25" i="93"/>
  <c r="AK25" i="93"/>
  <c r="AJ25" i="93"/>
  <c r="AI25" i="93"/>
  <c r="AL24" i="93"/>
  <c r="AK24" i="93"/>
  <c r="AJ24" i="93"/>
  <c r="AI24" i="93"/>
  <c r="AL23" i="93"/>
  <c r="AK23" i="93"/>
  <c r="AJ23" i="93"/>
  <c r="AI23" i="93"/>
  <c r="AL21" i="93"/>
  <c r="AK21" i="93"/>
  <c r="AJ21" i="93"/>
  <c r="AI21" i="93"/>
  <c r="AI20" i="93"/>
  <c r="AI18" i="93"/>
  <c r="AG76" i="93"/>
  <c r="AF76" i="93"/>
  <c r="AB76" i="93"/>
  <c r="AA76" i="93"/>
  <c r="W76" i="93"/>
  <c r="V76" i="93"/>
  <c r="R76" i="93"/>
  <c r="Q76" i="93"/>
  <c r="M76" i="93"/>
  <c r="L76" i="93"/>
  <c r="AL74" i="93"/>
  <c r="AK74" i="93"/>
  <c r="AL73" i="93"/>
  <c r="AK73" i="93"/>
  <c r="AJ73" i="93"/>
  <c r="AG60" i="93"/>
  <c r="AF60" i="93"/>
  <c r="AB60" i="93"/>
  <c r="AA60" i="93"/>
  <c r="W60" i="93"/>
  <c r="V60" i="93"/>
  <c r="R60" i="93"/>
  <c r="Q60" i="93"/>
  <c r="M60" i="93"/>
  <c r="L60" i="93"/>
  <c r="AL58" i="93"/>
  <c r="AK58" i="93"/>
  <c r="AJ58" i="93"/>
  <c r="AL57" i="93"/>
  <c r="AK57" i="93"/>
  <c r="AJ57" i="93"/>
  <c r="AL56" i="93"/>
  <c r="AK56" i="93"/>
  <c r="AJ56" i="93"/>
  <c r="AG43" i="93"/>
  <c r="AF43" i="93"/>
  <c r="AB43" i="93"/>
  <c r="AA43" i="93"/>
  <c r="W43" i="93"/>
  <c r="V43" i="93"/>
  <c r="R43" i="93"/>
  <c r="Q43" i="93"/>
  <c r="M43" i="93"/>
  <c r="L43" i="93"/>
  <c r="AL42" i="93"/>
  <c r="AK42" i="93"/>
  <c r="AJ42" i="93"/>
  <c r="AL41" i="93"/>
  <c r="AK41" i="93"/>
  <c r="AJ41" i="93"/>
  <c r="AL39" i="93"/>
  <c r="AK39" i="93"/>
  <c r="AJ39" i="93"/>
  <c r="M26" i="93"/>
  <c r="L26" i="93"/>
  <c r="R26" i="93"/>
  <c r="Q26" i="93"/>
  <c r="W26" i="93"/>
  <c r="V26" i="93"/>
  <c r="AB26" i="93"/>
  <c r="AA26" i="93"/>
  <c r="AF26" i="93"/>
  <c r="AL95" i="93" l="1"/>
  <c r="AK95" i="93"/>
  <c r="AL60" i="93"/>
  <c r="AK76" i="93"/>
  <c r="AK60" i="93"/>
  <c r="AL76" i="93"/>
  <c r="AK43" i="93"/>
  <c r="AL43" i="93"/>
  <c r="AG26" i="93" l="1"/>
  <c r="AL20" i="93"/>
  <c r="AK20" i="93"/>
  <c r="AJ20" i="93"/>
  <c r="AL18" i="93" l="1"/>
  <c r="AL19" i="93"/>
  <c r="AJ18" i="93"/>
  <c r="AK19" i="93"/>
  <c r="AK18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/>
  <c r="J58" i="53"/>
  <c r="N58" i="53" s="1"/>
  <c r="J49" i="53"/>
  <c r="P49" i="53"/>
  <c r="P50" i="53" s="1"/>
  <c r="N49" i="53"/>
  <c r="J48" i="53"/>
  <c r="I50" i="53"/>
  <c r="I40" i="53"/>
  <c r="J38" i="53"/>
  <c r="L38" i="53" s="1"/>
  <c r="P38" i="53"/>
  <c r="J39" i="53"/>
  <c r="L39" i="53" s="1"/>
  <c r="J37" i="53"/>
  <c r="O36" i="53"/>
  <c r="J34" i="53"/>
  <c r="J35" i="53"/>
  <c r="L35" i="53" s="1"/>
  <c r="R35" i="53" s="1"/>
  <c r="J33" i="53"/>
  <c r="P33" i="53"/>
  <c r="R33" i="53" s="1"/>
  <c r="I36" i="53"/>
  <c r="J31" i="53"/>
  <c r="J30" i="53"/>
  <c r="P30" i="53" s="1"/>
  <c r="I32" i="53"/>
  <c r="J17" i="53"/>
  <c r="J18" i="53"/>
  <c r="L18" i="53"/>
  <c r="R18" i="53" s="1"/>
  <c r="J19" i="53"/>
  <c r="P19" i="53" s="1"/>
  <c r="R19" i="53" s="1"/>
  <c r="J20" i="53"/>
  <c r="N20" i="53" s="1"/>
  <c r="R20" i="53" s="1"/>
  <c r="J16" i="53"/>
  <c r="L16" i="53" s="1"/>
  <c r="I21" i="53"/>
  <c r="Q16" i="53"/>
  <c r="Q21" i="53" s="1"/>
  <c r="Q17" i="53"/>
  <c r="Q18" i="53"/>
  <c r="Q19" i="53"/>
  <c r="Q20" i="53"/>
  <c r="Q30" i="53"/>
  <c r="Q32" i="53" s="1"/>
  <c r="Q31" i="53"/>
  <c r="Q33" i="53"/>
  <c r="Q36" i="53" s="1"/>
  <c r="Q34" i="53"/>
  <c r="Q35" i="53"/>
  <c r="Q37" i="53"/>
  <c r="Q38" i="53"/>
  <c r="Q39" i="53"/>
  <c r="Q48" i="53"/>
  <c r="Q49" i="53"/>
  <c r="Q57" i="53"/>
  <c r="Q59" i="53" s="1"/>
  <c r="Q58" i="53"/>
  <c r="Q66" i="53"/>
  <c r="Q67" i="53" s="1"/>
  <c r="F21" i="53"/>
  <c r="F32" i="53"/>
  <c r="F36" i="53"/>
  <c r="F40" i="53"/>
  <c r="F50" i="53"/>
  <c r="F69" i="53" s="1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R49" i="53" s="1"/>
  <c r="R50" i="53" s="1"/>
  <c r="T50" i="53" s="1"/>
  <c r="P57" i="53"/>
  <c r="R57" i="53" s="1"/>
  <c r="P20" i="53"/>
  <c r="L33" i="53"/>
  <c r="L36" i="53" s="1"/>
  <c r="N33" i="53"/>
  <c r="N38" i="53"/>
  <c r="P37" i="53"/>
  <c r="N37" i="53"/>
  <c r="L37" i="53"/>
  <c r="L30" i="53"/>
  <c r="N30" i="53"/>
  <c r="J36" i="53"/>
  <c r="L34" i="53"/>
  <c r="R34" i="53" s="1"/>
  <c r="P34" i="53"/>
  <c r="P17" i="53"/>
  <c r="L17" i="53"/>
  <c r="R17" i="53" s="1"/>
  <c r="P31" i="53"/>
  <c r="J32" i="53"/>
  <c r="L31" i="53"/>
  <c r="N31" i="53"/>
  <c r="N32" i="53" s="1"/>
  <c r="N34" i="53"/>
  <c r="N17" i="53"/>
  <c r="N21" i="53" s="1"/>
  <c r="N19" i="53"/>
  <c r="L19" i="53"/>
  <c r="Q40" i="53"/>
  <c r="Q50" i="53"/>
  <c r="N48" i="53"/>
  <c r="N50" i="53"/>
  <c r="L48" i="53"/>
  <c r="P48" i="53"/>
  <c r="P58" i="53"/>
  <c r="P59" i="53" s="1"/>
  <c r="P18" i="53"/>
  <c r="J50" i="53"/>
  <c r="L20" i="53"/>
  <c r="R37" i="53"/>
  <c r="J59" i="53"/>
  <c r="N18" i="53"/>
  <c r="L66" i="53"/>
  <c r="N35" i="53"/>
  <c r="P35" i="53"/>
  <c r="J67" i="53"/>
  <c r="J21" i="53"/>
  <c r="P16" i="53"/>
  <c r="P21" i="53" s="1"/>
  <c r="L58" i="53"/>
  <c r="P66" i="53"/>
  <c r="P67" i="53"/>
  <c r="N16" i="53"/>
  <c r="L32" i="53"/>
  <c r="R31" i="53"/>
  <c r="L67" i="53"/>
  <c r="R66" i="53"/>
  <c r="R67" i="53"/>
  <c r="T67" i="53" s="1"/>
  <c r="L50" i="53"/>
  <c r="R48" i="53"/>
  <c r="N36" i="53"/>
  <c r="L59" i="53"/>
  <c r="Q69" i="53" l="1"/>
  <c r="R30" i="53"/>
  <c r="R32" i="53" s="1"/>
  <c r="T32" i="53" s="1"/>
  <c r="P32" i="53"/>
  <c r="R58" i="53"/>
  <c r="R59" i="53" s="1"/>
  <c r="T59" i="53" s="1"/>
  <c r="N59" i="53"/>
  <c r="L21" i="53"/>
  <c r="R16" i="53"/>
  <c r="R21" i="53" s="1"/>
  <c r="L40" i="53"/>
  <c r="R38" i="53"/>
  <c r="R36" i="53"/>
  <c r="T36" i="53" s="1"/>
  <c r="P36" i="53"/>
  <c r="P39" i="53"/>
  <c r="P40" i="53" s="1"/>
  <c r="J40" i="53"/>
  <c r="N39" i="53"/>
  <c r="N40" i="53" s="1"/>
  <c r="AK26" i="93"/>
  <c r="AL26" i="93"/>
  <c r="T21" i="53" l="1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<sst xmlns="http://schemas.openxmlformats.org/spreadsheetml/2006/main" count="497" uniqueCount="178">
  <si>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</si>
  <si>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</si>
  <si>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</si>
  <si>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</si>
  <si>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</si>
  <si>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</si>
  <si>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</si>
  <si>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</si>
  <si>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</si>
  <si>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</si>
  <si>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</si>
  <si>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</si>
  <si>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</si>
  <si>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</si>
  <si>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</si>
  <si>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</si>
  <si>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</si>
  <si>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</si>
  <si>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</si>
  <si>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</si>
  <si>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</si>
  <si>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</si>
  <si>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</si>
  <si>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</si>
  <si>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</si>
  <si>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</si>
  <si>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</si>
  <si>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</si>
  <si>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</si>
  <si>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</si>
  <si>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</si>
  <si>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</si>
  <si>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</si>
  <si>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</si>
  <si>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</si>
  <si>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</si>
  <si>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</si>
  <si>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</si>
  <si>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</si>
  <si>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</si>
  <si>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</si>
  <si>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</si>
  <si>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</si>
  <si>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</si>
  <si>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</si>
  <si>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</si>
  <si>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</si>
  <si>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</si>
  <si>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</si>
  <si>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</si>
  <si>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</si>
  <si>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</si>
  <si>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</si>
  <si>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</si>
  <si>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</si>
  <si>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</si>
  <si>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</si>
  <si>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</si>
  <si>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</si>
  <si>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</si>
  <si>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</si>
  <si>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</si>
  <si>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</si>
  <si>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</si>
  <si>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</si>
  <si>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</si>
  <si>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</si>
  <si>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</si>
  <si>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</si>
  <si>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</si>
  <si>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</si>
  <si>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</si>
  <si>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</si>
  <si>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</si>
  <si>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</si>
  <si>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</si>
  <si>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</si>
  <si>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</si>
  <si>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</si>
  <si>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</si>
  <si>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</si>
  <si>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</si>
  <si>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</si>
  <si>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</si>
  <si>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</si>
  <si>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</si>
  <si>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</si>
  <si>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</si>
  <si>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</si>
  <si>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</si>
  <si>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</si>
  <si>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</si>
  <si>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</si>
  <si>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</si>
  <si>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</si>
  <si>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</si>
  <si>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</si>
  <si>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</si>
  <si>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</si>
  <si>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</si>
  <si>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</si>
  <si>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</si>
  <si>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</si>
  <si>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</si>
  <si>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</si>
  <si>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</si>
  <si>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</si>
  <si>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</si>
  <si>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</si>
  <si>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</si>
  <si>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</si>
  <si>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</si>
  <si>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</si>
  <si>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</si>
  <si>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</si>
  <si>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</si>
  <si>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</si>
  <si>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</si>
  <si>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</si>
  <si>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</si>
  <si>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</si>
  <si>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</si>
  <si>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</si>
  <si>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</si>
  <si>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</si>
  <si>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</si>
  <si>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</si>
  <si>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</si>
  <si>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</si>
  <si>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</si>
  <si>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</si>
  <si>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</si>
  <si>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</si>
  <si>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</si>
  <si>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</si>
  <si>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</si>
  <si>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</si>
  <si>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</si>
  <si>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</si>
  <si>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</si>
  <si>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</si>
  <si>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</si>
  <si>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</si>
  <si>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</si>
  <si>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</si>
  <si>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</si>
  <si>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</si>
  <si>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</si>
  <si>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</si>
  <si>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</si>
  <si>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</si>
  <si>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</si>
  <si>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</si>
  <si>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</si>
  <si>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</si>
  <si>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</si>
  <si>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</si>
  <si>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</si>
  <si>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</si>
  <si>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</si>
  <si>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</si>
  <si>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</si>
  <si>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</si>
  <si>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</si>
  <si>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</si>
  <si>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</si>
  <si>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</si>
  <si>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</si>
  <si>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</si>
  <si>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</si>
  <si>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</si>
  <si>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</si>
  <si>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</si>
  <si>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</si>
  <si>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</si>
  <si>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Curaduría Pública Social Creada</t>
  </si>
  <si>
    <t>Construir 107.000 m2 de en espacio público en los territorios priorizados para realizar el mejoramiento de barrios en las Upz tipo1</t>
  </si>
  <si>
    <t>107.000 m2 de en espacio público en los territorios priorizados para realizar el mejoramiento de barrios en las Upz tipo1.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</si>
</sst>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6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33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0" fontId="38" fillId="0" borderId="0" xfId="106" applyFont="1" applyBorder="1"/>
    <xf numFmtId="0" fontId="5" fillId="0" borderId="0" xfId="106" applyFont="1" applyBorder="1"/>
    <xf numFmtId="0" fontId="24" fillId="0" borderId="0" xfId="128" applyFont="1" applyBorder="1" applyAlignment="1">
      <alignment horizontal="center" vertical="center"/>
    </xf>
    <xf numFmtId="0" fontId="24" fillId="0" borderId="0" xfId="128" applyFont="1" applyBorder="1" applyAlignment="1">
      <alignment vertical="center" wrapText="1"/>
    </xf>
    <xf numFmtId="0" fontId="24" fillId="0" borderId="0" xfId="128" applyFont="1" applyBorder="1" applyAlignment="1">
      <alignment wrapText="1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0" xfId="128" applyFont="1" applyBorder="1" applyAlignment="1">
      <alignment horizontal="left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0" fillId="0" borderId="0" xfId="128" applyFont="1" applyBorder="1" applyAlignment="1">
      <alignment horizontal="left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171" fontId="37" fillId="0" borderId="0" xfId="168" applyNumberFormat="1" applyFont="1" applyBorder="1" applyAlignment="1"/>
  </cellXfs>
  <cellStyles count="3516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201" t="s">
        <v>0</v>
      </c>
      <c r="B3" s="202"/>
      <c r="C3" s="202"/>
      <c r="D3" s="203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201" t="s">
        <v>14</v>
      </c>
      <c r="B4" s="202"/>
      <c r="C4" s="202"/>
      <c r="D4" s="203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201" t="s">
        <v>0</v>
      </c>
      <c r="B5" s="202"/>
      <c r="C5" s="202"/>
      <c r="D5" s="203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201" t="s">
        <v>15</v>
      </c>
      <c r="B6" s="202"/>
      <c r="C6" s="202"/>
      <c r="D6" s="203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10" t="s">
        <v>85</v>
      </c>
      <c r="B8" s="211"/>
      <c r="C8" s="211"/>
      <c r="D8" s="211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12" t="s">
        <v>16</v>
      </c>
      <c r="C10" s="212"/>
      <c r="D10" s="212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7" t="s">
        <v>2</v>
      </c>
      <c r="B13" s="182" t="s">
        <v>3</v>
      </c>
      <c r="C13" s="182" t="s">
        <v>67</v>
      </c>
      <c r="D13" s="204" t="s">
        <v>19</v>
      </c>
      <c r="E13" s="10"/>
      <c r="F13" s="67">
        <v>2016</v>
      </c>
      <c r="G13" s="10"/>
      <c r="H13" s="178">
        <v>2017</v>
      </c>
      <c r="I13" s="179"/>
      <c r="J13" s="215"/>
      <c r="K13" s="178">
        <v>2018</v>
      </c>
      <c r="L13" s="215"/>
      <c r="M13" s="178">
        <v>2019</v>
      </c>
      <c r="N13" s="215"/>
      <c r="O13" s="178">
        <v>2020</v>
      </c>
      <c r="P13" s="179"/>
      <c r="Q13" s="179" t="s">
        <v>78</v>
      </c>
      <c r="R13" s="179"/>
    </row>
    <row r="14" spans="1:18" s="11" customFormat="1" ht="15" customHeight="1" x14ac:dyDescent="0.25">
      <c r="A14" s="208"/>
      <c r="B14" s="183"/>
      <c r="C14" s="183"/>
      <c r="D14" s="205"/>
      <c r="E14" s="10"/>
      <c r="F14" s="176" t="s">
        <v>8</v>
      </c>
      <c r="G14" s="10"/>
      <c r="H14" s="176" t="s">
        <v>8</v>
      </c>
      <c r="I14" s="176" t="s">
        <v>84</v>
      </c>
      <c r="J14" s="176" t="s">
        <v>80</v>
      </c>
      <c r="K14" s="176" t="s">
        <v>8</v>
      </c>
      <c r="L14" s="176" t="s">
        <v>79</v>
      </c>
      <c r="M14" s="176" t="s">
        <v>8</v>
      </c>
      <c r="N14" s="176" t="s">
        <v>79</v>
      </c>
      <c r="O14" s="180" t="s">
        <v>8</v>
      </c>
      <c r="P14" s="176" t="s">
        <v>79</v>
      </c>
      <c r="Q14" s="180" t="s">
        <v>8</v>
      </c>
      <c r="R14" s="176" t="s">
        <v>79</v>
      </c>
    </row>
    <row r="15" spans="1:18" s="11" customFormat="1" ht="47.25" customHeight="1" x14ac:dyDescent="0.25">
      <c r="A15" s="209"/>
      <c r="B15" s="184"/>
      <c r="C15" s="184"/>
      <c r="D15" s="206"/>
      <c r="E15" s="12"/>
      <c r="F15" s="176"/>
      <c r="G15" s="12"/>
      <c r="H15" s="176"/>
      <c r="I15" s="176"/>
      <c r="J15" s="176"/>
      <c r="K15" s="176"/>
      <c r="L15" s="176"/>
      <c r="M15" s="176"/>
      <c r="N15" s="176"/>
      <c r="O15" s="181"/>
      <c r="P15" s="176"/>
      <c r="Q15" s="181"/>
      <c r="R15" s="176"/>
    </row>
    <row r="16" spans="1:18" ht="60" customHeight="1" x14ac:dyDescent="0.25">
      <c r="A16" s="213" t="s">
        <v>11</v>
      </c>
      <c r="B16" s="185" t="s">
        <v>12</v>
      </c>
      <c r="C16" s="185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14"/>
      <c r="B17" s="192"/>
      <c r="C17" s="192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14"/>
      <c r="B18" s="192"/>
      <c r="C18" s="192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14"/>
      <c r="B19" s="192"/>
      <c r="C19" s="192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14"/>
      <c r="B20" s="186"/>
      <c r="C20" s="186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7" t="s">
        <v>2</v>
      </c>
      <c r="B26" s="177" t="s">
        <v>3</v>
      </c>
      <c r="C26" s="182" t="s">
        <v>67</v>
      </c>
      <c r="D26" s="177" t="s">
        <v>19</v>
      </c>
      <c r="E26" s="10"/>
      <c r="F26" s="71">
        <v>2016</v>
      </c>
      <c r="G26" s="79"/>
      <c r="H26" s="177">
        <v>2017</v>
      </c>
      <c r="I26" s="177"/>
      <c r="J26" s="177"/>
      <c r="K26" s="177">
        <v>2018</v>
      </c>
      <c r="L26" s="177"/>
      <c r="M26" s="177">
        <v>2019</v>
      </c>
      <c r="N26" s="177"/>
      <c r="O26" s="177">
        <v>2020</v>
      </c>
      <c r="P26" s="177"/>
      <c r="Q26" s="177" t="s">
        <v>78</v>
      </c>
      <c r="R26" s="177"/>
    </row>
    <row r="27" spans="1:20" s="11" customFormat="1" ht="15" customHeight="1" x14ac:dyDescent="0.25">
      <c r="A27" s="177"/>
      <c r="B27" s="177"/>
      <c r="C27" s="183"/>
      <c r="D27" s="177"/>
      <c r="E27" s="10"/>
      <c r="F27" s="176" t="s">
        <v>8</v>
      </c>
      <c r="G27" s="79"/>
      <c r="H27" s="176" t="s">
        <v>8</v>
      </c>
      <c r="I27" s="176" t="s">
        <v>84</v>
      </c>
      <c r="J27" s="176" t="s">
        <v>80</v>
      </c>
      <c r="K27" s="176" t="s">
        <v>8</v>
      </c>
      <c r="L27" s="176" t="s">
        <v>79</v>
      </c>
      <c r="M27" s="176" t="s">
        <v>8</v>
      </c>
      <c r="N27" s="176" t="s">
        <v>79</v>
      </c>
      <c r="O27" s="176" t="s">
        <v>8</v>
      </c>
      <c r="P27" s="176" t="s">
        <v>79</v>
      </c>
      <c r="Q27" s="176" t="s">
        <v>8</v>
      </c>
      <c r="R27" s="176" t="s">
        <v>79</v>
      </c>
    </row>
    <row r="28" spans="1:20" s="11" customFormat="1" ht="47.25" customHeight="1" x14ac:dyDescent="0.25">
      <c r="A28" s="177"/>
      <c r="B28" s="177"/>
      <c r="C28" s="184"/>
      <c r="D28" s="177"/>
      <c r="E28" s="12"/>
      <c r="F28" s="176"/>
      <c r="G28" s="80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20" ht="51" hidden="1" customHeight="1" x14ac:dyDescent="0.25">
      <c r="A29" s="199" t="s">
        <v>24</v>
      </c>
      <c r="B29" s="200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199"/>
      <c r="B30" s="200"/>
      <c r="C30" s="200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199"/>
      <c r="B31" s="200"/>
      <c r="C31" s="200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93" t="s">
        <v>10</v>
      </c>
      <c r="B33" s="196" t="s">
        <v>26</v>
      </c>
      <c r="C33" s="196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94"/>
      <c r="B34" s="197"/>
      <c r="C34" s="197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5"/>
      <c r="B35" s="198"/>
      <c r="C35" s="198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89" t="s">
        <v>27</v>
      </c>
      <c r="B37" s="185" t="s">
        <v>28</v>
      </c>
      <c r="C37" s="185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90"/>
      <c r="B38" s="192"/>
      <c r="C38" s="192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91"/>
      <c r="B39" s="186"/>
      <c r="C39" s="186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7" t="s">
        <v>2</v>
      </c>
      <c r="B45" s="177" t="s">
        <v>3</v>
      </c>
      <c r="C45" s="182" t="s">
        <v>67</v>
      </c>
      <c r="D45" s="177" t="s">
        <v>19</v>
      </c>
      <c r="E45" s="10"/>
      <c r="F45" s="71">
        <v>2016</v>
      </c>
      <c r="G45" s="79"/>
      <c r="H45" s="177">
        <v>2017</v>
      </c>
      <c r="I45" s="177"/>
      <c r="J45" s="177"/>
      <c r="K45" s="177">
        <v>2018</v>
      </c>
      <c r="L45" s="177"/>
      <c r="M45" s="177">
        <v>2019</v>
      </c>
      <c r="N45" s="177"/>
      <c r="O45" s="177">
        <v>2020</v>
      </c>
      <c r="P45" s="177"/>
      <c r="Q45" s="177" t="s">
        <v>78</v>
      </c>
      <c r="R45" s="177"/>
    </row>
    <row r="46" spans="1:20" s="11" customFormat="1" ht="15" customHeight="1" x14ac:dyDescent="0.25">
      <c r="A46" s="177"/>
      <c r="B46" s="177"/>
      <c r="C46" s="183"/>
      <c r="D46" s="177"/>
      <c r="E46" s="10"/>
      <c r="F46" s="180" t="s">
        <v>8</v>
      </c>
      <c r="G46" s="79"/>
      <c r="H46" s="180" t="s">
        <v>8</v>
      </c>
      <c r="I46" s="176" t="s">
        <v>84</v>
      </c>
      <c r="J46" s="176" t="s">
        <v>80</v>
      </c>
      <c r="K46" s="180" t="s">
        <v>8</v>
      </c>
      <c r="L46" s="176" t="s">
        <v>79</v>
      </c>
      <c r="M46" s="180" t="s">
        <v>8</v>
      </c>
      <c r="N46" s="176" t="s">
        <v>79</v>
      </c>
      <c r="O46" s="176" t="s">
        <v>8</v>
      </c>
      <c r="P46" s="176" t="s">
        <v>79</v>
      </c>
      <c r="Q46" s="180" t="s">
        <v>8</v>
      </c>
      <c r="R46" s="176" t="s">
        <v>79</v>
      </c>
    </row>
    <row r="47" spans="1:20" s="11" customFormat="1" ht="47.25" customHeight="1" x14ac:dyDescent="0.25">
      <c r="A47" s="177"/>
      <c r="B47" s="177"/>
      <c r="C47" s="184"/>
      <c r="D47" s="177"/>
      <c r="E47" s="12"/>
      <c r="F47" s="181"/>
      <c r="G47" s="80"/>
      <c r="H47" s="181"/>
      <c r="I47" s="176"/>
      <c r="J47" s="176"/>
      <c r="K47" s="181"/>
      <c r="L47" s="176"/>
      <c r="M47" s="181"/>
      <c r="N47" s="176"/>
      <c r="O47" s="176"/>
      <c r="P47" s="176"/>
      <c r="Q47" s="181"/>
      <c r="R47" s="176"/>
    </row>
    <row r="48" spans="1:20" ht="60" customHeight="1" x14ac:dyDescent="0.25">
      <c r="A48" s="187" t="s">
        <v>35</v>
      </c>
      <c r="B48" s="185" t="s">
        <v>36</v>
      </c>
      <c r="C48" s="185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88"/>
      <c r="B49" s="186"/>
      <c r="C49" s="186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7" t="s">
        <v>2</v>
      </c>
      <c r="B54" s="177" t="s">
        <v>3</v>
      </c>
      <c r="C54" s="182" t="s">
        <v>67</v>
      </c>
      <c r="D54" s="177" t="s">
        <v>19</v>
      </c>
      <c r="E54" s="10"/>
      <c r="F54" s="71">
        <v>2016</v>
      </c>
      <c r="G54" s="79"/>
      <c r="H54" s="177">
        <v>2017</v>
      </c>
      <c r="I54" s="177"/>
      <c r="J54" s="177"/>
      <c r="K54" s="177">
        <v>2018</v>
      </c>
      <c r="L54" s="177"/>
      <c r="M54" s="177">
        <v>2019</v>
      </c>
      <c r="N54" s="177"/>
      <c r="O54" s="177">
        <v>2020</v>
      </c>
      <c r="P54" s="177"/>
      <c r="Q54" s="177" t="s">
        <v>78</v>
      </c>
      <c r="R54" s="177"/>
    </row>
    <row r="55" spans="1:20" s="11" customFormat="1" ht="15" customHeight="1" x14ac:dyDescent="0.25">
      <c r="A55" s="177"/>
      <c r="B55" s="177"/>
      <c r="C55" s="183"/>
      <c r="D55" s="177"/>
      <c r="E55" s="10"/>
      <c r="F55" s="176" t="s">
        <v>8</v>
      </c>
      <c r="G55" s="79"/>
      <c r="H55" s="176" t="s">
        <v>8</v>
      </c>
      <c r="I55" s="176" t="s">
        <v>84</v>
      </c>
      <c r="J55" s="176" t="s">
        <v>80</v>
      </c>
      <c r="K55" s="176" t="s">
        <v>8</v>
      </c>
      <c r="L55" s="176" t="s">
        <v>79</v>
      </c>
      <c r="M55" s="176" t="s">
        <v>8</v>
      </c>
      <c r="N55" s="176" t="s">
        <v>79</v>
      </c>
      <c r="O55" s="176" t="s">
        <v>8</v>
      </c>
      <c r="P55" s="176" t="s">
        <v>79</v>
      </c>
      <c r="Q55" s="176" t="s">
        <v>8</v>
      </c>
      <c r="R55" s="176" t="s">
        <v>79</v>
      </c>
    </row>
    <row r="56" spans="1:20" s="11" customFormat="1" ht="47.25" customHeight="1" x14ac:dyDescent="0.25">
      <c r="A56" s="177"/>
      <c r="B56" s="177"/>
      <c r="C56" s="184"/>
      <c r="D56" s="177"/>
      <c r="E56" s="12"/>
      <c r="F56" s="176"/>
      <c r="G56" s="80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1:20" ht="88.5" customHeight="1" x14ac:dyDescent="0.25">
      <c r="A57" s="187" t="s">
        <v>39</v>
      </c>
      <c r="B57" s="185" t="s">
        <v>13</v>
      </c>
      <c r="C57" s="185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88"/>
      <c r="B58" s="186"/>
      <c r="C58" s="186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7" t="s">
        <v>2</v>
      </c>
      <c r="B63" s="177" t="s">
        <v>3</v>
      </c>
      <c r="C63" s="182" t="s">
        <v>67</v>
      </c>
      <c r="D63" s="177" t="s">
        <v>19</v>
      </c>
      <c r="E63" s="10"/>
      <c r="F63" s="71">
        <v>2016</v>
      </c>
      <c r="G63" s="79"/>
      <c r="H63" s="177">
        <v>2017</v>
      </c>
      <c r="I63" s="177"/>
      <c r="J63" s="177"/>
      <c r="K63" s="177">
        <v>2018</v>
      </c>
      <c r="L63" s="177"/>
      <c r="M63" s="177">
        <v>2019</v>
      </c>
      <c r="N63" s="177"/>
      <c r="O63" s="177">
        <v>2020</v>
      </c>
      <c r="P63" s="177"/>
      <c r="Q63" s="177" t="s">
        <v>78</v>
      </c>
      <c r="R63" s="177"/>
    </row>
    <row r="64" spans="1:20" s="11" customFormat="1" ht="15" customHeight="1" x14ac:dyDescent="0.25">
      <c r="A64" s="177"/>
      <c r="B64" s="177"/>
      <c r="C64" s="183"/>
      <c r="D64" s="177"/>
      <c r="E64" s="10"/>
      <c r="F64" s="176" t="s">
        <v>8</v>
      </c>
      <c r="G64" s="79"/>
      <c r="H64" s="176" t="s">
        <v>8</v>
      </c>
      <c r="I64" s="176" t="s">
        <v>84</v>
      </c>
      <c r="J64" s="176" t="s">
        <v>80</v>
      </c>
      <c r="K64" s="176" t="s">
        <v>8</v>
      </c>
      <c r="L64" s="176" t="s">
        <v>79</v>
      </c>
      <c r="M64" s="176" t="s">
        <v>8</v>
      </c>
      <c r="N64" s="176" t="s">
        <v>79</v>
      </c>
      <c r="O64" s="176" t="s">
        <v>8</v>
      </c>
      <c r="P64" s="176" t="s">
        <v>79</v>
      </c>
      <c r="Q64" s="176" t="s">
        <v>8</v>
      </c>
      <c r="R64" s="176" t="s">
        <v>79</v>
      </c>
    </row>
    <row r="65" spans="1:20" s="11" customFormat="1" ht="47.25" customHeight="1" x14ac:dyDescent="0.25">
      <c r="A65" s="177"/>
      <c r="B65" s="177"/>
      <c r="C65" s="184"/>
      <c r="D65" s="177"/>
      <c r="E65" s="12"/>
      <c r="F65" s="176"/>
      <c r="G65" s="80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5"/>
  <sheetViews>
    <sheetView tabSelected="1" topLeftCell="Z45" zoomScale="70" zoomScaleNormal="70" workbookViewId="0">
      <selection activeCell="C67" sqref="C67:AL67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L1" s="156">
        <v>1000000</v>
      </c>
    </row>
    <row r="2" spans="1:39" s="3" customFormat="1" x14ac:dyDescent="0.25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1"/>
      <c r="AM2" s="94"/>
    </row>
    <row r="3" spans="1:39" s="3" customFormat="1" x14ac:dyDescent="0.25">
      <c r="A3" s="229" t="s">
        <v>92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1"/>
      <c r="AM3" s="94"/>
    </row>
    <row r="4" spans="1:39" s="3" customFormat="1" x14ac:dyDescent="0.25">
      <c r="A4" s="229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1"/>
      <c r="AM4" s="94"/>
    </row>
    <row r="5" spans="1:39" s="3" customFormat="1" x14ac:dyDescent="0.25">
      <c r="A5" s="229" t="s">
        <v>93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1"/>
      <c r="AM5" s="94"/>
    </row>
    <row r="6" spans="1:39" s="3" customFormat="1" x14ac:dyDescent="0.25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1"/>
      <c r="AM6" s="94"/>
    </row>
    <row r="7" spans="1:39" s="5" customFormat="1" ht="15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s="172" customFormat="1" x14ac:dyDescent="0.25">
      <c r="A9" s="216" t="s">
        <v>93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171"/>
    </row>
    <row r="10" spans="1:39" s="7" customFormat="1" x14ac:dyDescent="0.25">
      <c r="A10" s="173">
        <v>1</v>
      </c>
      <c r="B10" s="174" t="s">
        <v>94</v>
      </c>
      <c r="C10" s="224" t="s">
        <v>97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96"/>
    </row>
    <row r="11" spans="1:39" s="7" customFormat="1" x14ac:dyDescent="0.25">
      <c r="A11" s="55">
        <v>8</v>
      </c>
      <c r="B11" s="54" t="s">
        <v>158</v>
      </c>
      <c r="C11" s="224" t="s">
        <v>159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96"/>
    </row>
    <row r="12" spans="1:39" s="7" customFormat="1" x14ac:dyDescent="0.25">
      <c r="A12" s="55">
        <v>19</v>
      </c>
      <c r="B12" s="54" t="s">
        <v>95</v>
      </c>
      <c r="C12" s="224" t="s">
        <v>157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96"/>
    </row>
    <row r="13" spans="1:39" s="7" customFormat="1" ht="30" x14ac:dyDescent="0.25">
      <c r="A13" s="55">
        <v>3</v>
      </c>
      <c r="B13" s="175" t="s">
        <v>98</v>
      </c>
      <c r="C13" s="224" t="s">
        <v>96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96"/>
    </row>
    <row r="14" spans="1:39" ht="14.25" customHeight="1" x14ac:dyDescent="0.25">
      <c r="F14" s="7"/>
      <c r="G14" s="7"/>
      <c r="H14" s="7"/>
      <c r="I14" s="8"/>
      <c r="J14" s="165"/>
      <c r="K14" s="7"/>
      <c r="L14" s="158"/>
      <c r="M14" s="7"/>
      <c r="N14" s="8"/>
      <c r="O14" s="7"/>
      <c r="P14" s="7"/>
      <c r="Q14" s="7"/>
      <c r="R14" s="92">
        <v>1000000</v>
      </c>
      <c r="T14" s="92"/>
      <c r="U14" s="92"/>
      <c r="V14" s="92">
        <v>1000000</v>
      </c>
      <c r="W14" s="92">
        <v>1000000</v>
      </c>
      <c r="Y14" s="92"/>
      <c r="Z14" s="92"/>
      <c r="AA14" s="92"/>
      <c r="AB14" s="92">
        <v>1000000</v>
      </c>
      <c r="AD14" s="7"/>
      <c r="AE14" s="7"/>
      <c r="AF14" s="92"/>
      <c r="AG14" s="92">
        <v>1000000</v>
      </c>
      <c r="AI14" s="96"/>
      <c r="AJ14" s="96"/>
      <c r="AK14" s="96"/>
    </row>
    <row r="15" spans="1:39" s="11" customFormat="1" ht="27" customHeight="1" x14ac:dyDescent="0.25">
      <c r="A15" s="207" t="s">
        <v>2</v>
      </c>
      <c r="B15" s="182" t="s">
        <v>3</v>
      </c>
      <c r="C15" s="225" t="s">
        <v>87</v>
      </c>
      <c r="D15" s="182" t="s">
        <v>67</v>
      </c>
      <c r="E15" s="225" t="s">
        <v>172</v>
      </c>
      <c r="F15" s="204" t="s">
        <v>101</v>
      </c>
      <c r="G15" s="227" t="s">
        <v>90</v>
      </c>
      <c r="H15" s="177" t="s">
        <v>173</v>
      </c>
      <c r="I15" s="10"/>
      <c r="J15" s="177">
        <v>2020</v>
      </c>
      <c r="K15" s="177"/>
      <c r="L15" s="177"/>
      <c r="M15" s="177"/>
      <c r="N15" s="10"/>
      <c r="O15" s="177">
        <v>2021</v>
      </c>
      <c r="P15" s="177"/>
      <c r="Q15" s="177"/>
      <c r="R15" s="177"/>
      <c r="T15" s="177">
        <v>2022</v>
      </c>
      <c r="U15" s="177"/>
      <c r="V15" s="177"/>
      <c r="W15" s="177"/>
      <c r="Y15" s="177">
        <v>2023</v>
      </c>
      <c r="Z15" s="177"/>
      <c r="AA15" s="177"/>
      <c r="AB15" s="177"/>
      <c r="AD15" s="178">
        <v>2024</v>
      </c>
      <c r="AE15" s="179"/>
      <c r="AF15" s="179"/>
      <c r="AG15" s="179"/>
      <c r="AI15" s="223" t="s">
        <v>102</v>
      </c>
      <c r="AJ15" s="223"/>
      <c r="AK15" s="223"/>
      <c r="AL15" s="223"/>
      <c r="AM15" s="99"/>
    </row>
    <row r="16" spans="1:39" s="11" customFormat="1" ht="16.5" customHeight="1" x14ac:dyDescent="0.25">
      <c r="A16" s="208"/>
      <c r="B16" s="183"/>
      <c r="C16" s="205"/>
      <c r="D16" s="183"/>
      <c r="E16" s="205"/>
      <c r="F16" s="205"/>
      <c r="G16" s="227"/>
      <c r="H16" s="177"/>
      <c r="I16" s="10"/>
      <c r="J16" s="176" t="s">
        <v>4</v>
      </c>
      <c r="K16" s="176"/>
      <c r="L16" s="176" t="s">
        <v>61</v>
      </c>
      <c r="M16" s="176"/>
      <c r="N16" s="10"/>
      <c r="O16" s="176" t="s">
        <v>6</v>
      </c>
      <c r="P16" s="176"/>
      <c r="Q16" s="176" t="s">
        <v>8</v>
      </c>
      <c r="R16" s="176"/>
      <c r="S16" s="10"/>
      <c r="T16" s="176" t="s">
        <v>7</v>
      </c>
      <c r="U16" s="176"/>
      <c r="V16" s="176" t="s">
        <v>8</v>
      </c>
      <c r="W16" s="176"/>
      <c r="Y16" s="176" t="s">
        <v>7</v>
      </c>
      <c r="Z16" s="176"/>
      <c r="AA16" s="176" t="s">
        <v>8</v>
      </c>
      <c r="AB16" s="176"/>
      <c r="AD16" s="176" t="s">
        <v>7</v>
      </c>
      <c r="AE16" s="176"/>
      <c r="AF16" s="176" t="s">
        <v>8</v>
      </c>
      <c r="AG16" s="176"/>
      <c r="AI16" s="180" t="s">
        <v>4</v>
      </c>
      <c r="AJ16" s="180" t="s">
        <v>66</v>
      </c>
      <c r="AK16" s="180" t="s">
        <v>8</v>
      </c>
      <c r="AL16" s="180" t="s">
        <v>5</v>
      </c>
      <c r="AM16" s="99"/>
    </row>
    <row r="17" spans="1:39" s="11" customFormat="1" ht="33" x14ac:dyDescent="0.25">
      <c r="A17" s="209"/>
      <c r="B17" s="184"/>
      <c r="C17" s="226"/>
      <c r="D17" s="184"/>
      <c r="E17" s="226"/>
      <c r="F17" s="206"/>
      <c r="G17" s="227"/>
      <c r="H17" s="177"/>
      <c r="I17" s="12"/>
      <c r="J17" s="155" t="s">
        <v>59</v>
      </c>
      <c r="K17" s="115" t="s">
        <v>60</v>
      </c>
      <c r="L17" s="159" t="s">
        <v>64</v>
      </c>
      <c r="M17" s="115" t="s">
        <v>63</v>
      </c>
      <c r="N17" s="12"/>
      <c r="O17" s="61" t="s">
        <v>59</v>
      </c>
      <c r="P17" s="115" t="s">
        <v>60</v>
      </c>
      <c r="Q17" s="159" t="s">
        <v>64</v>
      </c>
      <c r="R17" s="115" t="s">
        <v>63</v>
      </c>
      <c r="S17" s="10"/>
      <c r="T17" s="61" t="s">
        <v>59</v>
      </c>
      <c r="U17" s="115" t="s">
        <v>60</v>
      </c>
      <c r="V17" s="159" t="s">
        <v>64</v>
      </c>
      <c r="W17" s="115" t="s">
        <v>63</v>
      </c>
      <c r="Y17" s="115" t="s">
        <v>59</v>
      </c>
      <c r="Z17" s="115" t="s">
        <v>60</v>
      </c>
      <c r="AA17" s="115" t="s">
        <v>64</v>
      </c>
      <c r="AB17" s="115" t="s">
        <v>63</v>
      </c>
      <c r="AD17" s="115" t="s">
        <v>59</v>
      </c>
      <c r="AE17" s="115" t="s">
        <v>60</v>
      </c>
      <c r="AF17" s="115" t="s">
        <v>64</v>
      </c>
      <c r="AG17" s="115" t="s">
        <v>63</v>
      </c>
      <c r="AI17" s="181"/>
      <c r="AJ17" s="181"/>
      <c r="AK17" s="181"/>
      <c r="AL17" s="181"/>
      <c r="AM17" s="99"/>
    </row>
    <row r="18" spans="1:39" s="101" customFormat="1" ht="75.75" customHeight="1" x14ac:dyDescent="0.25">
      <c r="A18" s="213" t="s">
        <v>99</v>
      </c>
      <c r="B18" s="185" t="s">
        <v>100</v>
      </c>
      <c r="C18" s="185" t="s">
        <v>89</v>
      </c>
      <c r="D18" s="185" t="s">
        <v>152</v>
      </c>
      <c r="E18" s="217" t="str">
        <f>C11</f>
        <v xml:space="preserve">Aumentar el acceso a vivienda digna, espacio público y equipamientos de la población vulnerable en suelo urbano y rural </v>
      </c>
      <c r="F18" s="139" t="s">
        <v>161</v>
      </c>
      <c r="G18" s="139" t="s">
        <v>104</v>
      </c>
      <c r="H18" s="219" t="str">
        <f>C13</f>
        <v>Sistema Distrital de Cuidado</v>
      </c>
      <c r="I18" s="14"/>
      <c r="J18" s="127">
        <v>0.05</v>
      </c>
      <c r="K18" s="127">
        <v>0.05</v>
      </c>
      <c r="L18" s="160"/>
      <c r="M18" s="129"/>
      <c r="N18" s="130"/>
      <c r="O18" s="131">
        <v>0.3</v>
      </c>
      <c r="P18" s="131">
        <v>0</v>
      </c>
      <c r="Q18" s="129"/>
      <c r="R18" s="129"/>
      <c r="S18" s="132"/>
      <c r="T18" s="133">
        <v>0.65</v>
      </c>
      <c r="U18" s="133">
        <v>0</v>
      </c>
      <c r="V18" s="134"/>
      <c r="W18" s="135"/>
      <c r="X18" s="136"/>
      <c r="Y18" s="133">
        <v>0.95</v>
      </c>
      <c r="Z18" s="133">
        <v>0</v>
      </c>
      <c r="AA18" s="134"/>
      <c r="AB18" s="135"/>
      <c r="AC18" s="136"/>
      <c r="AD18" s="137">
        <v>1</v>
      </c>
      <c r="AE18" s="137">
        <v>0</v>
      </c>
      <c r="AF18" s="134"/>
      <c r="AG18" s="135"/>
      <c r="AH18" s="132"/>
      <c r="AI18" s="137">
        <f>AD18</f>
        <v>1</v>
      </c>
      <c r="AJ18" s="137">
        <f>K18+P18+U18+Z18+AE18</f>
        <v>0.05</v>
      </c>
      <c r="AK18" s="138">
        <f>L18+Q18+V18+AA18+AF18</f>
        <v>0</v>
      </c>
      <c r="AL18" s="138">
        <f>M18+R18+W18+AB18+AG18</f>
        <v>0</v>
      </c>
      <c r="AM18" s="126"/>
    </row>
    <row r="19" spans="1:39" ht="90" x14ac:dyDescent="0.25">
      <c r="A19" s="214"/>
      <c r="B19" s="192"/>
      <c r="C19" s="192"/>
      <c r="D19" s="192"/>
      <c r="E19" s="218"/>
      <c r="F19" s="13" t="s">
        <v>105</v>
      </c>
      <c r="G19" s="13" t="s">
        <v>174</v>
      </c>
      <c r="H19" s="220"/>
      <c r="I19" s="14"/>
      <c r="J19" s="15">
        <v>20</v>
      </c>
      <c r="K19" s="15">
        <v>20</v>
      </c>
      <c r="L19" s="161">
        <v>1562.1521029999999</v>
      </c>
      <c r="M19" s="29">
        <v>1072.7394810000001</v>
      </c>
      <c r="N19" s="23"/>
      <c r="O19" s="15">
        <v>418</v>
      </c>
      <c r="P19" s="15">
        <v>0</v>
      </c>
      <c r="Q19" s="29">
        <f>4208000000/L1</f>
        <v>4208</v>
      </c>
      <c r="R19" s="29"/>
      <c r="S19" s="101"/>
      <c r="T19" s="104">
        <v>813</v>
      </c>
      <c r="U19" s="104">
        <v>0</v>
      </c>
      <c r="V19" s="105">
        <f>4316000000/L1</f>
        <v>4316</v>
      </c>
      <c r="W19" s="106"/>
      <c r="X19" s="102"/>
      <c r="Y19" s="104">
        <v>1187</v>
      </c>
      <c r="Z19" s="104">
        <v>0</v>
      </c>
      <c r="AA19" s="105">
        <f>3937000000/L1</f>
        <v>3937</v>
      </c>
      <c r="AB19" s="106"/>
      <c r="AC19" s="102"/>
      <c r="AD19" s="91">
        <v>1250</v>
      </c>
      <c r="AE19" s="91">
        <v>0</v>
      </c>
      <c r="AF19" s="105">
        <f>324000000/L1</f>
        <v>324</v>
      </c>
      <c r="AG19" s="106"/>
      <c r="AH19" s="101"/>
      <c r="AI19" s="91">
        <f>AD19</f>
        <v>1250</v>
      </c>
      <c r="AJ19" s="91">
        <f t="shared" ref="AJ19" si="0">K19+P19+U19+Z19+AE19</f>
        <v>20</v>
      </c>
      <c r="AK19" s="62">
        <f t="shared" ref="AK19" si="1">L19+Q19+V19+AA19+AF19</f>
        <v>14347.152103</v>
      </c>
      <c r="AL19" s="62">
        <f t="shared" ref="AL19" si="2">M19+R19+W19+AB19+AG19</f>
        <v>1072.7394810000001</v>
      </c>
      <c r="AM19" s="100"/>
    </row>
    <row r="20" spans="1:39" ht="75" x14ac:dyDescent="0.25">
      <c r="A20" s="214"/>
      <c r="B20" s="192"/>
      <c r="C20" s="192"/>
      <c r="D20" s="192"/>
      <c r="E20" s="218"/>
      <c r="F20" s="13" t="s">
        <v>106</v>
      </c>
      <c r="G20" s="13" t="s">
        <v>107</v>
      </c>
      <c r="H20" s="220"/>
      <c r="I20" s="14"/>
      <c r="J20" s="15">
        <v>0</v>
      </c>
      <c r="K20" s="15">
        <v>0</v>
      </c>
      <c r="L20" s="161">
        <v>0</v>
      </c>
      <c r="M20" s="29"/>
      <c r="N20" s="23"/>
      <c r="O20" s="15">
        <v>400</v>
      </c>
      <c r="P20" s="15">
        <v>0</v>
      </c>
      <c r="Q20" s="29">
        <f>1500000000/L1</f>
        <v>1500</v>
      </c>
      <c r="R20" s="29"/>
      <c r="S20" s="101"/>
      <c r="T20" s="104">
        <v>400</v>
      </c>
      <c r="U20" s="104">
        <v>0</v>
      </c>
      <c r="V20" s="105">
        <f>1550000000/L1</f>
        <v>1550</v>
      </c>
      <c r="W20" s="107"/>
      <c r="X20" s="102"/>
      <c r="Y20" s="104">
        <v>400</v>
      </c>
      <c r="Z20" s="104">
        <v>0</v>
      </c>
      <c r="AA20" s="105">
        <f>1550000000/L1</f>
        <v>1550</v>
      </c>
      <c r="AB20" s="107"/>
      <c r="AC20" s="102"/>
      <c r="AD20" s="91">
        <v>50</v>
      </c>
      <c r="AE20" s="91">
        <v>0</v>
      </c>
      <c r="AF20" s="105">
        <f>400000000/L1</f>
        <v>400</v>
      </c>
      <c r="AG20" s="107"/>
      <c r="AH20" s="101"/>
      <c r="AI20" s="91">
        <f>J20+O20+T20+Y20+AD20</f>
        <v>1250</v>
      </c>
      <c r="AJ20" s="91">
        <f t="shared" ref="AJ20" si="3">K20+P20+U20+Z20+AE20</f>
        <v>0</v>
      </c>
      <c r="AK20" s="62">
        <f t="shared" ref="AK20" si="4">L20+Q20+V20+AA20+AF20</f>
        <v>5000</v>
      </c>
      <c r="AL20" s="62">
        <f t="shared" ref="AL20" si="5">M20+R20+W20+AB20+AG20</f>
        <v>0</v>
      </c>
    </row>
    <row r="21" spans="1:39" s="101" customFormat="1" ht="75.75" customHeight="1" x14ac:dyDescent="0.25">
      <c r="A21" s="214"/>
      <c r="B21" s="192"/>
      <c r="C21" s="192"/>
      <c r="D21" s="192"/>
      <c r="E21" s="218"/>
      <c r="F21" s="139" t="s">
        <v>160</v>
      </c>
      <c r="G21" s="139" t="s">
        <v>108</v>
      </c>
      <c r="H21" s="220"/>
      <c r="I21" s="14"/>
      <c r="J21" s="127">
        <v>0.3</v>
      </c>
      <c r="K21" s="127">
        <v>0.3</v>
      </c>
      <c r="L21" s="160"/>
      <c r="M21" s="129"/>
      <c r="N21" s="130"/>
      <c r="O21" s="131">
        <v>0.7</v>
      </c>
      <c r="P21" s="131">
        <v>0</v>
      </c>
      <c r="Q21" s="129"/>
      <c r="R21" s="129"/>
      <c r="S21" s="132"/>
      <c r="T21" s="133">
        <v>0.9</v>
      </c>
      <c r="U21" s="133">
        <v>0</v>
      </c>
      <c r="V21" s="134"/>
      <c r="W21" s="135"/>
      <c r="X21" s="136"/>
      <c r="Y21" s="133">
        <v>1</v>
      </c>
      <c r="Z21" s="133">
        <v>0</v>
      </c>
      <c r="AA21" s="134"/>
      <c r="AB21" s="135"/>
      <c r="AC21" s="136"/>
      <c r="AD21" s="137">
        <v>1</v>
      </c>
      <c r="AE21" s="137">
        <v>0</v>
      </c>
      <c r="AF21" s="134"/>
      <c r="AG21" s="135"/>
      <c r="AH21" s="132"/>
      <c r="AI21" s="137">
        <f>AD21</f>
        <v>1</v>
      </c>
      <c r="AJ21" s="137">
        <f>K21+P21+U21+Z21+AE21</f>
        <v>0.3</v>
      </c>
      <c r="AK21" s="138">
        <f>L21+Q21+V21+AA21+AF21</f>
        <v>0</v>
      </c>
      <c r="AL21" s="138">
        <f>M21+R21+W21+AB21+AG21</f>
        <v>0</v>
      </c>
      <c r="AM21" s="126"/>
    </row>
    <row r="22" spans="1:39" s="101" customFormat="1" ht="75.75" customHeight="1" x14ac:dyDescent="0.25">
      <c r="A22" s="214"/>
      <c r="B22" s="192"/>
      <c r="C22" s="192"/>
      <c r="D22" s="192"/>
      <c r="E22" s="218"/>
      <c r="F22" s="139" t="s">
        <v>160</v>
      </c>
      <c r="G22" s="139" t="s">
        <v>175</v>
      </c>
      <c r="H22" s="220"/>
      <c r="I22" s="14"/>
      <c r="J22" s="127">
        <v>1</v>
      </c>
      <c r="K22" s="127">
        <v>1</v>
      </c>
      <c r="L22" s="160"/>
      <c r="M22" s="129"/>
      <c r="N22" s="130"/>
      <c r="O22" s="131">
        <v>0</v>
      </c>
      <c r="P22" s="131">
        <v>0</v>
      </c>
      <c r="Q22" s="129"/>
      <c r="R22" s="129"/>
      <c r="S22" s="132"/>
      <c r="T22" s="133">
        <v>0</v>
      </c>
      <c r="U22" s="133">
        <v>0</v>
      </c>
      <c r="V22" s="134"/>
      <c r="W22" s="135"/>
      <c r="X22" s="136"/>
      <c r="Y22" s="133">
        <v>0</v>
      </c>
      <c r="Z22" s="133">
        <v>0</v>
      </c>
      <c r="AA22" s="134"/>
      <c r="AB22" s="135"/>
      <c r="AC22" s="136"/>
      <c r="AD22" s="137">
        <v>0</v>
      </c>
      <c r="AE22" s="137">
        <v>0</v>
      </c>
      <c r="AF22" s="134"/>
      <c r="AG22" s="135"/>
      <c r="AH22" s="132"/>
      <c r="AI22" s="137">
        <f>J22+O22+T22+Y22+AD22</f>
        <v>1</v>
      </c>
      <c r="AJ22" s="137">
        <f>K22+P22+U22+Z22+AE22</f>
        <v>1</v>
      </c>
      <c r="AK22" s="138">
        <f>L22+Q22+V22+AA22+AF22</f>
        <v>0</v>
      </c>
      <c r="AL22" s="138">
        <f>M22+R22+W22+AB22+AG22</f>
        <v>0</v>
      </c>
      <c r="AM22" s="126"/>
    </row>
    <row r="23" spans="1:39" ht="60" x14ac:dyDescent="0.25">
      <c r="A23" s="214"/>
      <c r="B23" s="192"/>
      <c r="C23" s="192"/>
      <c r="D23" s="192"/>
      <c r="E23" s="218"/>
      <c r="F23" s="13" t="s">
        <v>109</v>
      </c>
      <c r="G23" s="13" t="s">
        <v>110</v>
      </c>
      <c r="H23" s="220"/>
      <c r="I23" s="14"/>
      <c r="J23" s="15">
        <v>50</v>
      </c>
      <c r="K23" s="15">
        <v>50</v>
      </c>
      <c r="L23" s="161">
        <v>3103.2696059999998</v>
      </c>
      <c r="M23" s="29">
        <v>2913.9473720000001</v>
      </c>
      <c r="N23" s="23"/>
      <c r="O23" s="15">
        <v>500</v>
      </c>
      <c r="P23" s="15">
        <v>0</v>
      </c>
      <c r="Q23" s="29">
        <f>5500000000/L1</f>
        <v>5500</v>
      </c>
      <c r="R23" s="29"/>
      <c r="S23" s="101"/>
      <c r="T23" s="104">
        <v>500</v>
      </c>
      <c r="U23" s="104">
        <v>0</v>
      </c>
      <c r="V23" s="105">
        <f>5500000000/L1</f>
        <v>5500</v>
      </c>
      <c r="W23" s="107"/>
      <c r="X23" s="102"/>
      <c r="Y23" s="104">
        <v>400</v>
      </c>
      <c r="Z23" s="104">
        <v>0</v>
      </c>
      <c r="AA23" s="105">
        <f>4000000000/L1</f>
        <v>4000</v>
      </c>
      <c r="AB23" s="107"/>
      <c r="AC23" s="102"/>
      <c r="AD23" s="91">
        <v>50</v>
      </c>
      <c r="AE23" s="91">
        <v>0</v>
      </c>
      <c r="AF23" s="105">
        <f>500000000/L1</f>
        <v>500</v>
      </c>
      <c r="AG23" s="107"/>
      <c r="AH23" s="101"/>
      <c r="AI23" s="91">
        <f>J23+O23+T23+Y23+AD23</f>
        <v>1500</v>
      </c>
      <c r="AJ23" s="91">
        <f t="shared" ref="AJ23" si="6">K23+P23+U23+Z23+AE23</f>
        <v>50</v>
      </c>
      <c r="AK23" s="62">
        <f t="shared" ref="AK23" si="7">L23+Q23+V23+AA23+AF23</f>
        <v>18603.269606000002</v>
      </c>
      <c r="AL23" s="62">
        <f t="shared" ref="AL23" si="8">M23+R23+W23+AB23+AG23</f>
        <v>2913.9473720000001</v>
      </c>
    </row>
    <row r="24" spans="1:39" s="101" customFormat="1" ht="75.75" customHeight="1" x14ac:dyDescent="0.25">
      <c r="A24" s="214"/>
      <c r="B24" s="192"/>
      <c r="C24" s="192"/>
      <c r="D24" s="192"/>
      <c r="E24" s="218"/>
      <c r="F24" s="139" t="s">
        <v>162</v>
      </c>
      <c r="G24" s="139" t="s">
        <v>111</v>
      </c>
      <c r="H24" s="220"/>
      <c r="I24" s="14"/>
      <c r="J24" s="127">
        <v>0.2</v>
      </c>
      <c r="K24" s="127">
        <v>0.2</v>
      </c>
      <c r="L24" s="160"/>
      <c r="M24" s="129"/>
      <c r="N24" s="130"/>
      <c r="O24" s="131">
        <v>0.6</v>
      </c>
      <c r="P24" s="131">
        <v>0</v>
      </c>
      <c r="Q24" s="129"/>
      <c r="R24" s="129"/>
      <c r="S24" s="132"/>
      <c r="T24" s="133">
        <v>0.8</v>
      </c>
      <c r="U24" s="133">
        <v>0</v>
      </c>
      <c r="V24" s="134"/>
      <c r="W24" s="135"/>
      <c r="X24" s="136"/>
      <c r="Y24" s="133">
        <v>1</v>
      </c>
      <c r="Z24" s="133">
        <v>0</v>
      </c>
      <c r="AA24" s="134"/>
      <c r="AB24" s="135"/>
      <c r="AC24" s="136"/>
      <c r="AD24" s="137">
        <v>1</v>
      </c>
      <c r="AE24" s="137">
        <v>0</v>
      </c>
      <c r="AF24" s="134"/>
      <c r="AG24" s="135"/>
      <c r="AH24" s="132"/>
      <c r="AI24" s="137">
        <f>AD24</f>
        <v>1</v>
      </c>
      <c r="AJ24" s="137">
        <f>K24+P24+U24+Z24+AE24</f>
        <v>0.2</v>
      </c>
      <c r="AK24" s="138">
        <f>L24+Q24+V24+AA24+AF24</f>
        <v>0</v>
      </c>
      <c r="AL24" s="138">
        <f>M24+R24+W24+AB24+AG24</f>
        <v>0</v>
      </c>
      <c r="AM24" s="126"/>
    </row>
    <row r="25" spans="1:39" ht="75" x14ac:dyDescent="0.25">
      <c r="A25" s="214"/>
      <c r="B25" s="186"/>
      <c r="C25" s="186"/>
      <c r="D25" s="186"/>
      <c r="E25" s="228"/>
      <c r="F25" s="13" t="s">
        <v>112</v>
      </c>
      <c r="G25" s="13" t="s">
        <v>111</v>
      </c>
      <c r="H25" s="220"/>
      <c r="I25" s="14"/>
      <c r="J25" s="26">
        <v>0.2</v>
      </c>
      <c r="K25" s="112">
        <v>0.2</v>
      </c>
      <c r="L25" s="161">
        <f>80000000/L1</f>
        <v>80</v>
      </c>
      <c r="M25" s="29">
        <v>37.799999999999997</v>
      </c>
      <c r="N25" s="23"/>
      <c r="O25" s="26">
        <v>0.6</v>
      </c>
      <c r="P25" s="26">
        <v>0</v>
      </c>
      <c r="Q25" s="29">
        <f>4650000000/L1</f>
        <v>4650</v>
      </c>
      <c r="R25" s="29"/>
      <c r="S25" s="101"/>
      <c r="T25" s="140">
        <v>0.8</v>
      </c>
      <c r="U25" s="125">
        <v>0</v>
      </c>
      <c r="V25" s="105">
        <f>4650000000/L1</f>
        <v>4650</v>
      </c>
      <c r="W25" s="106"/>
      <c r="X25" s="102"/>
      <c r="Y25" s="140">
        <v>1</v>
      </c>
      <c r="Z25" s="125">
        <v>0</v>
      </c>
      <c r="AA25" s="105">
        <f>5550000000/L1</f>
        <v>5550</v>
      </c>
      <c r="AB25" s="106"/>
      <c r="AC25" s="102"/>
      <c r="AD25" s="112">
        <v>1</v>
      </c>
      <c r="AE25" s="112">
        <v>0</v>
      </c>
      <c r="AF25" s="105">
        <f>70000000/L1</f>
        <v>70</v>
      </c>
      <c r="AG25" s="106"/>
      <c r="AH25" s="101"/>
      <c r="AI25" s="112">
        <f>AD25</f>
        <v>1</v>
      </c>
      <c r="AJ25" s="112">
        <f t="shared" ref="AJ25" si="9">K25+P25+U25+Z25+AE25</f>
        <v>0.2</v>
      </c>
      <c r="AK25" s="62">
        <f t="shared" ref="AK25" si="10">L25+Q25+V25+AA25+AF25</f>
        <v>15000</v>
      </c>
      <c r="AL25" s="62">
        <f t="shared" ref="AL25" si="11">M25+R25+W25+AB25+AG25</f>
        <v>37.799999999999997</v>
      </c>
      <c r="AM25" s="100"/>
    </row>
    <row r="26" spans="1:39" s="6" customFormat="1" ht="15.75" x14ac:dyDescent="0.25">
      <c r="A26" s="17"/>
      <c r="B26" s="116" t="s">
        <v>103</v>
      </c>
      <c r="C26" s="116"/>
      <c r="D26" s="116"/>
      <c r="E26" s="116"/>
      <c r="F26" s="39"/>
      <c r="G26" s="39"/>
      <c r="H26" s="39"/>
      <c r="I26" s="40"/>
      <c r="J26" s="41"/>
      <c r="K26" s="41"/>
      <c r="L26" s="162">
        <f>SUM(L18:L25)</f>
        <v>4745.4217090000002</v>
      </c>
      <c r="M26" s="42">
        <f>SUM(M18:M25)</f>
        <v>4024.4868530000003</v>
      </c>
      <c r="N26" s="51"/>
      <c r="O26" s="41"/>
      <c r="P26" s="41"/>
      <c r="Q26" s="42">
        <f>SUM(Q18:Q25)</f>
        <v>15858</v>
      </c>
      <c r="R26" s="42">
        <f>SUM(R18:R25)</f>
        <v>0</v>
      </c>
      <c r="T26" s="41"/>
      <c r="U26" s="41"/>
      <c r="V26" s="42">
        <f>SUM(V18:V25)</f>
        <v>16016</v>
      </c>
      <c r="W26" s="42">
        <f>SUM(W18:W25)</f>
        <v>0</v>
      </c>
      <c r="Y26" s="41"/>
      <c r="Z26" s="41"/>
      <c r="AA26" s="42">
        <f>SUM(AA18:AA25)</f>
        <v>15037</v>
      </c>
      <c r="AB26" s="42">
        <f>SUM(AB18:AB25)</f>
        <v>0</v>
      </c>
      <c r="AC26" s="113"/>
      <c r="AD26" s="41"/>
      <c r="AE26" s="42"/>
      <c r="AF26" s="42">
        <f>SUM(AF18:AF25)</f>
        <v>1294</v>
      </c>
      <c r="AG26" s="42">
        <f>SUM(AG18:AG25)</f>
        <v>0</v>
      </c>
      <c r="AI26" s="97"/>
      <c r="AJ26" s="97"/>
      <c r="AK26" s="64">
        <f>SUM(AK18:AK25)</f>
        <v>52950.421709000002</v>
      </c>
      <c r="AL26" s="64">
        <f>SUM(AL18:AL25)</f>
        <v>4024.4868530000003</v>
      </c>
      <c r="AM26" s="99"/>
    </row>
    <row r="27" spans="1:39" s="3" customFormat="1" ht="12.75" x14ac:dyDescent="0.2">
      <c r="A27" s="141"/>
      <c r="B27" s="4"/>
      <c r="C27" s="4"/>
      <c r="D27" s="4"/>
      <c r="E27" s="4"/>
      <c r="F27" s="4"/>
      <c r="G27" s="4"/>
      <c r="H27" s="4"/>
      <c r="I27" s="2"/>
      <c r="J27" s="141"/>
      <c r="K27" s="2"/>
      <c r="L27" s="157"/>
      <c r="M27" s="2"/>
      <c r="N27" s="2"/>
      <c r="O27" s="2"/>
      <c r="P27" s="2"/>
      <c r="Q27" s="2"/>
      <c r="R27" s="2"/>
      <c r="T27" s="103"/>
      <c r="U27" s="103"/>
      <c r="V27" s="103"/>
      <c r="W27" s="103"/>
      <c r="Y27" s="103"/>
      <c r="Z27" s="103"/>
      <c r="AA27" s="103"/>
      <c r="AB27" s="103"/>
      <c r="AD27" s="2"/>
      <c r="AE27" s="2"/>
      <c r="AF27" s="103"/>
      <c r="AG27" s="103"/>
      <c r="AI27" s="110"/>
      <c r="AJ27" s="110"/>
      <c r="AK27" s="110"/>
      <c r="AL27" s="111"/>
      <c r="AM27" s="94"/>
    </row>
    <row r="28" spans="1:39" s="5" customFormat="1" ht="15.75" customHeight="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95"/>
    </row>
    <row r="29" spans="1:39" s="3" customFormat="1" ht="12.75" x14ac:dyDescent="0.2">
      <c r="A29" s="141"/>
      <c r="B29" s="4"/>
      <c r="C29" s="4"/>
      <c r="D29" s="4"/>
      <c r="E29" s="4"/>
      <c r="F29" s="4"/>
      <c r="G29" s="4"/>
      <c r="H29" s="4"/>
      <c r="I29" s="2"/>
      <c r="J29" s="141"/>
      <c r="K29" s="2"/>
      <c r="L29" s="157"/>
      <c r="M29" s="2"/>
      <c r="N29" s="2"/>
      <c r="O29" s="2"/>
      <c r="P29" s="2"/>
      <c r="Q29" s="2"/>
      <c r="R29" s="2"/>
      <c r="T29" s="103"/>
      <c r="U29" s="103"/>
      <c r="V29" s="103"/>
      <c r="W29" s="103"/>
      <c r="Y29" s="103"/>
      <c r="Z29" s="103"/>
      <c r="AA29" s="103"/>
      <c r="AB29" s="103"/>
      <c r="AD29" s="2"/>
      <c r="AE29" s="2"/>
      <c r="AF29" s="103"/>
      <c r="AG29" s="103"/>
      <c r="AI29" s="110"/>
      <c r="AJ29" s="110"/>
      <c r="AK29" s="110"/>
      <c r="AL29" s="111"/>
      <c r="AM29" s="94"/>
    </row>
    <row r="30" spans="1:39" s="172" customFormat="1" x14ac:dyDescent="0.25">
      <c r="A30" s="216" t="s">
        <v>93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171"/>
    </row>
    <row r="31" spans="1:39" x14ac:dyDescent="0.25">
      <c r="A31" s="143">
        <v>1</v>
      </c>
      <c r="B31" s="123" t="s">
        <v>94</v>
      </c>
      <c r="C31" s="222" t="s">
        <v>113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</row>
    <row r="32" spans="1:39" x14ac:dyDescent="0.25">
      <c r="A32" s="142">
        <v>8</v>
      </c>
      <c r="B32" s="6" t="s">
        <v>158</v>
      </c>
      <c r="C32" s="222" t="s">
        <v>159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9" x14ac:dyDescent="0.25">
      <c r="A33" s="142">
        <v>19</v>
      </c>
      <c r="B33" s="6" t="s">
        <v>95</v>
      </c>
      <c r="C33" s="222" t="s">
        <v>157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</row>
    <row r="34" spans="1:39" ht="30" x14ac:dyDescent="0.25">
      <c r="A34" s="142">
        <v>3</v>
      </c>
      <c r="B34" s="124" t="s">
        <v>98</v>
      </c>
      <c r="C34" s="222" t="s">
        <v>114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</row>
    <row r="35" spans="1:39" x14ac:dyDescent="0.25">
      <c r="A35" s="144"/>
      <c r="F35" s="7"/>
      <c r="G35" s="7"/>
      <c r="H35" s="7"/>
      <c r="I35" s="8"/>
      <c r="J35" s="165"/>
      <c r="K35" s="7"/>
      <c r="L35" s="158"/>
      <c r="M35" s="7"/>
      <c r="N35" s="8"/>
      <c r="O35" s="7"/>
      <c r="P35" s="7"/>
      <c r="Q35" s="7"/>
      <c r="R35" s="7"/>
      <c r="T35" s="7"/>
      <c r="U35" s="7"/>
      <c r="V35" s="72"/>
      <c r="W35" s="72"/>
      <c r="Y35" s="7"/>
      <c r="Z35" s="7"/>
      <c r="AA35" s="72"/>
      <c r="AB35" s="72"/>
      <c r="AC35" s="101"/>
      <c r="AD35" s="109"/>
      <c r="AE35" s="109"/>
      <c r="AF35" s="72"/>
      <c r="AG35" s="72"/>
      <c r="AI35" s="96"/>
      <c r="AJ35" s="96"/>
      <c r="AK35" s="98"/>
    </row>
    <row r="36" spans="1:39" s="11" customFormat="1" ht="27" customHeight="1" x14ac:dyDescent="0.25">
      <c r="A36" s="207" t="s">
        <v>2</v>
      </c>
      <c r="B36" s="182" t="s">
        <v>3</v>
      </c>
      <c r="C36" s="225" t="s">
        <v>87</v>
      </c>
      <c r="D36" s="182" t="s">
        <v>67</v>
      </c>
      <c r="E36" s="225" t="s">
        <v>172</v>
      </c>
      <c r="F36" s="204" t="s">
        <v>101</v>
      </c>
      <c r="G36" s="227" t="s">
        <v>90</v>
      </c>
      <c r="H36" s="177" t="s">
        <v>173</v>
      </c>
      <c r="I36" s="10"/>
      <c r="J36" s="177">
        <v>2020</v>
      </c>
      <c r="K36" s="177"/>
      <c r="L36" s="177"/>
      <c r="M36" s="177"/>
      <c r="N36" s="10"/>
      <c r="O36" s="177">
        <v>2021</v>
      </c>
      <c r="P36" s="177"/>
      <c r="Q36" s="177"/>
      <c r="R36" s="177"/>
      <c r="T36" s="177">
        <v>2022</v>
      </c>
      <c r="U36" s="177"/>
      <c r="V36" s="177"/>
      <c r="W36" s="177"/>
      <c r="Y36" s="177">
        <v>2023</v>
      </c>
      <c r="Z36" s="177"/>
      <c r="AA36" s="177"/>
      <c r="AB36" s="177"/>
      <c r="AD36" s="178">
        <v>2024</v>
      </c>
      <c r="AE36" s="179"/>
      <c r="AF36" s="179"/>
      <c r="AG36" s="179"/>
      <c r="AI36" s="223" t="s">
        <v>102</v>
      </c>
      <c r="AJ36" s="223"/>
      <c r="AK36" s="223"/>
      <c r="AL36" s="223"/>
      <c r="AM36" s="99"/>
    </row>
    <row r="37" spans="1:39" s="11" customFormat="1" ht="16.5" customHeight="1" x14ac:dyDescent="0.25">
      <c r="A37" s="208"/>
      <c r="B37" s="183"/>
      <c r="C37" s="205"/>
      <c r="D37" s="183"/>
      <c r="E37" s="205"/>
      <c r="F37" s="205"/>
      <c r="G37" s="227"/>
      <c r="H37" s="177"/>
      <c r="I37" s="10"/>
      <c r="J37" s="176" t="s">
        <v>4</v>
      </c>
      <c r="K37" s="176"/>
      <c r="L37" s="176" t="s">
        <v>61</v>
      </c>
      <c r="M37" s="176"/>
      <c r="N37" s="10"/>
      <c r="O37" s="176" t="s">
        <v>6</v>
      </c>
      <c r="P37" s="176"/>
      <c r="Q37" s="176" t="s">
        <v>8</v>
      </c>
      <c r="R37" s="176"/>
      <c r="S37" s="10"/>
      <c r="T37" s="176" t="s">
        <v>7</v>
      </c>
      <c r="U37" s="176"/>
      <c r="V37" s="176" t="s">
        <v>8</v>
      </c>
      <c r="W37" s="176"/>
      <c r="Y37" s="176" t="s">
        <v>7</v>
      </c>
      <c r="Z37" s="176"/>
      <c r="AA37" s="176" t="s">
        <v>8</v>
      </c>
      <c r="AB37" s="176"/>
      <c r="AD37" s="176" t="s">
        <v>7</v>
      </c>
      <c r="AE37" s="176"/>
      <c r="AF37" s="176" t="s">
        <v>8</v>
      </c>
      <c r="AG37" s="176"/>
      <c r="AI37" s="180" t="s">
        <v>4</v>
      </c>
      <c r="AJ37" s="180" t="s">
        <v>66</v>
      </c>
      <c r="AK37" s="180" t="s">
        <v>8</v>
      </c>
      <c r="AL37" s="180" t="s">
        <v>5</v>
      </c>
      <c r="AM37" s="99"/>
    </row>
    <row r="38" spans="1:39" s="11" customFormat="1" ht="33" x14ac:dyDescent="0.25">
      <c r="A38" s="209"/>
      <c r="B38" s="184"/>
      <c r="C38" s="226"/>
      <c r="D38" s="184"/>
      <c r="E38" s="226"/>
      <c r="F38" s="206"/>
      <c r="G38" s="227"/>
      <c r="H38" s="177"/>
      <c r="I38" s="12"/>
      <c r="J38" s="155" t="s">
        <v>59</v>
      </c>
      <c r="K38" s="117" t="s">
        <v>60</v>
      </c>
      <c r="L38" s="159" t="s">
        <v>64</v>
      </c>
      <c r="M38" s="117" t="s">
        <v>63</v>
      </c>
      <c r="N38" s="12"/>
      <c r="O38" s="61" t="s">
        <v>59</v>
      </c>
      <c r="P38" s="117" t="s">
        <v>60</v>
      </c>
      <c r="Q38" s="61" t="s">
        <v>62</v>
      </c>
      <c r="R38" s="117" t="s">
        <v>63</v>
      </c>
      <c r="S38" s="10"/>
      <c r="T38" s="61" t="s">
        <v>59</v>
      </c>
      <c r="U38" s="117" t="s">
        <v>60</v>
      </c>
      <c r="V38" s="117" t="s">
        <v>62</v>
      </c>
      <c r="W38" s="117" t="s">
        <v>63</v>
      </c>
      <c r="Y38" s="117" t="s">
        <v>59</v>
      </c>
      <c r="Z38" s="117" t="s">
        <v>60</v>
      </c>
      <c r="AA38" s="117" t="s">
        <v>64</v>
      </c>
      <c r="AB38" s="117" t="s">
        <v>63</v>
      </c>
      <c r="AD38" s="117" t="s">
        <v>59</v>
      </c>
      <c r="AE38" s="117" t="s">
        <v>60</v>
      </c>
      <c r="AF38" s="117" t="s">
        <v>64</v>
      </c>
      <c r="AG38" s="117" t="s">
        <v>63</v>
      </c>
      <c r="AI38" s="181"/>
      <c r="AJ38" s="181"/>
      <c r="AK38" s="181"/>
      <c r="AL38" s="181"/>
      <c r="AM38" s="99"/>
    </row>
    <row r="39" spans="1:39" ht="75.75" customHeight="1" x14ac:dyDescent="0.25">
      <c r="A39" s="213" t="s">
        <v>115</v>
      </c>
      <c r="B39" s="185" t="s">
        <v>116</v>
      </c>
      <c r="C39" s="185" t="s">
        <v>117</v>
      </c>
      <c r="D39" s="185" t="s">
        <v>153</v>
      </c>
      <c r="E39" s="217" t="str">
        <f>C32</f>
        <v xml:space="preserve">Aumentar el acceso a vivienda digna, espacio público y equipamientos de la población vulnerable en suelo urbano y rural </v>
      </c>
      <c r="F39" s="139" t="s">
        <v>163</v>
      </c>
      <c r="G39" s="139" t="s">
        <v>91</v>
      </c>
      <c r="H39" s="219" t="str">
        <f>C34</f>
        <v>Sistema Distrital de cuidado</v>
      </c>
      <c r="I39" s="14"/>
      <c r="J39" s="128">
        <v>300</v>
      </c>
      <c r="K39" s="128">
        <v>433</v>
      </c>
      <c r="L39" s="160"/>
      <c r="M39" s="129"/>
      <c r="N39" s="130"/>
      <c r="O39" s="145">
        <v>600</v>
      </c>
      <c r="P39" s="145">
        <v>0</v>
      </c>
      <c r="Q39" s="129"/>
      <c r="R39" s="129"/>
      <c r="S39" s="132"/>
      <c r="T39" s="146">
        <v>600</v>
      </c>
      <c r="U39" s="146">
        <v>0</v>
      </c>
      <c r="V39" s="134"/>
      <c r="W39" s="135"/>
      <c r="X39" s="136"/>
      <c r="Y39" s="146">
        <v>600</v>
      </c>
      <c r="Z39" s="146">
        <v>0</v>
      </c>
      <c r="AA39" s="134"/>
      <c r="AB39" s="135"/>
      <c r="AC39" s="136"/>
      <c r="AD39" s="147">
        <v>300</v>
      </c>
      <c r="AE39" s="147">
        <v>0</v>
      </c>
      <c r="AF39" s="134"/>
      <c r="AG39" s="135"/>
      <c r="AH39" s="132"/>
      <c r="AI39" s="147">
        <f t="shared" ref="AI39:AL40" si="12">J39+O39+T39+Y39+AD39</f>
        <v>2400</v>
      </c>
      <c r="AJ39" s="147">
        <f t="shared" si="12"/>
        <v>433</v>
      </c>
      <c r="AK39" s="138">
        <f t="shared" si="12"/>
        <v>0</v>
      </c>
      <c r="AL39" s="138">
        <f t="shared" si="12"/>
        <v>0</v>
      </c>
      <c r="AM39" s="100"/>
    </row>
    <row r="40" spans="1:39" ht="75.75" customHeight="1" x14ac:dyDescent="0.25">
      <c r="A40" s="214"/>
      <c r="B40" s="192"/>
      <c r="C40" s="192"/>
      <c r="D40" s="192"/>
      <c r="E40" s="218"/>
      <c r="F40" s="13" t="s">
        <v>118</v>
      </c>
      <c r="G40" s="13" t="s">
        <v>91</v>
      </c>
      <c r="H40" s="220"/>
      <c r="I40" s="14"/>
      <c r="J40" s="108">
        <v>300</v>
      </c>
      <c r="K40" s="108">
        <v>433</v>
      </c>
      <c r="L40" s="163">
        <v>2485.9104860000002</v>
      </c>
      <c r="M40" s="29">
        <v>2462.6375039999998</v>
      </c>
      <c r="N40" s="23"/>
      <c r="O40" s="15">
        <v>600</v>
      </c>
      <c r="P40" s="15">
        <v>0</v>
      </c>
      <c r="Q40" s="29">
        <f>3775257731/L1</f>
        <v>3775.2577310000001</v>
      </c>
      <c r="R40" s="29"/>
      <c r="S40" s="101"/>
      <c r="T40" s="104">
        <v>600</v>
      </c>
      <c r="U40" s="104">
        <v>0</v>
      </c>
      <c r="V40" s="29">
        <f>3775257731/L1</f>
        <v>3775.2577310000001</v>
      </c>
      <c r="W40" s="106"/>
      <c r="X40" s="102"/>
      <c r="Y40" s="104">
        <v>600</v>
      </c>
      <c r="Z40" s="104">
        <v>0</v>
      </c>
      <c r="AA40" s="29">
        <f>3775257731/L1</f>
        <v>3775.2577310000001</v>
      </c>
      <c r="AB40" s="106"/>
      <c r="AC40" s="102"/>
      <c r="AD40" s="91">
        <v>300</v>
      </c>
      <c r="AE40" s="91">
        <v>0</v>
      </c>
      <c r="AF40" s="105">
        <f>1887628865/L1</f>
        <v>1887.6288649999999</v>
      </c>
      <c r="AG40" s="106"/>
      <c r="AH40" s="101"/>
      <c r="AI40" s="91">
        <f t="shared" si="12"/>
        <v>2400</v>
      </c>
      <c r="AJ40" s="91">
        <f t="shared" si="12"/>
        <v>433</v>
      </c>
      <c r="AK40" s="62">
        <f t="shared" si="12"/>
        <v>15699.312544</v>
      </c>
      <c r="AL40" s="62">
        <f t="shared" si="12"/>
        <v>2462.6375039999998</v>
      </c>
      <c r="AM40" s="100"/>
    </row>
    <row r="41" spans="1:39" ht="39.75" customHeight="1" x14ac:dyDescent="0.25">
      <c r="A41" s="214"/>
      <c r="B41" s="192"/>
      <c r="C41" s="192"/>
      <c r="D41" s="192"/>
      <c r="E41" s="218"/>
      <c r="F41" s="13" t="s">
        <v>119</v>
      </c>
      <c r="G41" s="13" t="s">
        <v>120</v>
      </c>
      <c r="H41" s="220"/>
      <c r="I41" s="14"/>
      <c r="J41" s="15">
        <v>1</v>
      </c>
      <c r="K41" s="15">
        <v>1</v>
      </c>
      <c r="L41" s="169">
        <v>1.1481950000000001</v>
      </c>
      <c r="M41" s="170">
        <v>1.1481950000000001</v>
      </c>
      <c r="N41" s="23"/>
      <c r="O41" s="15">
        <v>1</v>
      </c>
      <c r="P41" s="15">
        <v>0</v>
      </c>
      <c r="Q41" s="29">
        <f>711330074/L1</f>
        <v>711.33007399999997</v>
      </c>
      <c r="R41" s="29"/>
      <c r="S41" s="101"/>
      <c r="T41" s="104">
        <v>1</v>
      </c>
      <c r="U41" s="104">
        <v>0</v>
      </c>
      <c r="V41" s="29">
        <f>711330074/L1</f>
        <v>711.33007399999997</v>
      </c>
      <c r="W41" s="107"/>
      <c r="X41" s="102"/>
      <c r="Y41" s="104">
        <v>1</v>
      </c>
      <c r="Z41" s="104">
        <v>0</v>
      </c>
      <c r="AA41" s="105">
        <f>1066995111/L1</f>
        <v>1066.995111</v>
      </c>
      <c r="AB41" s="107"/>
      <c r="AC41" s="102"/>
      <c r="AD41" s="91">
        <v>0</v>
      </c>
      <c r="AE41" s="91">
        <v>0</v>
      </c>
      <c r="AF41" s="105">
        <v>0</v>
      </c>
      <c r="AG41" s="107"/>
      <c r="AH41" s="101"/>
      <c r="AI41" s="91">
        <f>J41+O41+T41+Y41+AD41</f>
        <v>4</v>
      </c>
      <c r="AJ41" s="91">
        <f t="shared" ref="AJ41:AJ42" si="13">K41+P41+U41+Z41+AE41</f>
        <v>1</v>
      </c>
      <c r="AK41" s="62">
        <f t="shared" ref="AK41:AK42" si="14">L41+Q41+V41+AA41+AF41</f>
        <v>2490.8034539999999</v>
      </c>
      <c r="AL41" s="62">
        <f t="shared" ref="AL41:AL42" si="15">M41+R41+W41+AB41+AG41</f>
        <v>1.1481950000000001</v>
      </c>
    </row>
    <row r="42" spans="1:39" ht="43.5" customHeight="1" x14ac:dyDescent="0.25">
      <c r="A42" s="214"/>
      <c r="B42" s="192"/>
      <c r="C42" s="192"/>
      <c r="D42" s="192"/>
      <c r="E42" s="218"/>
      <c r="F42" s="13" t="s">
        <v>121</v>
      </c>
      <c r="G42" s="13" t="s">
        <v>122</v>
      </c>
      <c r="H42" s="220"/>
      <c r="I42" s="14"/>
      <c r="J42" s="15">
        <v>1</v>
      </c>
      <c r="K42" s="15">
        <v>1</v>
      </c>
      <c r="L42" s="161">
        <v>3933.2635260000002</v>
      </c>
      <c r="M42" s="29">
        <v>3919.824286</v>
      </c>
      <c r="N42" s="23"/>
      <c r="O42" s="15">
        <v>1</v>
      </c>
      <c r="P42" s="15">
        <v>0</v>
      </c>
      <c r="Q42" s="29">
        <f>834198124/L1</f>
        <v>834.19812400000001</v>
      </c>
      <c r="R42" s="29"/>
      <c r="S42" s="101"/>
      <c r="T42" s="104">
        <v>0</v>
      </c>
      <c r="U42" s="104">
        <v>0</v>
      </c>
      <c r="V42" s="105">
        <v>0</v>
      </c>
      <c r="W42" s="105"/>
      <c r="X42" s="102"/>
      <c r="Y42" s="104">
        <v>0</v>
      </c>
      <c r="Z42" s="104">
        <v>0</v>
      </c>
      <c r="AA42" s="105">
        <v>0</v>
      </c>
      <c r="AB42" s="105"/>
      <c r="AC42" s="102"/>
      <c r="AD42" s="91">
        <v>0</v>
      </c>
      <c r="AE42" s="91">
        <v>0</v>
      </c>
      <c r="AF42" s="105">
        <v>0</v>
      </c>
      <c r="AG42" s="105"/>
      <c r="AH42" s="101"/>
      <c r="AI42" s="91">
        <f>J42+O42+T42+Y42+AD42</f>
        <v>2</v>
      </c>
      <c r="AJ42" s="91">
        <f t="shared" si="13"/>
        <v>1</v>
      </c>
      <c r="AK42" s="62">
        <f t="shared" si="14"/>
        <v>4767.4616500000002</v>
      </c>
      <c r="AL42" s="62">
        <f t="shared" si="15"/>
        <v>3919.824286</v>
      </c>
      <c r="AM42" s="100"/>
    </row>
    <row r="43" spans="1:39" s="6" customFormat="1" ht="15.75" x14ac:dyDescent="0.25">
      <c r="A43" s="17"/>
      <c r="B43" s="119" t="s">
        <v>103</v>
      </c>
      <c r="C43" s="119"/>
      <c r="D43" s="119"/>
      <c r="E43" s="119"/>
      <c r="F43" s="39"/>
      <c r="G43" s="39"/>
      <c r="H43" s="39"/>
      <c r="I43" s="40"/>
      <c r="J43" s="41"/>
      <c r="K43" s="41"/>
      <c r="L43" s="162">
        <f>SUM(L39:L42)</f>
        <v>6420.3222070000011</v>
      </c>
      <c r="M43" s="42">
        <f>SUM(M39:M42)</f>
        <v>6383.6099850000001</v>
      </c>
      <c r="N43" s="51"/>
      <c r="O43" s="41"/>
      <c r="P43" s="41"/>
      <c r="Q43" s="42">
        <f>SUM(Q39:Q42)</f>
        <v>5320.7859289999997</v>
      </c>
      <c r="R43" s="42">
        <f>SUM(R39:R42)</f>
        <v>0</v>
      </c>
      <c r="T43" s="41"/>
      <c r="U43" s="41"/>
      <c r="V43" s="42">
        <f>SUM(V39:V42)</f>
        <v>4486.5878050000001</v>
      </c>
      <c r="W43" s="42">
        <f>SUM(W39:W42)</f>
        <v>0</v>
      </c>
      <c r="Y43" s="41"/>
      <c r="Z43" s="41"/>
      <c r="AA43" s="42">
        <f>SUM(AA39:AA42)</f>
        <v>4842.2528419999999</v>
      </c>
      <c r="AB43" s="42">
        <f>SUM(AB39:AB42)</f>
        <v>0</v>
      </c>
      <c r="AC43" s="113"/>
      <c r="AD43" s="41"/>
      <c r="AE43" s="42"/>
      <c r="AF43" s="42">
        <f>SUM(AF39:AF42)</f>
        <v>1887.6288649999999</v>
      </c>
      <c r="AG43" s="42">
        <f>SUM(AG39:AG42)</f>
        <v>0</v>
      </c>
      <c r="AI43" s="97"/>
      <c r="AJ43" s="97"/>
      <c r="AK43" s="64">
        <f>SUM(AK39:AK42)</f>
        <v>22957.577648000002</v>
      </c>
      <c r="AL43" s="64">
        <f>SUM(AL39:AL42)</f>
        <v>6383.6099850000001</v>
      </c>
      <c r="AM43" s="99"/>
    </row>
    <row r="45" spans="1:39" s="5" customFormat="1" ht="15.75" customHeight="1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95"/>
    </row>
    <row r="46" spans="1:39" s="3" customFormat="1" ht="12.75" x14ac:dyDescent="0.2">
      <c r="A46" s="141"/>
      <c r="B46" s="4"/>
      <c r="C46" s="4"/>
      <c r="D46" s="4"/>
      <c r="E46" s="4"/>
      <c r="F46" s="4"/>
      <c r="G46" s="4"/>
      <c r="H46" s="4"/>
      <c r="I46" s="2"/>
      <c r="J46" s="141"/>
      <c r="K46" s="2"/>
      <c r="L46" s="157"/>
      <c r="M46" s="2"/>
      <c r="N46" s="2"/>
      <c r="O46" s="2"/>
      <c r="P46" s="2"/>
      <c r="Q46" s="2"/>
      <c r="R46" s="2"/>
      <c r="T46" s="103"/>
      <c r="U46" s="103"/>
      <c r="V46" s="103"/>
      <c r="W46" s="103"/>
      <c r="Y46" s="103"/>
      <c r="Z46" s="103"/>
      <c r="AA46" s="103"/>
      <c r="AB46" s="103"/>
      <c r="AD46" s="2"/>
      <c r="AE46" s="2"/>
      <c r="AF46" s="103"/>
      <c r="AG46" s="103"/>
      <c r="AI46" s="110"/>
      <c r="AJ46" s="110"/>
      <c r="AK46" s="110"/>
      <c r="AL46" s="111"/>
      <c r="AM46" s="94"/>
    </row>
    <row r="47" spans="1:39" s="172" customFormat="1" x14ac:dyDescent="0.25">
      <c r="A47" s="216" t="s">
        <v>93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171"/>
    </row>
    <row r="48" spans="1:39" s="7" customFormat="1" x14ac:dyDescent="0.25">
      <c r="A48" s="173">
        <v>2</v>
      </c>
      <c r="B48" s="174" t="s">
        <v>94</v>
      </c>
      <c r="C48" s="224" t="s">
        <v>164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96"/>
    </row>
    <row r="49" spans="1:39" s="7" customFormat="1" x14ac:dyDescent="0.25">
      <c r="A49" s="55">
        <v>15</v>
      </c>
      <c r="B49" s="54" t="s">
        <v>158</v>
      </c>
      <c r="C49" s="224" t="s">
        <v>165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96"/>
    </row>
    <row r="50" spans="1:39" s="7" customFormat="1" x14ac:dyDescent="0.25">
      <c r="A50" s="55">
        <v>29</v>
      </c>
      <c r="B50" s="54" t="s">
        <v>95</v>
      </c>
      <c r="C50" s="224" t="s">
        <v>166</v>
      </c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96"/>
    </row>
    <row r="51" spans="1:39" s="7" customFormat="1" ht="30" x14ac:dyDescent="0.25">
      <c r="A51" s="55">
        <v>3</v>
      </c>
      <c r="B51" s="175" t="s">
        <v>98</v>
      </c>
      <c r="C51" s="224" t="s">
        <v>114</v>
      </c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96"/>
    </row>
    <row r="53" spans="1:39" s="11" customFormat="1" ht="27" customHeight="1" x14ac:dyDescent="0.25">
      <c r="A53" s="207" t="s">
        <v>2</v>
      </c>
      <c r="B53" s="182" t="s">
        <v>3</v>
      </c>
      <c r="C53" s="225" t="s">
        <v>87</v>
      </c>
      <c r="D53" s="182" t="s">
        <v>67</v>
      </c>
      <c r="E53" s="225" t="s">
        <v>172</v>
      </c>
      <c r="F53" s="204" t="s">
        <v>101</v>
      </c>
      <c r="G53" s="227" t="s">
        <v>90</v>
      </c>
      <c r="H53" s="177" t="s">
        <v>173</v>
      </c>
      <c r="I53" s="10"/>
      <c r="J53" s="177">
        <v>2020</v>
      </c>
      <c r="K53" s="177"/>
      <c r="L53" s="177"/>
      <c r="M53" s="177"/>
      <c r="N53" s="10"/>
      <c r="O53" s="177">
        <v>2021</v>
      </c>
      <c r="P53" s="177"/>
      <c r="Q53" s="177"/>
      <c r="R53" s="177"/>
      <c r="T53" s="177">
        <v>2022</v>
      </c>
      <c r="U53" s="177"/>
      <c r="V53" s="177"/>
      <c r="W53" s="177"/>
      <c r="Y53" s="177">
        <v>2023</v>
      </c>
      <c r="Z53" s="177"/>
      <c r="AA53" s="177"/>
      <c r="AB53" s="177"/>
      <c r="AD53" s="178">
        <v>2024</v>
      </c>
      <c r="AE53" s="179"/>
      <c r="AF53" s="179"/>
      <c r="AG53" s="179"/>
      <c r="AI53" s="223" t="s">
        <v>102</v>
      </c>
      <c r="AJ53" s="223"/>
      <c r="AK53" s="223"/>
      <c r="AL53" s="223"/>
      <c r="AM53" s="99"/>
    </row>
    <row r="54" spans="1:39" s="11" customFormat="1" ht="16.5" customHeight="1" x14ac:dyDescent="0.25">
      <c r="A54" s="208"/>
      <c r="B54" s="183"/>
      <c r="C54" s="205"/>
      <c r="D54" s="183"/>
      <c r="E54" s="205"/>
      <c r="F54" s="205"/>
      <c r="G54" s="227"/>
      <c r="H54" s="177"/>
      <c r="I54" s="10"/>
      <c r="J54" s="176" t="s">
        <v>4</v>
      </c>
      <c r="K54" s="176"/>
      <c r="L54" s="176" t="s">
        <v>61</v>
      </c>
      <c r="M54" s="176"/>
      <c r="N54" s="10"/>
      <c r="O54" s="176" t="s">
        <v>6</v>
      </c>
      <c r="P54" s="176"/>
      <c r="Q54" s="176" t="s">
        <v>8</v>
      </c>
      <c r="R54" s="176"/>
      <c r="S54" s="10"/>
      <c r="T54" s="176" t="s">
        <v>7</v>
      </c>
      <c r="U54" s="176"/>
      <c r="V54" s="176" t="s">
        <v>8</v>
      </c>
      <c r="W54" s="176"/>
      <c r="Y54" s="176" t="s">
        <v>7</v>
      </c>
      <c r="Z54" s="176"/>
      <c r="AA54" s="176" t="s">
        <v>8</v>
      </c>
      <c r="AB54" s="176"/>
      <c r="AD54" s="176" t="s">
        <v>7</v>
      </c>
      <c r="AE54" s="176"/>
      <c r="AF54" s="176" t="s">
        <v>8</v>
      </c>
      <c r="AG54" s="176"/>
      <c r="AI54" s="180" t="s">
        <v>4</v>
      </c>
      <c r="AJ54" s="180" t="s">
        <v>66</v>
      </c>
      <c r="AK54" s="180" t="s">
        <v>8</v>
      </c>
      <c r="AL54" s="180" t="s">
        <v>5</v>
      </c>
      <c r="AM54" s="99"/>
    </row>
    <row r="55" spans="1:39" s="11" customFormat="1" ht="33" x14ac:dyDescent="0.25">
      <c r="A55" s="209"/>
      <c r="B55" s="184"/>
      <c r="C55" s="226"/>
      <c r="D55" s="184"/>
      <c r="E55" s="226"/>
      <c r="F55" s="206"/>
      <c r="G55" s="227"/>
      <c r="H55" s="177"/>
      <c r="I55" s="12"/>
      <c r="J55" s="155" t="s">
        <v>59</v>
      </c>
      <c r="K55" s="117" t="s">
        <v>60</v>
      </c>
      <c r="L55" s="159" t="s">
        <v>64</v>
      </c>
      <c r="M55" s="117" t="s">
        <v>63</v>
      </c>
      <c r="N55" s="12"/>
      <c r="O55" s="61" t="s">
        <v>59</v>
      </c>
      <c r="P55" s="117" t="s">
        <v>60</v>
      </c>
      <c r="Q55" s="61" t="s">
        <v>62</v>
      </c>
      <c r="R55" s="117" t="s">
        <v>63</v>
      </c>
      <c r="S55" s="10"/>
      <c r="T55" s="61" t="s">
        <v>59</v>
      </c>
      <c r="U55" s="117" t="s">
        <v>60</v>
      </c>
      <c r="V55" s="117" t="s">
        <v>62</v>
      </c>
      <c r="W55" s="117" t="s">
        <v>63</v>
      </c>
      <c r="Y55" s="117" t="s">
        <v>59</v>
      </c>
      <c r="Z55" s="117" t="s">
        <v>60</v>
      </c>
      <c r="AA55" s="117" t="s">
        <v>64</v>
      </c>
      <c r="AB55" s="117" t="s">
        <v>63</v>
      </c>
      <c r="AD55" s="117" t="s">
        <v>59</v>
      </c>
      <c r="AE55" s="117" t="s">
        <v>60</v>
      </c>
      <c r="AF55" s="117" t="s">
        <v>64</v>
      </c>
      <c r="AG55" s="117" t="s">
        <v>63</v>
      </c>
      <c r="AI55" s="181"/>
      <c r="AJ55" s="181"/>
      <c r="AK55" s="181"/>
      <c r="AL55" s="181"/>
      <c r="AM55" s="99"/>
    </row>
    <row r="56" spans="1:39" ht="75.75" customHeight="1" x14ac:dyDescent="0.25">
      <c r="A56" s="213" t="s">
        <v>123</v>
      </c>
      <c r="B56" s="185" t="s">
        <v>125</v>
      </c>
      <c r="C56" s="185" t="s">
        <v>124</v>
      </c>
      <c r="D56" s="185" t="s">
        <v>154</v>
      </c>
      <c r="E56" s="217" t="str">
        <f>C49</f>
        <v xml:space="preserve">Intervenir integralmente áreas estratégicas de Bogotá teniendo en cuenta las dinámicas patrimoniales, ambientales, sociales y culturales  
</v>
      </c>
      <c r="F56" s="139" t="s">
        <v>126</v>
      </c>
      <c r="G56" s="139" t="s">
        <v>127</v>
      </c>
      <c r="H56" s="219" t="str">
        <f>C51</f>
        <v>Sistema Distrital de cuidado</v>
      </c>
      <c r="I56" s="14"/>
      <c r="J56" s="128">
        <v>174</v>
      </c>
      <c r="K56" s="128">
        <v>410</v>
      </c>
      <c r="L56" s="160"/>
      <c r="M56" s="129"/>
      <c r="N56" s="130"/>
      <c r="O56" s="145">
        <v>431</v>
      </c>
      <c r="P56" s="145">
        <v>0</v>
      </c>
      <c r="Q56" s="129"/>
      <c r="R56" s="129"/>
      <c r="S56" s="132"/>
      <c r="T56" s="146">
        <v>764</v>
      </c>
      <c r="U56" s="146">
        <v>0</v>
      </c>
      <c r="V56" s="134"/>
      <c r="W56" s="135"/>
      <c r="X56" s="136"/>
      <c r="Y56" s="146">
        <v>446</v>
      </c>
      <c r="Z56" s="146">
        <v>0</v>
      </c>
      <c r="AA56" s="134"/>
      <c r="AB56" s="135"/>
      <c r="AC56" s="136"/>
      <c r="AD56" s="147">
        <v>335</v>
      </c>
      <c r="AE56" s="147">
        <v>0</v>
      </c>
      <c r="AF56" s="134"/>
      <c r="AG56" s="135"/>
      <c r="AH56" s="132"/>
      <c r="AI56" s="147">
        <f>J56+O56+T56+Y56+AD56</f>
        <v>2150</v>
      </c>
      <c r="AJ56" s="147">
        <f>K56+P56+U56+Z56+AE56</f>
        <v>410</v>
      </c>
      <c r="AK56" s="138">
        <f>L56+Q56+V56+AA56+AF56</f>
        <v>0</v>
      </c>
      <c r="AL56" s="138">
        <f>M56+R56+W56+AB56+AG56</f>
        <v>0</v>
      </c>
      <c r="AM56" s="100"/>
    </row>
    <row r="57" spans="1:39" ht="71.25" customHeight="1" x14ac:dyDescent="0.25">
      <c r="A57" s="214"/>
      <c r="B57" s="192"/>
      <c r="C57" s="192"/>
      <c r="D57" s="192"/>
      <c r="E57" s="218"/>
      <c r="F57" s="13" t="s">
        <v>128</v>
      </c>
      <c r="G57" s="13" t="s">
        <v>129</v>
      </c>
      <c r="H57" s="220"/>
      <c r="I57" s="14"/>
      <c r="J57" s="15">
        <v>54</v>
      </c>
      <c r="K57" s="91">
        <v>55</v>
      </c>
      <c r="L57" s="161">
        <v>5071.6473960000003</v>
      </c>
      <c r="M57" s="29">
        <v>4319.8978859999997</v>
      </c>
      <c r="N57" s="23"/>
      <c r="O57" s="15">
        <v>546</v>
      </c>
      <c r="P57" s="15">
        <v>0</v>
      </c>
      <c r="Q57" s="29">
        <f>17015184000/L1</f>
        <v>17015.184000000001</v>
      </c>
      <c r="R57" s="29"/>
      <c r="S57" s="101"/>
      <c r="T57" s="104">
        <v>380</v>
      </c>
      <c r="U57" s="114">
        <v>0</v>
      </c>
      <c r="V57" s="105">
        <f>37500003788/L1</f>
        <v>37500.003788000002</v>
      </c>
      <c r="W57" s="106"/>
      <c r="X57" s="102"/>
      <c r="Y57" s="104">
        <v>121</v>
      </c>
      <c r="Z57" s="114">
        <v>0</v>
      </c>
      <c r="AA57" s="105">
        <f>18819067508/L1</f>
        <v>18819.067508</v>
      </c>
      <c r="AB57" s="106"/>
      <c r="AC57" s="102"/>
      <c r="AD57" s="91">
        <v>61</v>
      </c>
      <c r="AE57" s="91">
        <v>0</v>
      </c>
      <c r="AF57" s="105">
        <f>10668172992/L1</f>
        <v>10668.172992</v>
      </c>
      <c r="AG57" s="106"/>
      <c r="AH57" s="101"/>
      <c r="AI57" s="91">
        <f>J57+O57+T57+Y57+AD57</f>
        <v>1162</v>
      </c>
      <c r="AJ57" s="91">
        <f t="shared" ref="AJ57:AJ59" si="16">K57+P57+U57+Z57+AE57</f>
        <v>55</v>
      </c>
      <c r="AK57" s="62">
        <f t="shared" ref="AK57:AK59" si="17">L57+Q57+V57+AA57+AF57</f>
        <v>89074.07568400001</v>
      </c>
      <c r="AL57" s="62">
        <f t="shared" ref="AL57:AL59" si="18">M57+R57+W57+AB57+AG57</f>
        <v>4319.8978859999997</v>
      </c>
      <c r="AM57" s="100"/>
    </row>
    <row r="58" spans="1:39" ht="66.75" customHeight="1" x14ac:dyDescent="0.25">
      <c r="A58" s="214"/>
      <c r="B58" s="192"/>
      <c r="C58" s="192"/>
      <c r="D58" s="192"/>
      <c r="E58" s="218"/>
      <c r="F58" s="13" t="s">
        <v>130</v>
      </c>
      <c r="G58" s="13" t="s">
        <v>131</v>
      </c>
      <c r="H58" s="220"/>
      <c r="I58" s="14"/>
      <c r="J58" s="15">
        <v>28</v>
      </c>
      <c r="K58" s="15">
        <v>27</v>
      </c>
      <c r="L58" s="161">
        <v>2969.3287610000002</v>
      </c>
      <c r="M58" s="29">
        <v>2928.9973829999999</v>
      </c>
      <c r="N58" s="23"/>
      <c r="O58" s="15">
        <v>30</v>
      </c>
      <c r="P58" s="15">
        <v>0</v>
      </c>
      <c r="Q58" s="29">
        <f>1977936000/L1</f>
        <v>1977.9359999999999</v>
      </c>
      <c r="R58" s="29"/>
      <c r="S58" s="101"/>
      <c r="T58" s="104">
        <v>30</v>
      </c>
      <c r="U58" s="104">
        <v>0</v>
      </c>
      <c r="V58" s="105">
        <f>1137026179/L1</f>
        <v>1137.026179</v>
      </c>
      <c r="W58" s="107"/>
      <c r="X58" s="102"/>
      <c r="Y58" s="104">
        <v>30</v>
      </c>
      <c r="Z58" s="104">
        <v>0</v>
      </c>
      <c r="AA58" s="105">
        <f>2011560186/L1</f>
        <v>2011.5601859999999</v>
      </c>
      <c r="AB58" s="107"/>
      <c r="AC58" s="102"/>
      <c r="AD58" s="91">
        <v>13</v>
      </c>
      <c r="AE58" s="91">
        <v>0</v>
      </c>
      <c r="AF58" s="105">
        <f>1040287130/L1</f>
        <v>1040.2871299999999</v>
      </c>
      <c r="AG58" s="107"/>
      <c r="AH58" s="101"/>
      <c r="AI58" s="91">
        <f>J58+O58+T58+Y58+AD58</f>
        <v>131</v>
      </c>
      <c r="AJ58" s="91">
        <f t="shared" si="16"/>
        <v>27</v>
      </c>
      <c r="AK58" s="62">
        <f t="shared" si="17"/>
        <v>9136.1382560000002</v>
      </c>
      <c r="AL58" s="62">
        <f t="shared" si="18"/>
        <v>2928.9973829999999</v>
      </c>
    </row>
    <row r="59" spans="1:39" ht="43.5" customHeight="1" x14ac:dyDescent="0.25">
      <c r="A59" s="214"/>
      <c r="B59" s="192"/>
      <c r="C59" s="192"/>
      <c r="D59" s="192"/>
      <c r="E59" s="218"/>
      <c r="F59" s="13" t="s">
        <v>132</v>
      </c>
      <c r="G59" s="13" t="s">
        <v>133</v>
      </c>
      <c r="H59" s="220"/>
      <c r="I59" s="14"/>
      <c r="J59" s="15">
        <v>1497</v>
      </c>
      <c r="K59" s="15">
        <v>1484</v>
      </c>
      <c r="L59" s="161">
        <v>3667.6184499999999</v>
      </c>
      <c r="M59" s="29">
        <v>3203.0383700000002</v>
      </c>
      <c r="N59" s="23"/>
      <c r="O59" s="15">
        <v>2043</v>
      </c>
      <c r="P59" s="15">
        <v>0</v>
      </c>
      <c r="Q59" s="29">
        <f>5602403000/L1</f>
        <v>5602.4030000000002</v>
      </c>
      <c r="R59" s="29"/>
      <c r="S59" s="101"/>
      <c r="T59" s="104">
        <v>2385</v>
      </c>
      <c r="U59" s="104">
        <v>0</v>
      </c>
      <c r="V59" s="105">
        <f>5905722464/L1</f>
        <v>5905.7224640000004</v>
      </c>
      <c r="W59" s="105"/>
      <c r="X59" s="102"/>
      <c r="Y59" s="104">
        <v>2495</v>
      </c>
      <c r="Z59" s="104">
        <v>0</v>
      </c>
      <c r="AA59" s="105">
        <f>3676932663/L1</f>
        <v>3676.932663</v>
      </c>
      <c r="AB59" s="105"/>
      <c r="AC59" s="102"/>
      <c r="AD59" s="91">
        <v>2550</v>
      </c>
      <c r="AE59" s="91">
        <v>0</v>
      </c>
      <c r="AF59" s="105">
        <f>822109483/L1</f>
        <v>822.10948299999995</v>
      </c>
      <c r="AG59" s="105"/>
      <c r="AH59" s="101"/>
      <c r="AI59" s="91">
        <f>AD59</f>
        <v>2550</v>
      </c>
      <c r="AJ59" s="91">
        <f t="shared" si="16"/>
        <v>1484</v>
      </c>
      <c r="AK59" s="62">
        <f t="shared" si="17"/>
        <v>19674.786060000002</v>
      </c>
      <c r="AL59" s="62">
        <f t="shared" si="18"/>
        <v>3203.0383700000002</v>
      </c>
      <c r="AM59" s="100"/>
    </row>
    <row r="60" spans="1:39" s="6" customFormat="1" ht="15.75" x14ac:dyDescent="0.25">
      <c r="A60" s="17"/>
      <c r="B60" s="119" t="s">
        <v>103</v>
      </c>
      <c r="C60" s="119"/>
      <c r="D60" s="119"/>
      <c r="E60" s="119"/>
      <c r="F60" s="39"/>
      <c r="G60" s="39"/>
      <c r="H60" s="39"/>
      <c r="I60" s="40"/>
      <c r="J60" s="41"/>
      <c r="K60" s="41"/>
      <c r="L60" s="162">
        <f>SUM(L56:L59)</f>
        <v>11708.594607000001</v>
      </c>
      <c r="M60" s="42">
        <f>SUM(M56:M59)</f>
        <v>10451.933638999999</v>
      </c>
      <c r="N60" s="51"/>
      <c r="O60" s="41"/>
      <c r="P60" s="41"/>
      <c r="Q60" s="42">
        <f>SUM(Q56:Q59)</f>
        <v>24595.523000000001</v>
      </c>
      <c r="R60" s="42">
        <f>SUM(R56:R59)</f>
        <v>0</v>
      </c>
      <c r="T60" s="41"/>
      <c r="U60" s="41"/>
      <c r="V60" s="42">
        <f>SUM(V56:V59)</f>
        <v>44542.752431000001</v>
      </c>
      <c r="W60" s="42">
        <f>SUM(W56:W59)</f>
        <v>0</v>
      </c>
      <c r="Y60" s="41"/>
      <c r="Z60" s="41"/>
      <c r="AA60" s="42">
        <f>SUM(AA56:AA59)</f>
        <v>24507.560356999998</v>
      </c>
      <c r="AB60" s="42">
        <f>SUM(AB56:AB59)</f>
        <v>0</v>
      </c>
      <c r="AC60" s="113"/>
      <c r="AD60" s="41"/>
      <c r="AE60" s="42"/>
      <c r="AF60" s="42">
        <f>SUM(AF56:AF59)</f>
        <v>12530.569605000001</v>
      </c>
      <c r="AG60" s="42">
        <f>SUM(AG56:AG59)</f>
        <v>0</v>
      </c>
      <c r="AI60" s="97"/>
      <c r="AJ60" s="97"/>
      <c r="AK60" s="64">
        <f>SUM(AK56:AK59)</f>
        <v>117885.00000000001</v>
      </c>
      <c r="AL60" s="64">
        <f>SUM(AL56:AL59)</f>
        <v>10451.933638999999</v>
      </c>
      <c r="AM60" s="99"/>
    </row>
    <row r="62" spans="1:39" s="5" customFormat="1" ht="15.75" customHeight="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95"/>
    </row>
    <row r="63" spans="1:39" s="3" customFormat="1" ht="12.75" x14ac:dyDescent="0.2">
      <c r="A63" s="141"/>
      <c r="B63" s="4"/>
      <c r="C63" s="4"/>
      <c r="D63" s="4"/>
      <c r="E63" s="4"/>
      <c r="F63" s="4"/>
      <c r="G63" s="4"/>
      <c r="H63" s="4"/>
      <c r="I63" s="2"/>
      <c r="J63" s="141"/>
      <c r="K63" s="2"/>
      <c r="L63" s="157"/>
      <c r="M63" s="2"/>
      <c r="N63" s="2"/>
      <c r="O63" s="2"/>
      <c r="P63" s="2"/>
      <c r="Q63" s="2"/>
      <c r="R63" s="2"/>
      <c r="T63" s="103"/>
      <c r="U63" s="103"/>
      <c r="V63" s="103"/>
      <c r="W63" s="103"/>
      <c r="Y63" s="103"/>
      <c r="Z63" s="103"/>
      <c r="AA63" s="103"/>
      <c r="AB63" s="103"/>
      <c r="AD63" s="2"/>
      <c r="AE63" s="2"/>
      <c r="AF63" s="103"/>
      <c r="AG63" s="103"/>
      <c r="AI63" s="110"/>
      <c r="AJ63" s="110"/>
      <c r="AK63" s="110"/>
      <c r="AL63" s="111"/>
      <c r="AM63" s="94"/>
    </row>
    <row r="64" spans="1:39" s="172" customFormat="1" x14ac:dyDescent="0.25">
      <c r="A64" s="216" t="s">
        <v>93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171"/>
    </row>
    <row r="65" spans="1:39" x14ac:dyDescent="0.25">
      <c r="A65" s="143">
        <v>1</v>
      </c>
      <c r="B65" s="123" t="s">
        <v>94</v>
      </c>
      <c r="C65" s="222" t="s">
        <v>113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</row>
    <row r="66" spans="1:39" x14ac:dyDescent="0.25">
      <c r="A66" s="142">
        <v>8</v>
      </c>
      <c r="B66" s="6" t="s">
        <v>158</v>
      </c>
      <c r="C66" s="222" t="s">
        <v>159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</row>
    <row r="67" spans="1:39" x14ac:dyDescent="0.25">
      <c r="A67" s="142">
        <v>19</v>
      </c>
      <c r="B67" s="6" t="s">
        <v>95</v>
      </c>
      <c r="C67" s="222" t="s">
        <v>157</v>
      </c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</row>
    <row r="68" spans="1:39" ht="30" x14ac:dyDescent="0.25">
      <c r="A68" s="142">
        <v>3</v>
      </c>
      <c r="B68" s="124" t="s">
        <v>98</v>
      </c>
      <c r="C68" s="222" t="s">
        <v>114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</row>
    <row r="70" spans="1:39" s="11" customFormat="1" ht="27" customHeight="1" x14ac:dyDescent="0.25">
      <c r="A70" s="207" t="s">
        <v>2</v>
      </c>
      <c r="B70" s="182" t="s">
        <v>3</v>
      </c>
      <c r="C70" s="225" t="s">
        <v>87</v>
      </c>
      <c r="D70" s="182" t="s">
        <v>67</v>
      </c>
      <c r="E70" s="225" t="s">
        <v>172</v>
      </c>
      <c r="F70" s="204" t="s">
        <v>101</v>
      </c>
      <c r="G70" s="227" t="s">
        <v>90</v>
      </c>
      <c r="H70" s="177" t="s">
        <v>173</v>
      </c>
      <c r="I70" s="10"/>
      <c r="J70" s="177">
        <v>2020</v>
      </c>
      <c r="K70" s="177"/>
      <c r="L70" s="177"/>
      <c r="M70" s="177"/>
      <c r="N70" s="10"/>
      <c r="O70" s="177">
        <v>2021</v>
      </c>
      <c r="P70" s="177"/>
      <c r="Q70" s="177"/>
      <c r="R70" s="177"/>
      <c r="T70" s="177">
        <v>2022</v>
      </c>
      <c r="U70" s="177"/>
      <c r="V70" s="177"/>
      <c r="W70" s="177"/>
      <c r="Y70" s="177">
        <v>2023</v>
      </c>
      <c r="Z70" s="177"/>
      <c r="AA70" s="177"/>
      <c r="AB70" s="177"/>
      <c r="AD70" s="178">
        <v>2024</v>
      </c>
      <c r="AE70" s="179"/>
      <c r="AF70" s="179"/>
      <c r="AG70" s="179"/>
      <c r="AI70" s="223" t="s">
        <v>102</v>
      </c>
      <c r="AJ70" s="223"/>
      <c r="AK70" s="223"/>
      <c r="AL70" s="223"/>
      <c r="AM70" s="99"/>
    </row>
    <row r="71" spans="1:39" s="11" customFormat="1" ht="16.5" customHeight="1" x14ac:dyDescent="0.25">
      <c r="A71" s="208"/>
      <c r="B71" s="183"/>
      <c r="C71" s="205"/>
      <c r="D71" s="183"/>
      <c r="E71" s="205"/>
      <c r="F71" s="205"/>
      <c r="G71" s="227"/>
      <c r="H71" s="177"/>
      <c r="I71" s="10"/>
      <c r="J71" s="176" t="s">
        <v>4</v>
      </c>
      <c r="K71" s="176"/>
      <c r="L71" s="176" t="s">
        <v>61</v>
      </c>
      <c r="M71" s="176"/>
      <c r="N71" s="10"/>
      <c r="O71" s="176" t="s">
        <v>6</v>
      </c>
      <c r="P71" s="176"/>
      <c r="Q71" s="176" t="s">
        <v>8</v>
      </c>
      <c r="R71" s="176"/>
      <c r="S71" s="10"/>
      <c r="T71" s="176" t="s">
        <v>7</v>
      </c>
      <c r="U71" s="176"/>
      <c r="V71" s="176" t="s">
        <v>8</v>
      </c>
      <c r="W71" s="176"/>
      <c r="Y71" s="176" t="s">
        <v>7</v>
      </c>
      <c r="Z71" s="176"/>
      <c r="AA71" s="176" t="s">
        <v>8</v>
      </c>
      <c r="AB71" s="176"/>
      <c r="AD71" s="176" t="s">
        <v>7</v>
      </c>
      <c r="AE71" s="176"/>
      <c r="AF71" s="176" t="s">
        <v>8</v>
      </c>
      <c r="AG71" s="176"/>
      <c r="AI71" s="180" t="s">
        <v>4</v>
      </c>
      <c r="AJ71" s="180" t="s">
        <v>66</v>
      </c>
      <c r="AK71" s="180" t="s">
        <v>8</v>
      </c>
      <c r="AL71" s="180" t="s">
        <v>5</v>
      </c>
      <c r="AM71" s="99"/>
    </row>
    <row r="72" spans="1:39" s="11" customFormat="1" ht="33" x14ac:dyDescent="0.25">
      <c r="A72" s="209"/>
      <c r="B72" s="184"/>
      <c r="C72" s="226"/>
      <c r="D72" s="184"/>
      <c r="E72" s="226"/>
      <c r="F72" s="206"/>
      <c r="G72" s="227"/>
      <c r="H72" s="177"/>
      <c r="I72" s="12"/>
      <c r="J72" s="155" t="s">
        <v>59</v>
      </c>
      <c r="K72" s="117" t="s">
        <v>60</v>
      </c>
      <c r="L72" s="159" t="s">
        <v>64</v>
      </c>
      <c r="M72" s="117" t="s">
        <v>63</v>
      </c>
      <c r="N72" s="12"/>
      <c r="O72" s="61" t="s">
        <v>59</v>
      </c>
      <c r="P72" s="117" t="s">
        <v>60</v>
      </c>
      <c r="Q72" s="61" t="s">
        <v>62</v>
      </c>
      <c r="R72" s="117" t="s">
        <v>63</v>
      </c>
      <c r="S72" s="10"/>
      <c r="T72" s="61" t="s">
        <v>59</v>
      </c>
      <c r="U72" s="117" t="s">
        <v>60</v>
      </c>
      <c r="V72" s="117" t="s">
        <v>62</v>
      </c>
      <c r="W72" s="117" t="s">
        <v>63</v>
      </c>
      <c r="Y72" s="117" t="s">
        <v>59</v>
      </c>
      <c r="Z72" s="117" t="s">
        <v>60</v>
      </c>
      <c r="AA72" s="117" t="s">
        <v>64</v>
      </c>
      <c r="AB72" s="117" t="s">
        <v>63</v>
      </c>
      <c r="AD72" s="117" t="s">
        <v>59</v>
      </c>
      <c r="AE72" s="117" t="s">
        <v>60</v>
      </c>
      <c r="AF72" s="117" t="s">
        <v>64</v>
      </c>
      <c r="AG72" s="117" t="s">
        <v>63</v>
      </c>
      <c r="AI72" s="181"/>
      <c r="AJ72" s="181"/>
      <c r="AK72" s="181"/>
      <c r="AL72" s="181"/>
      <c r="AM72" s="99"/>
    </row>
    <row r="73" spans="1:39" ht="75.75" customHeight="1" x14ac:dyDescent="0.25">
      <c r="A73" s="213" t="s">
        <v>134</v>
      </c>
      <c r="B73" s="185" t="s">
        <v>135</v>
      </c>
      <c r="C73" s="185" t="s">
        <v>88</v>
      </c>
      <c r="D73" s="185" t="s">
        <v>155</v>
      </c>
      <c r="E73" s="217" t="str">
        <f>C66</f>
        <v xml:space="preserve">Aumentar el acceso a vivienda digna, espacio público y equipamientos de la población vulnerable en suelo urbano y rural </v>
      </c>
      <c r="F73" s="139" t="s">
        <v>169</v>
      </c>
      <c r="G73" s="139" t="s">
        <v>177</v>
      </c>
      <c r="H73" s="219" t="str">
        <f>C68</f>
        <v>Sistema Distrital de cuidado</v>
      </c>
      <c r="I73" s="14"/>
      <c r="J73" s="149">
        <v>305.60000000000002</v>
      </c>
      <c r="K73" s="128">
        <v>17000</v>
      </c>
      <c r="L73" s="160"/>
      <c r="M73" s="129"/>
      <c r="N73" s="130"/>
      <c r="O73" s="145">
        <v>19694</v>
      </c>
      <c r="P73" s="145">
        <v>0</v>
      </c>
      <c r="Q73" s="129"/>
      <c r="R73" s="129"/>
      <c r="S73" s="132"/>
      <c r="T73" s="145">
        <v>22500</v>
      </c>
      <c r="U73" s="146">
        <v>0</v>
      </c>
      <c r="V73" s="134"/>
      <c r="W73" s="135"/>
      <c r="X73" s="136"/>
      <c r="Y73" s="146">
        <v>23750</v>
      </c>
      <c r="Z73" s="146">
        <v>0</v>
      </c>
      <c r="AA73" s="134"/>
      <c r="AB73" s="135"/>
      <c r="AC73" s="136"/>
      <c r="AD73" s="147">
        <v>23750</v>
      </c>
      <c r="AE73" s="147">
        <v>0</v>
      </c>
      <c r="AF73" s="134"/>
      <c r="AG73" s="135"/>
      <c r="AH73" s="132"/>
      <c r="AI73" s="147">
        <f>J73+O73+T73+Y73+AD73</f>
        <v>89999.6</v>
      </c>
      <c r="AJ73" s="147">
        <f>K73+P73+U73+Z73+AE73</f>
        <v>17000</v>
      </c>
      <c r="AK73" s="138">
        <f>L73+Q73+V73+AA73+AF73</f>
        <v>0</v>
      </c>
      <c r="AL73" s="138">
        <f>M73+R73+W73+AB73+AG73</f>
        <v>0</v>
      </c>
      <c r="AM73" s="100"/>
    </row>
    <row r="74" spans="1:39" ht="43.5" customHeight="1" x14ac:dyDescent="0.25">
      <c r="A74" s="214"/>
      <c r="B74" s="192"/>
      <c r="C74" s="192"/>
      <c r="D74" s="192"/>
      <c r="E74" s="218"/>
      <c r="F74" s="13" t="s">
        <v>176</v>
      </c>
      <c r="G74" s="13" t="s">
        <v>136</v>
      </c>
      <c r="H74" s="220"/>
      <c r="I74" s="14"/>
      <c r="J74" s="148">
        <v>17305.599999999999</v>
      </c>
      <c r="K74" s="108">
        <v>17000</v>
      </c>
      <c r="L74" s="163">
        <f>3602795429/L1</f>
        <v>3602.7954289999998</v>
      </c>
      <c r="M74" s="29">
        <v>3501.5279959999998</v>
      </c>
      <c r="N74" s="23"/>
      <c r="O74" s="168">
        <v>19694.400000000001</v>
      </c>
      <c r="P74" s="15">
        <v>0</v>
      </c>
      <c r="Q74" s="29">
        <f>61155919421/L1</f>
        <v>61155.919420999999</v>
      </c>
      <c r="R74" s="29"/>
      <c r="S74" s="101"/>
      <c r="T74" s="15">
        <v>22500</v>
      </c>
      <c r="U74" s="104">
        <v>0</v>
      </c>
      <c r="V74" s="105">
        <f>18764039550/L1</f>
        <v>18764.039550000001</v>
      </c>
      <c r="W74" s="106"/>
      <c r="X74" s="102"/>
      <c r="Y74" s="104">
        <v>23750</v>
      </c>
      <c r="Z74" s="104">
        <v>0</v>
      </c>
      <c r="AA74" s="105">
        <f>11175354970/L1</f>
        <v>11175.35497</v>
      </c>
      <c r="AB74" s="106"/>
      <c r="AC74" s="102"/>
      <c r="AD74" s="91">
        <v>23750</v>
      </c>
      <c r="AE74" s="91">
        <v>0</v>
      </c>
      <c r="AF74" s="105">
        <f>2304686059/L1</f>
        <v>2304.6860590000001</v>
      </c>
      <c r="AG74" s="106"/>
      <c r="AH74" s="101"/>
      <c r="AI74" s="91">
        <f>J74+O74+T74+Y74+AD74</f>
        <v>107000</v>
      </c>
      <c r="AJ74" s="91">
        <f>K74+P74+U74+Z74+AE74</f>
        <v>17000</v>
      </c>
      <c r="AK74" s="62">
        <f t="shared" ref="AK74:AK75" si="19">L74+Q74+V74+AA74+AF74</f>
        <v>97002.795429000005</v>
      </c>
      <c r="AL74" s="62">
        <f t="shared" ref="AL74:AL75" si="20">M74+R74+W74+AB74+AG74</f>
        <v>3501.5279959999998</v>
      </c>
      <c r="AM74" s="100"/>
    </row>
    <row r="75" spans="1:39" ht="30" x14ac:dyDescent="0.25">
      <c r="A75" s="214"/>
      <c r="B75" s="192"/>
      <c r="C75" s="192"/>
      <c r="D75" s="192"/>
      <c r="E75" s="218"/>
      <c r="F75" s="13" t="s">
        <v>137</v>
      </c>
      <c r="G75" s="13" t="s">
        <v>136</v>
      </c>
      <c r="H75" s="220"/>
      <c r="I75" s="14"/>
      <c r="J75" s="26">
        <v>1</v>
      </c>
      <c r="K75" s="150">
        <v>0.96699999999999997</v>
      </c>
      <c r="L75" s="161">
        <f>1600000000/L1</f>
        <v>1600</v>
      </c>
      <c r="M75" s="29">
        <v>1435.632384</v>
      </c>
      <c r="N75" s="23"/>
      <c r="O75" s="26">
        <v>1</v>
      </c>
      <c r="P75" s="26">
        <v>0</v>
      </c>
      <c r="Q75" s="29">
        <f>4000000000/L1</f>
        <v>4000</v>
      </c>
      <c r="R75" s="29"/>
      <c r="S75" s="101"/>
      <c r="T75" s="140">
        <v>1</v>
      </c>
      <c r="U75" s="125">
        <v>0</v>
      </c>
      <c r="V75" s="105">
        <f>4000000000/L1</f>
        <v>4000</v>
      </c>
      <c r="W75" s="106"/>
      <c r="X75" s="102"/>
      <c r="Y75" s="140">
        <v>1</v>
      </c>
      <c r="Z75" s="125">
        <v>0</v>
      </c>
      <c r="AA75" s="105">
        <f>3000000000/L1</f>
        <v>3000</v>
      </c>
      <c r="AB75" s="106"/>
      <c r="AC75" s="102"/>
      <c r="AD75" s="112">
        <v>1</v>
      </c>
      <c r="AE75" s="112">
        <v>0</v>
      </c>
      <c r="AF75" s="105">
        <f>1500000000/L1</f>
        <v>1500</v>
      </c>
      <c r="AG75" s="106"/>
      <c r="AH75" s="101"/>
      <c r="AI75" s="112">
        <f>AD75</f>
        <v>1</v>
      </c>
      <c r="AJ75" s="150">
        <f t="shared" ref="AJ75" si="21">K75+P75+U75+Z75+AE75</f>
        <v>0.96699999999999997</v>
      </c>
      <c r="AK75" s="62">
        <f t="shared" si="19"/>
        <v>14100</v>
      </c>
      <c r="AL75" s="62">
        <f t="shared" si="20"/>
        <v>1435.632384</v>
      </c>
      <c r="AM75" s="100"/>
    </row>
    <row r="76" spans="1:39" s="6" customFormat="1" ht="15.75" x14ac:dyDescent="0.25">
      <c r="A76" s="17"/>
      <c r="B76" s="119" t="s">
        <v>103</v>
      </c>
      <c r="C76" s="119"/>
      <c r="D76" s="119"/>
      <c r="E76" s="119"/>
      <c r="F76" s="39"/>
      <c r="G76" s="39"/>
      <c r="H76" s="39"/>
      <c r="I76" s="40"/>
      <c r="J76" s="41"/>
      <c r="K76" s="41"/>
      <c r="L76" s="162">
        <f>SUM(L73:L75)</f>
        <v>5202.7954289999998</v>
      </c>
      <c r="M76" s="42">
        <f>SUM(M73:M75)</f>
        <v>4937.1603799999993</v>
      </c>
      <c r="N76" s="51"/>
      <c r="O76" s="41"/>
      <c r="P76" s="41"/>
      <c r="Q76" s="42">
        <f>SUM(Q73:Q75)</f>
        <v>65155.919420999999</v>
      </c>
      <c r="R76" s="42">
        <f>SUM(R73:R75)</f>
        <v>0</v>
      </c>
      <c r="T76" s="41"/>
      <c r="U76" s="41"/>
      <c r="V76" s="42">
        <f>SUM(V73:V75)</f>
        <v>22764.039550000001</v>
      </c>
      <c r="W76" s="42">
        <f>SUM(W73:W75)</f>
        <v>0</v>
      </c>
      <c r="Y76" s="41"/>
      <c r="Z76" s="41"/>
      <c r="AA76" s="42">
        <f>SUM(AA73:AA75)</f>
        <v>14175.35497</v>
      </c>
      <c r="AB76" s="42">
        <f>SUM(AB73:AB75)</f>
        <v>0</v>
      </c>
      <c r="AC76" s="113"/>
      <c r="AD76" s="41"/>
      <c r="AE76" s="42"/>
      <c r="AF76" s="42">
        <f>SUM(AF73:AF75)</f>
        <v>3804.6860590000001</v>
      </c>
      <c r="AG76" s="42">
        <f>SUM(AG73:AG75)</f>
        <v>0</v>
      </c>
      <c r="AI76" s="97"/>
      <c r="AJ76" s="97"/>
      <c r="AK76" s="64">
        <f>SUM(AK73:AK75)</f>
        <v>111102.79542900001</v>
      </c>
      <c r="AL76" s="64">
        <f>SUM(AL73:AL75)</f>
        <v>4937.1603799999993</v>
      </c>
      <c r="AM76" s="99"/>
    </row>
    <row r="78" spans="1:39" s="5" customFormat="1" ht="15.75" customHeight="1" x14ac:dyDescent="0.2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95"/>
    </row>
    <row r="79" spans="1:39" s="3" customFormat="1" ht="12.75" x14ac:dyDescent="0.2">
      <c r="A79" s="141"/>
      <c r="B79" s="4"/>
      <c r="C79" s="4"/>
      <c r="D79" s="4"/>
      <c r="E79" s="4"/>
      <c r="F79" s="4"/>
      <c r="G79" s="4"/>
      <c r="H79" s="4"/>
      <c r="I79" s="2"/>
      <c r="J79" s="141"/>
      <c r="K79" s="2"/>
      <c r="L79" s="157"/>
      <c r="M79" s="2"/>
      <c r="N79" s="2"/>
      <c r="O79" s="2"/>
      <c r="P79" s="2"/>
      <c r="Q79" s="2"/>
      <c r="R79" s="2"/>
      <c r="T79" s="103"/>
      <c r="U79" s="103"/>
      <c r="V79" s="103"/>
      <c r="W79" s="103"/>
      <c r="Y79" s="103"/>
      <c r="Z79" s="103"/>
      <c r="AA79" s="103"/>
      <c r="AB79" s="103"/>
      <c r="AD79" s="2"/>
      <c r="AE79" s="2"/>
      <c r="AF79" s="103"/>
      <c r="AG79" s="103"/>
      <c r="AI79" s="110"/>
      <c r="AJ79" s="110"/>
      <c r="AK79" s="232"/>
      <c r="AL79" s="111"/>
      <c r="AM79" s="94"/>
    </row>
    <row r="80" spans="1:39" s="172" customFormat="1" x14ac:dyDescent="0.25">
      <c r="A80" s="216" t="s">
        <v>93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171"/>
    </row>
    <row r="81" spans="1:39" x14ac:dyDescent="0.25">
      <c r="A81" s="143">
        <v>5</v>
      </c>
      <c r="B81" s="123" t="s">
        <v>94</v>
      </c>
      <c r="C81" s="222" t="s">
        <v>167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</row>
    <row r="82" spans="1:39" x14ac:dyDescent="0.25">
      <c r="A82" s="142">
        <v>30</v>
      </c>
      <c r="B82" s="6" t="s">
        <v>158</v>
      </c>
      <c r="C82" s="222" t="s">
        <v>168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</row>
    <row r="83" spans="1:39" x14ac:dyDescent="0.25">
      <c r="A83" s="142">
        <v>56</v>
      </c>
      <c r="B83" s="6" t="s">
        <v>95</v>
      </c>
      <c r="C83" s="222" t="s">
        <v>138</v>
      </c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</row>
    <row r="84" spans="1:39" ht="30" x14ac:dyDescent="0.25">
      <c r="A84" s="142"/>
      <c r="B84" s="124" t="s">
        <v>98</v>
      </c>
      <c r="C84" s="222" t="s">
        <v>139</v>
      </c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</row>
    <row r="86" spans="1:39" s="11" customFormat="1" ht="27" customHeight="1" x14ac:dyDescent="0.25">
      <c r="A86" s="207" t="s">
        <v>2</v>
      </c>
      <c r="B86" s="182" t="s">
        <v>3</v>
      </c>
      <c r="C86" s="225" t="s">
        <v>87</v>
      </c>
      <c r="D86" s="182" t="s">
        <v>67</v>
      </c>
      <c r="E86" s="225" t="s">
        <v>172</v>
      </c>
      <c r="F86" s="204" t="s">
        <v>101</v>
      </c>
      <c r="G86" s="227" t="s">
        <v>90</v>
      </c>
      <c r="H86" s="177" t="s">
        <v>173</v>
      </c>
      <c r="I86" s="10"/>
      <c r="J86" s="177">
        <v>2020</v>
      </c>
      <c r="K86" s="177"/>
      <c r="L86" s="177"/>
      <c r="M86" s="177"/>
      <c r="N86" s="10"/>
      <c r="O86" s="177">
        <v>2021</v>
      </c>
      <c r="P86" s="177"/>
      <c r="Q86" s="177"/>
      <c r="R86" s="177"/>
      <c r="T86" s="177">
        <v>2022</v>
      </c>
      <c r="U86" s="177"/>
      <c r="V86" s="177"/>
      <c r="W86" s="177"/>
      <c r="Y86" s="177">
        <v>2023</v>
      </c>
      <c r="Z86" s="177"/>
      <c r="AA86" s="177"/>
      <c r="AB86" s="177"/>
      <c r="AD86" s="178">
        <v>2024</v>
      </c>
      <c r="AE86" s="179"/>
      <c r="AF86" s="179"/>
      <c r="AG86" s="179"/>
      <c r="AI86" s="223" t="s">
        <v>102</v>
      </c>
      <c r="AJ86" s="223"/>
      <c r="AK86" s="223"/>
      <c r="AL86" s="223"/>
      <c r="AM86" s="99"/>
    </row>
    <row r="87" spans="1:39" s="11" customFormat="1" ht="16.5" customHeight="1" x14ac:dyDescent="0.25">
      <c r="A87" s="208"/>
      <c r="B87" s="183"/>
      <c r="C87" s="205"/>
      <c r="D87" s="183"/>
      <c r="E87" s="205"/>
      <c r="F87" s="205"/>
      <c r="G87" s="227"/>
      <c r="H87" s="177"/>
      <c r="I87" s="10"/>
      <c r="J87" s="176" t="s">
        <v>4</v>
      </c>
      <c r="K87" s="176"/>
      <c r="L87" s="176" t="s">
        <v>61</v>
      </c>
      <c r="M87" s="176"/>
      <c r="N87" s="10"/>
      <c r="O87" s="176" t="s">
        <v>6</v>
      </c>
      <c r="P87" s="176"/>
      <c r="Q87" s="176" t="s">
        <v>8</v>
      </c>
      <c r="R87" s="176"/>
      <c r="S87" s="10"/>
      <c r="T87" s="176" t="s">
        <v>7</v>
      </c>
      <c r="U87" s="176"/>
      <c r="V87" s="176" t="s">
        <v>8</v>
      </c>
      <c r="W87" s="176"/>
      <c r="Y87" s="176" t="s">
        <v>7</v>
      </c>
      <c r="Z87" s="176"/>
      <c r="AA87" s="176" t="s">
        <v>8</v>
      </c>
      <c r="AB87" s="176"/>
      <c r="AD87" s="176" t="s">
        <v>7</v>
      </c>
      <c r="AE87" s="176"/>
      <c r="AF87" s="176" t="s">
        <v>8</v>
      </c>
      <c r="AG87" s="176"/>
      <c r="AI87" s="180" t="s">
        <v>4</v>
      </c>
      <c r="AJ87" s="180" t="s">
        <v>66</v>
      </c>
      <c r="AK87" s="180" t="s">
        <v>8</v>
      </c>
      <c r="AL87" s="180" t="s">
        <v>5</v>
      </c>
      <c r="AM87" s="99"/>
    </row>
    <row r="88" spans="1:39" s="11" customFormat="1" ht="33" x14ac:dyDescent="0.25">
      <c r="A88" s="209"/>
      <c r="B88" s="184"/>
      <c r="C88" s="226"/>
      <c r="D88" s="184"/>
      <c r="E88" s="226"/>
      <c r="F88" s="206"/>
      <c r="G88" s="227"/>
      <c r="H88" s="177"/>
      <c r="I88" s="12"/>
      <c r="J88" s="155" t="s">
        <v>59</v>
      </c>
      <c r="K88" s="117" t="s">
        <v>60</v>
      </c>
      <c r="L88" s="159" t="s">
        <v>64</v>
      </c>
      <c r="M88" s="117" t="s">
        <v>63</v>
      </c>
      <c r="N88" s="12"/>
      <c r="O88" s="61" t="s">
        <v>59</v>
      </c>
      <c r="P88" s="117" t="s">
        <v>60</v>
      </c>
      <c r="Q88" s="61" t="s">
        <v>62</v>
      </c>
      <c r="R88" s="117" t="s">
        <v>63</v>
      </c>
      <c r="S88" s="10"/>
      <c r="T88" s="61" t="s">
        <v>59</v>
      </c>
      <c r="U88" s="117" t="s">
        <v>60</v>
      </c>
      <c r="V88" s="117" t="s">
        <v>62</v>
      </c>
      <c r="W88" s="117" t="s">
        <v>63</v>
      </c>
      <c r="Y88" s="117" t="s">
        <v>59</v>
      </c>
      <c r="Z88" s="117" t="s">
        <v>60</v>
      </c>
      <c r="AA88" s="117" t="s">
        <v>64</v>
      </c>
      <c r="AB88" s="117" t="s">
        <v>63</v>
      </c>
      <c r="AD88" s="117" t="s">
        <v>59</v>
      </c>
      <c r="AE88" s="117" t="s">
        <v>60</v>
      </c>
      <c r="AF88" s="117" t="s">
        <v>64</v>
      </c>
      <c r="AG88" s="117" t="s">
        <v>63</v>
      </c>
      <c r="AI88" s="181"/>
      <c r="AJ88" s="181"/>
      <c r="AK88" s="181"/>
      <c r="AL88" s="181"/>
      <c r="AM88" s="99"/>
    </row>
    <row r="89" spans="1:39" ht="45" x14ac:dyDescent="0.25">
      <c r="A89" s="213" t="s">
        <v>140</v>
      </c>
      <c r="B89" s="185" t="s">
        <v>141</v>
      </c>
      <c r="C89" s="185" t="s">
        <v>142</v>
      </c>
      <c r="D89" s="185" t="s">
        <v>156</v>
      </c>
      <c r="E89" s="217" t="str">
        <f>C82</f>
        <v xml:space="preserve">Incrementar la efectividad de la gestión pública distrital y local. </v>
      </c>
      <c r="F89" s="139" t="s">
        <v>170</v>
      </c>
      <c r="G89" s="139" t="s">
        <v>143</v>
      </c>
      <c r="H89" s="219" t="str">
        <f>C84</f>
        <v>Gestión pública efectiva, abierta y transparente</v>
      </c>
      <c r="I89" s="14"/>
      <c r="J89" s="131">
        <v>0.1</v>
      </c>
      <c r="K89" s="151">
        <v>0.1</v>
      </c>
      <c r="L89" s="164"/>
      <c r="M89" s="129"/>
      <c r="N89" s="130"/>
      <c r="O89" s="131">
        <v>0.25</v>
      </c>
      <c r="P89" s="131">
        <v>0</v>
      </c>
      <c r="Q89" s="129"/>
      <c r="R89" s="129"/>
      <c r="S89" s="132"/>
      <c r="T89" s="133">
        <v>0.3</v>
      </c>
      <c r="U89" s="133">
        <v>0</v>
      </c>
      <c r="V89" s="134"/>
      <c r="W89" s="135"/>
      <c r="X89" s="136"/>
      <c r="Y89" s="133">
        <v>0.25</v>
      </c>
      <c r="Z89" s="133">
        <v>0</v>
      </c>
      <c r="AA89" s="134"/>
      <c r="AB89" s="135"/>
      <c r="AC89" s="136"/>
      <c r="AD89" s="137">
        <v>0.1</v>
      </c>
      <c r="AE89" s="137">
        <v>0</v>
      </c>
      <c r="AF89" s="134"/>
      <c r="AG89" s="135"/>
      <c r="AH89" s="132"/>
      <c r="AI89" s="137">
        <f>J89+O89+T89+Y89+AD89</f>
        <v>0.99999999999999989</v>
      </c>
      <c r="AJ89" s="151">
        <f t="shared" ref="AJ89:AJ90" si="22">K89+P89+U89+Z89+AE89</f>
        <v>0.1</v>
      </c>
      <c r="AK89" s="138">
        <f t="shared" ref="AK89:AK90" si="23">L89+Q89+V89+AA89+AF89</f>
        <v>0</v>
      </c>
      <c r="AL89" s="138">
        <f t="shared" ref="AL89:AL90" si="24">M89+R89+W89+AB89+AG89</f>
        <v>0</v>
      </c>
      <c r="AM89" s="100"/>
    </row>
    <row r="90" spans="1:39" ht="45" x14ac:dyDescent="0.25">
      <c r="A90" s="214"/>
      <c r="B90" s="192"/>
      <c r="C90" s="192"/>
      <c r="D90" s="192"/>
      <c r="E90" s="218"/>
      <c r="F90" s="152" t="s">
        <v>144</v>
      </c>
      <c r="G90" s="152" t="s">
        <v>145</v>
      </c>
      <c r="H90" s="220"/>
      <c r="I90" s="14"/>
      <c r="J90" s="26">
        <v>0.1</v>
      </c>
      <c r="K90" s="90">
        <v>0.1</v>
      </c>
      <c r="L90" s="161">
        <v>3048.153773</v>
      </c>
      <c r="M90" s="29">
        <v>2948.422376</v>
      </c>
      <c r="N90" s="23"/>
      <c r="O90" s="26">
        <v>0.25</v>
      </c>
      <c r="P90" s="26">
        <v>0</v>
      </c>
      <c r="Q90" s="29">
        <f>6830000000/L1</f>
        <v>6830</v>
      </c>
      <c r="R90" s="29"/>
      <c r="S90" s="101"/>
      <c r="T90" s="140">
        <v>0.3</v>
      </c>
      <c r="U90" s="125">
        <v>0</v>
      </c>
      <c r="V90" s="105">
        <f>6830000000/L1</f>
        <v>6830</v>
      </c>
      <c r="W90" s="106"/>
      <c r="X90" s="102"/>
      <c r="Y90" s="140">
        <v>0.25</v>
      </c>
      <c r="Z90" s="125">
        <v>0</v>
      </c>
      <c r="AA90" s="105">
        <f>6830000000/L1</f>
        <v>6830</v>
      </c>
      <c r="AB90" s="106"/>
      <c r="AC90" s="102"/>
      <c r="AD90" s="112">
        <v>0.1</v>
      </c>
      <c r="AE90" s="112">
        <v>0</v>
      </c>
      <c r="AF90" s="105">
        <f>3028098819/L1</f>
        <v>3028.0988189999998</v>
      </c>
      <c r="AG90" s="106"/>
      <c r="AH90" s="101"/>
      <c r="AI90" s="112">
        <f>J90+O90+T90+Y90+AD90</f>
        <v>0.99999999999999989</v>
      </c>
      <c r="AJ90" s="150">
        <f t="shared" si="22"/>
        <v>0.1</v>
      </c>
      <c r="AK90" s="62">
        <f t="shared" si="23"/>
        <v>26566.252591999997</v>
      </c>
      <c r="AL90" s="62">
        <f t="shared" si="24"/>
        <v>2948.422376</v>
      </c>
      <c r="AM90" s="100"/>
    </row>
    <row r="91" spans="1:39" ht="45" x14ac:dyDescent="0.25">
      <c r="A91" s="214"/>
      <c r="B91" s="192"/>
      <c r="C91" s="192"/>
      <c r="D91" s="192"/>
      <c r="E91" s="218"/>
      <c r="F91" s="152" t="s">
        <v>146</v>
      </c>
      <c r="G91" s="152" t="s">
        <v>147</v>
      </c>
      <c r="H91" s="220"/>
      <c r="I91" s="14"/>
      <c r="J91" s="26">
        <v>0.1</v>
      </c>
      <c r="K91" s="90">
        <v>0.1</v>
      </c>
      <c r="L91" s="161">
        <v>1331.746357</v>
      </c>
      <c r="M91" s="29">
        <v>1314.039006</v>
      </c>
      <c r="N91" s="23"/>
      <c r="O91" s="26">
        <v>0.25</v>
      </c>
      <c r="P91" s="26">
        <v>0</v>
      </c>
      <c r="Q91" s="29">
        <f>2955000000/L1</f>
        <v>2955</v>
      </c>
      <c r="R91" s="29"/>
      <c r="S91" s="101"/>
      <c r="T91" s="140">
        <v>0.3</v>
      </c>
      <c r="U91" s="125">
        <v>0</v>
      </c>
      <c r="V91" s="105">
        <f>2955000000/L1</f>
        <v>2955</v>
      </c>
      <c r="W91" s="106"/>
      <c r="X91" s="102"/>
      <c r="Y91" s="140">
        <v>0.25</v>
      </c>
      <c r="Z91" s="125">
        <v>0</v>
      </c>
      <c r="AA91" s="105">
        <f>2955000000/L1</f>
        <v>2955</v>
      </c>
      <c r="AB91" s="106"/>
      <c r="AC91" s="102"/>
      <c r="AD91" s="112">
        <v>0.1</v>
      </c>
      <c r="AE91" s="112">
        <v>0</v>
      </c>
      <c r="AF91" s="105">
        <f>1477500000/L1</f>
        <v>1477.5</v>
      </c>
      <c r="AG91" s="106"/>
      <c r="AH91" s="101"/>
      <c r="AI91" s="112">
        <f t="shared" ref="AI91:AI93" si="25">J91+O91+T91+Y91+AD91</f>
        <v>0.99999999999999989</v>
      </c>
      <c r="AJ91" s="150">
        <f t="shared" ref="AJ91:AJ93" si="26">K91+P91+U91+Z91+AE91</f>
        <v>0.1</v>
      </c>
      <c r="AK91" s="62">
        <f t="shared" ref="AK91:AK93" si="27">L91+Q91+V91+AA91+AF91</f>
        <v>11674.246357</v>
      </c>
      <c r="AL91" s="62">
        <f t="shared" ref="AL91:AL93" si="28">M91+R91+W91+AB91+AG91</f>
        <v>1314.039006</v>
      </c>
      <c r="AM91" s="100"/>
    </row>
    <row r="92" spans="1:39" ht="75" x14ac:dyDescent="0.25">
      <c r="A92" s="214"/>
      <c r="B92" s="192"/>
      <c r="C92" s="192"/>
      <c r="D92" s="192"/>
      <c r="E92" s="218"/>
      <c r="F92" s="152" t="s">
        <v>148</v>
      </c>
      <c r="G92" s="152" t="s">
        <v>149</v>
      </c>
      <c r="H92" s="220"/>
      <c r="I92" s="14"/>
      <c r="J92" s="166">
        <v>1.5</v>
      </c>
      <c r="K92" s="167">
        <v>1.5</v>
      </c>
      <c r="L92" s="161">
        <v>147.96897799999999</v>
      </c>
      <c r="M92" s="29">
        <v>147.96897799999999</v>
      </c>
      <c r="N92" s="23"/>
      <c r="O92" s="26">
        <v>0.25</v>
      </c>
      <c r="P92" s="26">
        <v>0</v>
      </c>
      <c r="Q92" s="29">
        <f>300000000/L1</f>
        <v>300</v>
      </c>
      <c r="R92" s="29"/>
      <c r="S92" s="101"/>
      <c r="T92" s="140">
        <v>0.3</v>
      </c>
      <c r="U92" s="125">
        <v>0</v>
      </c>
      <c r="V92" s="105">
        <f>300000000/L1</f>
        <v>300</v>
      </c>
      <c r="W92" s="106"/>
      <c r="X92" s="102"/>
      <c r="Y92" s="140">
        <v>0.25</v>
      </c>
      <c r="Z92" s="125">
        <v>0</v>
      </c>
      <c r="AA92" s="105">
        <f>300000000/L1</f>
        <v>300</v>
      </c>
      <c r="AB92" s="106"/>
      <c r="AC92" s="102"/>
      <c r="AD92" s="112">
        <v>0.1</v>
      </c>
      <c r="AE92" s="112">
        <v>0</v>
      </c>
      <c r="AF92" s="105">
        <f>150000000/L1</f>
        <v>150</v>
      </c>
      <c r="AG92" s="106"/>
      <c r="AH92" s="101"/>
      <c r="AI92" s="112">
        <f t="shared" si="25"/>
        <v>2.4</v>
      </c>
      <c r="AJ92" s="150">
        <f t="shared" si="26"/>
        <v>1.5</v>
      </c>
      <c r="AK92" s="62">
        <f t="shared" si="27"/>
        <v>1197.9689779999999</v>
      </c>
      <c r="AL92" s="62">
        <f t="shared" si="28"/>
        <v>147.96897799999999</v>
      </c>
      <c r="AM92" s="100"/>
    </row>
    <row r="93" spans="1:39" ht="60" x14ac:dyDescent="0.25">
      <c r="A93" s="214"/>
      <c r="B93" s="192"/>
      <c r="C93" s="192"/>
      <c r="D93" s="192"/>
      <c r="E93" s="218"/>
      <c r="F93" s="152" t="s">
        <v>171</v>
      </c>
      <c r="G93" s="152" t="s">
        <v>151</v>
      </c>
      <c r="H93" s="220"/>
      <c r="I93" s="14"/>
      <c r="J93" s="26">
        <v>0</v>
      </c>
      <c r="K93" s="90">
        <v>0</v>
      </c>
      <c r="L93" s="161">
        <v>0</v>
      </c>
      <c r="M93" s="29">
        <v>0</v>
      </c>
      <c r="N93" s="23"/>
      <c r="O93" s="26">
        <v>0.25</v>
      </c>
      <c r="P93" s="26">
        <v>0</v>
      </c>
      <c r="Q93" s="29">
        <f>1010000000/L1</f>
        <v>1010</v>
      </c>
      <c r="R93" s="29"/>
      <c r="S93" s="101"/>
      <c r="T93" s="140">
        <v>0.3</v>
      </c>
      <c r="U93" s="125">
        <v>0</v>
      </c>
      <c r="V93" s="105">
        <f>880000000/L1</f>
        <v>880</v>
      </c>
      <c r="W93" s="106"/>
      <c r="X93" s="102"/>
      <c r="Y93" s="140">
        <v>0.25</v>
      </c>
      <c r="Z93" s="125">
        <v>0</v>
      </c>
      <c r="AA93" s="105">
        <f>880000000/L1</f>
        <v>880</v>
      </c>
      <c r="AB93" s="106"/>
      <c r="AC93" s="102"/>
      <c r="AD93" s="112">
        <v>0.1</v>
      </c>
      <c r="AE93" s="112">
        <v>0</v>
      </c>
      <c r="AF93" s="105">
        <f>240000000/L1</f>
        <v>240</v>
      </c>
      <c r="AG93" s="106"/>
      <c r="AH93" s="101"/>
      <c r="AI93" s="112">
        <f t="shared" si="25"/>
        <v>0.9</v>
      </c>
      <c r="AJ93" s="150">
        <f t="shared" si="26"/>
        <v>0</v>
      </c>
      <c r="AK93" s="62">
        <f t="shared" si="27"/>
        <v>3010</v>
      </c>
      <c r="AL93" s="62">
        <f t="shared" si="28"/>
        <v>0</v>
      </c>
      <c r="AM93" s="100"/>
    </row>
    <row r="94" spans="1:39" ht="15.75" x14ac:dyDescent="0.25">
      <c r="A94" s="154"/>
      <c r="B94" s="118"/>
      <c r="C94" s="118"/>
      <c r="D94" s="118"/>
      <c r="E94" s="120"/>
      <c r="F94" s="152" t="s">
        <v>150</v>
      </c>
      <c r="G94" s="152" t="s">
        <v>151</v>
      </c>
      <c r="H94" s="121"/>
      <c r="I94" s="14"/>
      <c r="J94" s="26">
        <v>0.05</v>
      </c>
      <c r="K94" s="90">
        <v>0.05</v>
      </c>
      <c r="L94" s="161">
        <v>2200.3575080000001</v>
      </c>
      <c r="M94" s="29">
        <v>1998.231702</v>
      </c>
      <c r="N94" s="23"/>
      <c r="O94" s="26">
        <v>0.25</v>
      </c>
      <c r="P94" s="26">
        <v>0</v>
      </c>
      <c r="Q94" s="29">
        <f>3176773384/L1</f>
        <v>3176.7733840000001</v>
      </c>
      <c r="R94" s="29"/>
      <c r="S94" s="101"/>
      <c r="T94" s="140">
        <v>0.3</v>
      </c>
      <c r="U94" s="125">
        <v>0</v>
      </c>
      <c r="V94" s="105">
        <f>3035000000/L1</f>
        <v>3035</v>
      </c>
      <c r="W94" s="106"/>
      <c r="X94" s="102"/>
      <c r="Y94" s="140">
        <v>0.25</v>
      </c>
      <c r="Z94" s="125">
        <v>0</v>
      </c>
      <c r="AA94" s="105">
        <f>3035000000/L1</f>
        <v>3035</v>
      </c>
      <c r="AB94" s="106"/>
      <c r="AC94" s="102"/>
      <c r="AD94" s="112">
        <v>0.1</v>
      </c>
      <c r="AE94" s="112">
        <v>0</v>
      </c>
      <c r="AF94" s="105">
        <f>1104401181/L1</f>
        <v>1104.401181</v>
      </c>
      <c r="AG94" s="106"/>
      <c r="AH94" s="101"/>
      <c r="AI94" s="112">
        <f t="shared" ref="AI94" si="29">J94+O94+T94+Y94+AD94</f>
        <v>0.95</v>
      </c>
      <c r="AJ94" s="150">
        <f t="shared" ref="AJ94" si="30">K94+P94+U94+Z94+AE94</f>
        <v>0.05</v>
      </c>
      <c r="AK94" s="62">
        <f t="shared" ref="AK94" si="31">L94+Q94+V94+AA94+AF94</f>
        <v>12551.532073</v>
      </c>
      <c r="AL94" s="62">
        <f t="shared" ref="AL94" si="32">M94+R94+W94+AB94+AG94</f>
        <v>1998.231702</v>
      </c>
      <c r="AM94" s="100"/>
    </row>
    <row r="95" spans="1:39" s="6" customFormat="1" ht="15.75" x14ac:dyDescent="0.25">
      <c r="A95" s="17"/>
      <c r="B95" s="119" t="s">
        <v>103</v>
      </c>
      <c r="C95" s="119"/>
      <c r="D95" s="119"/>
      <c r="E95" s="119"/>
      <c r="F95" s="39"/>
      <c r="G95" s="39"/>
      <c r="H95" s="39"/>
      <c r="I95" s="40"/>
      <c r="J95" s="41"/>
      <c r="K95" s="41"/>
      <c r="L95" s="162">
        <f>SUM(L89:L94)</f>
        <v>6728.2266159999999</v>
      </c>
      <c r="M95" s="153">
        <f>SUM(M89:M94)</f>
        <v>6408.6620619999994</v>
      </c>
      <c r="N95" s="51"/>
      <c r="O95" s="41"/>
      <c r="P95" s="41"/>
      <c r="Q95" s="153">
        <f>SUM(Q89:Q94)</f>
        <v>14271.773384</v>
      </c>
      <c r="R95" s="153">
        <f>SUM(R89:R94)</f>
        <v>0</v>
      </c>
      <c r="T95" s="41"/>
      <c r="U95" s="41"/>
      <c r="V95" s="153">
        <f>SUM(V89:V94)</f>
        <v>14000</v>
      </c>
      <c r="W95" s="153">
        <f>SUM(W89:W94)</f>
        <v>0</v>
      </c>
      <c r="Y95" s="41"/>
      <c r="Z95" s="41"/>
      <c r="AA95" s="153">
        <f>SUM(AA89:AA94)</f>
        <v>14000</v>
      </c>
      <c r="AB95" s="153">
        <f>SUM(AB89:AB94)</f>
        <v>0</v>
      </c>
      <c r="AC95" s="113"/>
      <c r="AD95" s="41"/>
      <c r="AE95" s="42"/>
      <c r="AF95" s="153">
        <f>SUM(AF89:AF94)</f>
        <v>6000</v>
      </c>
      <c r="AG95" s="153">
        <f>SUM(AG89:AG94)</f>
        <v>0</v>
      </c>
      <c r="AI95" s="97"/>
      <c r="AJ95" s="97"/>
      <c r="AK95" s="153">
        <f>SUM(AK89:AK94)</f>
        <v>55000</v>
      </c>
      <c r="AL95" s="153">
        <f>SUM(AL89:AL94)</f>
        <v>6408.6620619999994</v>
      </c>
      <c r="AM95" s="99"/>
    </row>
  </sheetData>
  <mergeCells count="205">
    <mergeCell ref="A2:AL2"/>
    <mergeCell ref="A3:AL3"/>
    <mergeCell ref="A4:AL4"/>
    <mergeCell ref="A5:AL5"/>
    <mergeCell ref="A6:AL6"/>
    <mergeCell ref="AI16:AI17"/>
    <mergeCell ref="AJ16:AJ17"/>
    <mergeCell ref="AK16:AK17"/>
    <mergeCell ref="J16:K16"/>
    <mergeCell ref="L16:M16"/>
    <mergeCell ref="O16:P16"/>
    <mergeCell ref="B15:B17"/>
    <mergeCell ref="C15:C17"/>
    <mergeCell ref="D15:D17"/>
    <mergeCell ref="E15:E17"/>
    <mergeCell ref="F15:F17"/>
    <mergeCell ref="C10:AL10"/>
    <mergeCell ref="C12:AL12"/>
    <mergeCell ref="C13:AL13"/>
    <mergeCell ref="C11:AL11"/>
    <mergeCell ref="A9:AL9"/>
    <mergeCell ref="C32:AL32"/>
    <mergeCell ref="B18:B25"/>
    <mergeCell ref="C18:C25"/>
    <mergeCell ref="D18:D25"/>
    <mergeCell ref="E18:E25"/>
    <mergeCell ref="H18:H25"/>
    <mergeCell ref="A18:A25"/>
    <mergeCell ref="G15:G17"/>
    <mergeCell ref="A15:A17"/>
    <mergeCell ref="AI15:AL15"/>
    <mergeCell ref="H15:H17"/>
    <mergeCell ref="J15:M15"/>
    <mergeCell ref="O15:R15"/>
    <mergeCell ref="T15:W15"/>
    <mergeCell ref="Y15:AB15"/>
    <mergeCell ref="AD15:AG15"/>
    <mergeCell ref="Q16:R16"/>
    <mergeCell ref="T16:U16"/>
    <mergeCell ref="V16:W16"/>
    <mergeCell ref="Y16:Z16"/>
    <mergeCell ref="AL16:AL17"/>
    <mergeCell ref="AA16:AB16"/>
    <mergeCell ref="AD16:AE16"/>
    <mergeCell ref="AF16:AG16"/>
    <mergeCell ref="A39:A42"/>
    <mergeCell ref="B39:B42"/>
    <mergeCell ref="C39:C42"/>
    <mergeCell ref="D39:D42"/>
    <mergeCell ref="E39:E42"/>
    <mergeCell ref="H39:H42"/>
    <mergeCell ref="A53:A55"/>
    <mergeCell ref="B53:B55"/>
    <mergeCell ref="C53:C55"/>
    <mergeCell ref="D53:D55"/>
    <mergeCell ref="E53:E55"/>
    <mergeCell ref="F53:F55"/>
    <mergeCell ref="G53:G55"/>
    <mergeCell ref="H53:H55"/>
    <mergeCell ref="C49:AL49"/>
    <mergeCell ref="J53:M53"/>
    <mergeCell ref="O53:R53"/>
    <mergeCell ref="T53:W53"/>
    <mergeCell ref="Y53:AB53"/>
    <mergeCell ref="AD53:AG53"/>
    <mergeCell ref="AI53:AL53"/>
    <mergeCell ref="J54:K54"/>
    <mergeCell ref="L54:M54"/>
    <mergeCell ref="O54:P54"/>
    <mergeCell ref="Y37:Z37"/>
    <mergeCell ref="AA37:AB37"/>
    <mergeCell ref="AD37:AE37"/>
    <mergeCell ref="AF37:AG37"/>
    <mergeCell ref="G86:G88"/>
    <mergeCell ref="H86:H88"/>
    <mergeCell ref="J86:M86"/>
    <mergeCell ref="O86:R86"/>
    <mergeCell ref="T86:W86"/>
    <mergeCell ref="Y86:AB86"/>
    <mergeCell ref="J70:M70"/>
    <mergeCell ref="O70:R70"/>
    <mergeCell ref="T70:W70"/>
    <mergeCell ref="Y70:AB70"/>
    <mergeCell ref="J71:K71"/>
    <mergeCell ref="L71:M71"/>
    <mergeCell ref="O71:P71"/>
    <mergeCell ref="Q71:R71"/>
    <mergeCell ref="T71:U71"/>
    <mergeCell ref="V71:W71"/>
    <mergeCell ref="Y71:Z71"/>
    <mergeCell ref="AA71:AB71"/>
    <mergeCell ref="C36:C38"/>
    <mergeCell ref="D36:D38"/>
    <mergeCell ref="E36:E38"/>
    <mergeCell ref="F36:F38"/>
    <mergeCell ref="G36:G38"/>
    <mergeCell ref="H36:H38"/>
    <mergeCell ref="J36:M36"/>
    <mergeCell ref="T37:U37"/>
    <mergeCell ref="V37:W37"/>
    <mergeCell ref="AK54:AK55"/>
    <mergeCell ref="AL54:AL55"/>
    <mergeCell ref="D73:D75"/>
    <mergeCell ref="E73:E75"/>
    <mergeCell ref="H73:H75"/>
    <mergeCell ref="V87:W87"/>
    <mergeCell ref="Y87:Z87"/>
    <mergeCell ref="AA87:AB87"/>
    <mergeCell ref="C82:AL82"/>
    <mergeCell ref="AF87:AG87"/>
    <mergeCell ref="AI87:AI88"/>
    <mergeCell ref="Q54:R54"/>
    <mergeCell ref="T54:U54"/>
    <mergeCell ref="V54:W54"/>
    <mergeCell ref="Y54:Z54"/>
    <mergeCell ref="AA54:AB54"/>
    <mergeCell ref="AD54:AE54"/>
    <mergeCell ref="AF54:AG54"/>
    <mergeCell ref="AI54:AI55"/>
    <mergeCell ref="AJ54:AJ55"/>
    <mergeCell ref="C86:C88"/>
    <mergeCell ref="D86:D88"/>
    <mergeCell ref="E86:E88"/>
    <mergeCell ref="F86:F88"/>
    <mergeCell ref="A73:A75"/>
    <mergeCell ref="A56:A59"/>
    <mergeCell ref="B56:B59"/>
    <mergeCell ref="C56:C59"/>
    <mergeCell ref="D56:D59"/>
    <mergeCell ref="E56:E59"/>
    <mergeCell ref="H56:H59"/>
    <mergeCell ref="A70:A72"/>
    <mergeCell ref="B70:B72"/>
    <mergeCell ref="C70:C72"/>
    <mergeCell ref="D70:D72"/>
    <mergeCell ref="E70:E72"/>
    <mergeCell ref="F70:F72"/>
    <mergeCell ref="G70:G72"/>
    <mergeCell ref="H70:H72"/>
    <mergeCell ref="C67:AL67"/>
    <mergeCell ref="AD70:AG70"/>
    <mergeCell ref="AI70:AL70"/>
    <mergeCell ref="AD71:AE71"/>
    <mergeCell ref="AF71:AG71"/>
    <mergeCell ref="AI71:AI72"/>
    <mergeCell ref="AJ71:AJ72"/>
    <mergeCell ref="AK71:AK72"/>
    <mergeCell ref="AL71:AL72"/>
    <mergeCell ref="A7:AL7"/>
    <mergeCell ref="A28:AL28"/>
    <mergeCell ref="C31:AL31"/>
    <mergeCell ref="C33:AL33"/>
    <mergeCell ref="C34:AL34"/>
    <mergeCell ref="A45:AL45"/>
    <mergeCell ref="C48:AL48"/>
    <mergeCell ref="C50:AL50"/>
    <mergeCell ref="C51:AL51"/>
    <mergeCell ref="O36:R36"/>
    <mergeCell ref="T36:W36"/>
    <mergeCell ref="Y36:AB36"/>
    <mergeCell ref="AD36:AG36"/>
    <mergeCell ref="AI36:AL36"/>
    <mergeCell ref="J37:K37"/>
    <mergeCell ref="L37:M37"/>
    <mergeCell ref="O37:P37"/>
    <mergeCell ref="Q37:R37"/>
    <mergeCell ref="AI37:AI38"/>
    <mergeCell ref="AJ37:AJ38"/>
    <mergeCell ref="AK37:AK38"/>
    <mergeCell ref="AL37:AL38"/>
    <mergeCell ref="A36:A38"/>
    <mergeCell ref="B36:B38"/>
    <mergeCell ref="O87:P87"/>
    <mergeCell ref="Q87:R87"/>
    <mergeCell ref="T87:U87"/>
    <mergeCell ref="AD87:AE87"/>
    <mergeCell ref="A86:A88"/>
    <mergeCell ref="B86:B88"/>
    <mergeCell ref="AJ87:AJ88"/>
    <mergeCell ref="AK87:AK88"/>
    <mergeCell ref="AL87:AL88"/>
    <mergeCell ref="A30:AL30"/>
    <mergeCell ref="A47:AL47"/>
    <mergeCell ref="A64:AL64"/>
    <mergeCell ref="A80:AL80"/>
    <mergeCell ref="B73:B75"/>
    <mergeCell ref="C73:C75"/>
    <mergeCell ref="A89:A93"/>
    <mergeCell ref="B89:B93"/>
    <mergeCell ref="C89:C93"/>
    <mergeCell ref="D89:D93"/>
    <mergeCell ref="E89:E93"/>
    <mergeCell ref="H89:H93"/>
    <mergeCell ref="A62:AL62"/>
    <mergeCell ref="C65:AL65"/>
    <mergeCell ref="C66:AL66"/>
    <mergeCell ref="C68:AL68"/>
    <mergeCell ref="A78:AL78"/>
    <mergeCell ref="C81:AL81"/>
    <mergeCell ref="C83:AL83"/>
    <mergeCell ref="C84:AL84"/>
    <mergeCell ref="AD86:AG86"/>
    <mergeCell ref="AI86:AL86"/>
    <mergeCell ref="J87:K87"/>
    <mergeCell ref="L87:M87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Diciembre 2020</vt:lpstr>
      <vt:lpstr>'Diciembre 2020'!Área_de_impresión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2021-03-18T21:31:16Z</dcterms:modified>
</cp:coreProperties>
</file>