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35" windowWidth="15180" windowHeight="7710" firstSheet="2" activeTab="2"/>
  </bookViews>
  <sheets>
    <sheet name="Parametros" sheetId="16" state="hidden" r:id="rId1"/>
    <sheet name="PM FORMATO V1 Mar 2014" sheetId="17" state="hidden" r:id="rId2"/>
    <sheet name="PM 2016" sheetId="18" r:id="rId3"/>
    <sheet name="Resumen Vig2016" sheetId="23" r:id="rId4"/>
  </sheets>
  <externalReferences>
    <externalReference r:id="rId5"/>
  </externalReferences>
  <definedNames>
    <definedName name="_xlnm._FilterDatabase" localSheetId="2" hidden="1">'PM 2016'!$A$3:$Y$253</definedName>
    <definedName name="_xlnm._FilterDatabase" localSheetId="1" hidden="1">'PM FORMATO V1 Mar 2014'!$A$3:$R$129</definedName>
    <definedName name="_xlnm.Print_Area" localSheetId="2">'PM 2016'!$A$1:$T$235</definedName>
    <definedName name="_xlnm.Print_Area" localSheetId="3">'Resumen Vig2016'!$A$1:$M$19</definedName>
    <definedName name="Auditores">Parametros!$E$2:$E$10</definedName>
    <definedName name="Estado">'[1]LISTAS SOPORTE'!$A$2:$A$3</definedName>
    <definedName name="Proceso">Parametros!$A$2:$A$14</definedName>
    <definedName name="Procesos">#REF!</definedName>
    <definedName name="_xlnm.Print_Titles" localSheetId="2">'PM 2016'!$A:$B,'PM 2016'!$1:$3</definedName>
    <definedName name="_xlnm.Print_Titles" localSheetId="1">'PM FORMATO V1 Mar 2014'!$A:$B,'PM FORMATO V1 Mar 2014'!$1:$3</definedName>
  </definedNames>
  <calcPr calcId="144525"/>
</workbook>
</file>

<file path=xl/calcChain.xml><?xml version="1.0" encoding="utf-8"?>
<calcChain xmlns="http://schemas.openxmlformats.org/spreadsheetml/2006/main">
  <c r="K259" i="18" l="1"/>
  <c r="A9" i="18" l="1"/>
  <c r="A10" i="18" s="1"/>
  <c r="A12" i="18"/>
  <c r="A20" i="18" s="1"/>
  <c r="A21" i="18" s="1"/>
  <c r="A22" i="18" s="1"/>
  <c r="A23" i="18" s="1"/>
  <c r="A24" i="18" s="1"/>
  <c r="A25" i="18" s="1"/>
  <c r="A26" i="18" s="1"/>
  <c r="A27" i="18" s="1"/>
  <c r="A32" i="18" s="1"/>
  <c r="A33" i="18" s="1"/>
  <c r="O210" i="18" l="1"/>
  <c r="O211" i="18"/>
  <c r="U175" i="18"/>
  <c r="V175" i="18" s="1"/>
  <c r="W175" i="18"/>
  <c r="W165" i="18" l="1"/>
  <c r="W163" i="18"/>
  <c r="W161" i="18"/>
  <c r="U161" i="18"/>
  <c r="V161" i="18" s="1"/>
  <c r="N245" i="18" l="1"/>
  <c r="W222" i="18" l="1"/>
  <c r="U222" i="18"/>
  <c r="V222" i="18" s="1"/>
  <c r="W221" i="18"/>
  <c r="U221" i="18"/>
  <c r="V221" i="18" s="1"/>
  <c r="W220" i="18"/>
  <c r="U220" i="18"/>
  <c r="V220" i="18" s="1"/>
  <c r="W219" i="18"/>
  <c r="U219" i="18"/>
  <c r="V219" i="18" s="1"/>
  <c r="W218" i="18"/>
  <c r="U218" i="18"/>
  <c r="V218" i="18" s="1"/>
  <c r="W217" i="18"/>
  <c r="U217" i="18"/>
  <c r="V217" i="18" s="1"/>
  <c r="W216" i="18"/>
  <c r="U216" i="18"/>
  <c r="V216" i="18" s="1"/>
  <c r="W215" i="18"/>
  <c r="U215" i="18"/>
  <c r="V215" i="18" s="1"/>
  <c r="W214" i="18"/>
  <c r="U214" i="18"/>
  <c r="V214" i="18" s="1"/>
  <c r="W213" i="18"/>
  <c r="U213" i="18"/>
  <c r="V213" i="18" s="1"/>
  <c r="W207" i="18" l="1"/>
  <c r="U207" i="18"/>
  <c r="V207" i="18" s="1"/>
  <c r="W206" i="18"/>
  <c r="U206" i="18"/>
  <c r="V206" i="18" s="1"/>
  <c r="W205" i="18"/>
  <c r="U205" i="18"/>
  <c r="V205" i="18" s="1"/>
  <c r="W209" i="18" l="1"/>
  <c r="U209" i="18"/>
  <c r="V209" i="18" s="1"/>
  <c r="W211" i="18"/>
  <c r="U211" i="18"/>
  <c r="V211" i="18" s="1"/>
  <c r="W210" i="18"/>
  <c r="U210" i="18"/>
  <c r="V210" i="18" s="1"/>
  <c r="W89" i="18"/>
  <c r="U89" i="18"/>
  <c r="V89" i="18" s="1"/>
  <c r="W88" i="18"/>
  <c r="U88" i="18"/>
  <c r="V88" i="18" s="1"/>
  <c r="W87" i="18"/>
  <c r="U87" i="18"/>
  <c r="V87" i="18" s="1"/>
  <c r="W90" i="18"/>
  <c r="U90" i="18"/>
  <c r="V90" i="18" s="1"/>
  <c r="W86" i="18"/>
  <c r="U86" i="18"/>
  <c r="V86" i="18" s="1"/>
  <c r="W225" i="18" l="1"/>
  <c r="U225" i="18"/>
  <c r="V225" i="18" s="1"/>
  <c r="W224" i="18"/>
  <c r="U224" i="18"/>
  <c r="V224" i="18" s="1"/>
  <c r="W223" i="18"/>
  <c r="U223" i="18"/>
  <c r="V223" i="18" s="1"/>
  <c r="W208" i="18"/>
  <c r="U208" i="18"/>
  <c r="V208" i="18" s="1"/>
  <c r="W204" i="18"/>
  <c r="U204" i="18"/>
  <c r="V204" i="18" s="1"/>
  <c r="W203" i="18"/>
  <c r="U203" i="18"/>
  <c r="V203" i="18" s="1"/>
  <c r="W202" i="18"/>
  <c r="U202" i="18"/>
  <c r="V202" i="18" s="1"/>
  <c r="W201" i="18"/>
  <c r="U201" i="18"/>
  <c r="V201" i="18" s="1"/>
  <c r="W200" i="18"/>
  <c r="U200" i="18"/>
  <c r="V200" i="18" s="1"/>
  <c r="W199" i="18"/>
  <c r="U199" i="18"/>
  <c r="V199" i="18" s="1"/>
  <c r="W198" i="18"/>
  <c r="U198" i="18"/>
  <c r="V198" i="18" s="1"/>
  <c r="W197" i="18"/>
  <c r="U197" i="18"/>
  <c r="V197" i="18" s="1"/>
  <c r="Y229" i="18" l="1"/>
  <c r="D259" i="18"/>
  <c r="W179" i="18" l="1"/>
  <c r="U179" i="18"/>
  <c r="V179" i="18" s="1"/>
  <c r="W178" i="18"/>
  <c r="U178" i="18"/>
  <c r="V178" i="18" s="1"/>
  <c r="C19" i="23" l="1"/>
  <c r="D266" i="18" l="1"/>
  <c r="D251" i="18"/>
  <c r="W196" i="18"/>
  <c r="U196" i="18"/>
  <c r="V196" i="18" s="1"/>
  <c r="W191" i="18"/>
  <c r="U191" i="18"/>
  <c r="V191" i="18" s="1"/>
  <c r="W81" i="18" l="1"/>
  <c r="U81" i="18"/>
  <c r="V81" i="18" s="1"/>
  <c r="W35" i="18"/>
  <c r="U35" i="18"/>
  <c r="V35" i="18" s="1"/>
  <c r="W34" i="18"/>
  <c r="U34" i="18"/>
  <c r="V34" i="18" s="1"/>
  <c r="W33" i="18"/>
  <c r="U33" i="18"/>
  <c r="V33" i="18" s="1"/>
  <c r="W195" i="18" l="1"/>
  <c r="U195" i="18"/>
  <c r="V195" i="18" s="1"/>
  <c r="W193" i="18"/>
  <c r="U193" i="18"/>
  <c r="V193" i="18" s="1"/>
  <c r="W194" i="18"/>
  <c r="U194" i="18"/>
  <c r="V194" i="18" s="1"/>
  <c r="W192" i="18"/>
  <c r="U192" i="18"/>
  <c r="V192" i="18" s="1"/>
  <c r="W190" i="18"/>
  <c r="U190" i="18"/>
  <c r="V190" i="18" s="1"/>
  <c r="W189" i="18"/>
  <c r="U189" i="18"/>
  <c r="V189" i="18" s="1"/>
  <c r="W188" i="18"/>
  <c r="U188" i="18"/>
  <c r="V188" i="18" s="1"/>
  <c r="W187" i="18" l="1"/>
  <c r="U187" i="18"/>
  <c r="V187" i="18" s="1"/>
  <c r="W186" i="18"/>
  <c r="U186" i="18"/>
  <c r="V186" i="18" s="1"/>
  <c r="W185" i="18"/>
  <c r="U185" i="18"/>
  <c r="V185" i="18" s="1"/>
  <c r="W184" i="18"/>
  <c r="U184" i="18"/>
  <c r="V184" i="18" s="1"/>
  <c r="W183" i="18"/>
  <c r="U183" i="18"/>
  <c r="V183" i="18" s="1"/>
  <c r="W182" i="18"/>
  <c r="U182" i="18"/>
  <c r="V182" i="18" s="1"/>
  <c r="D233" i="18" l="1"/>
  <c r="E262" i="18" l="1"/>
  <c r="D262" i="18"/>
  <c r="A4" i="18"/>
  <c r="A7" i="18" s="1"/>
  <c r="W181" i="18"/>
  <c r="U181" i="18"/>
  <c r="V181" i="18" s="1"/>
  <c r="W154" i="18"/>
  <c r="U154" i="18"/>
  <c r="V154" i="18" s="1"/>
  <c r="W153" i="18"/>
  <c r="U153" i="18"/>
  <c r="V153" i="18" s="1"/>
  <c r="W152" i="18"/>
  <c r="U152" i="18"/>
  <c r="V152" i="18" s="1"/>
  <c r="W151" i="18"/>
  <c r="U151" i="18"/>
  <c r="V151" i="18" s="1"/>
  <c r="W150" i="18"/>
  <c r="U150" i="18"/>
  <c r="V150" i="18" s="1"/>
  <c r="W149" i="18"/>
  <c r="U149" i="18"/>
  <c r="V149" i="18" s="1"/>
  <c r="W148" i="18"/>
  <c r="U148" i="18"/>
  <c r="V148" i="18" s="1"/>
  <c r="W147" i="18"/>
  <c r="U147" i="18"/>
  <c r="V147" i="18" s="1"/>
  <c r="W77" i="18"/>
  <c r="U77" i="18"/>
  <c r="V77" i="18" s="1"/>
  <c r="W76" i="18"/>
  <c r="U76" i="18"/>
  <c r="V76" i="18" s="1"/>
  <c r="W169" i="18"/>
  <c r="U169" i="18"/>
  <c r="V169" i="18" s="1"/>
  <c r="W168" i="18"/>
  <c r="U168" i="18"/>
  <c r="V168" i="18" s="1"/>
  <c r="W166" i="18"/>
  <c r="U166" i="18"/>
  <c r="V166" i="18" s="1"/>
  <c r="W164" i="18"/>
  <c r="U164" i="18"/>
  <c r="V164" i="18" s="1"/>
  <c r="W162" i="18"/>
  <c r="U162" i="18"/>
  <c r="V162" i="18" s="1"/>
  <c r="W160" i="18"/>
  <c r="U160" i="18"/>
  <c r="V160" i="18" s="1"/>
  <c r="W158" i="18"/>
  <c r="U158" i="18"/>
  <c r="V158" i="18" s="1"/>
  <c r="W157" i="18"/>
  <c r="U157" i="18"/>
  <c r="V157" i="18" s="1"/>
  <c r="W156" i="18"/>
  <c r="U156" i="18"/>
  <c r="V156" i="18" s="1"/>
  <c r="W155" i="18"/>
  <c r="U155" i="18"/>
  <c r="V155" i="18" s="1"/>
  <c r="W171" i="18"/>
  <c r="U171" i="18"/>
  <c r="V171" i="18" s="1"/>
  <c r="W170" i="18"/>
  <c r="U170" i="18"/>
  <c r="V170" i="18" s="1"/>
  <c r="U174" i="18"/>
  <c r="V174" i="18" s="1"/>
  <c r="W174" i="18"/>
  <c r="P251" i="18"/>
  <c r="F16" i="23" s="1"/>
  <c r="P250" i="18"/>
  <c r="F15" i="23" s="1"/>
  <c r="P249" i="18"/>
  <c r="F14" i="23" s="1"/>
  <c r="P248" i="18"/>
  <c r="F13" i="23" s="1"/>
  <c r="P247" i="18"/>
  <c r="F12" i="23" s="1"/>
  <c r="P246" i="18"/>
  <c r="F11" i="23" s="1"/>
  <c r="P245" i="18"/>
  <c r="F10" i="23" s="1"/>
  <c r="P244" i="18"/>
  <c r="F9" i="23" s="1"/>
  <c r="P243" i="18"/>
  <c r="F8" i="23" s="1"/>
  <c r="P242" i="18"/>
  <c r="F7" i="23" s="1"/>
  <c r="P241" i="18"/>
  <c r="F6" i="23" s="1"/>
  <c r="P240" i="18"/>
  <c r="F5" i="23" s="1"/>
  <c r="P239" i="18"/>
  <c r="F4" i="23" s="1"/>
  <c r="I251" i="18"/>
  <c r="I250" i="18"/>
  <c r="I249" i="18"/>
  <c r="I248" i="18"/>
  <c r="I247" i="18"/>
  <c r="I246" i="18"/>
  <c r="I245" i="18"/>
  <c r="I244" i="18"/>
  <c r="I243" i="18"/>
  <c r="I242" i="18"/>
  <c r="I241" i="18"/>
  <c r="I240" i="18"/>
  <c r="I239" i="18"/>
  <c r="L233" i="18"/>
  <c r="L232" i="18"/>
  <c r="L231" i="18"/>
  <c r="D250" i="18"/>
  <c r="D249" i="18"/>
  <c r="D248" i="18"/>
  <c r="D247" i="18"/>
  <c r="D246" i="18"/>
  <c r="D245" i="18"/>
  <c r="D244" i="18"/>
  <c r="D243" i="18"/>
  <c r="D242" i="18"/>
  <c r="D241" i="18"/>
  <c r="D240" i="18"/>
  <c r="D239" i="18"/>
  <c r="E246" i="18"/>
  <c r="E239" i="18"/>
  <c r="W180" i="18"/>
  <c r="U180" i="18"/>
  <c r="V180" i="18" s="1"/>
  <c r="W177" i="18"/>
  <c r="U177" i="18"/>
  <c r="V177" i="18" s="1"/>
  <c r="W176" i="18"/>
  <c r="U176" i="18"/>
  <c r="V176" i="18" s="1"/>
  <c r="W146" i="18"/>
  <c r="U146" i="18"/>
  <c r="V146" i="18" s="1"/>
  <c r="W145" i="18"/>
  <c r="U145" i="18"/>
  <c r="V145" i="18" s="1"/>
  <c r="K233" i="18"/>
  <c r="J233" i="18"/>
  <c r="I233" i="18"/>
  <c r="U142" i="18"/>
  <c r="V142" i="18" s="1"/>
  <c r="U144" i="18"/>
  <c r="V144" i="18" s="1"/>
  <c r="W142" i="18"/>
  <c r="W140" i="18"/>
  <c r="W143" i="18"/>
  <c r="W117" i="18"/>
  <c r="U117" i="18"/>
  <c r="V117" i="18" s="1"/>
  <c r="W84" i="18"/>
  <c r="U84" i="18"/>
  <c r="V84" i="18" s="1"/>
  <c r="K267" i="18"/>
  <c r="L12" i="23" s="1"/>
  <c r="L267" i="18"/>
  <c r="M12" i="23" s="1"/>
  <c r="K268" i="18"/>
  <c r="L13" i="23" s="1"/>
  <c r="L268" i="18"/>
  <c r="M13" i="23" s="1"/>
  <c r="K269" i="18"/>
  <c r="L14" i="23" s="1"/>
  <c r="L269" i="18"/>
  <c r="M14" i="23" s="1"/>
  <c r="K270" i="18"/>
  <c r="L15" i="23" s="1"/>
  <c r="L270" i="18"/>
  <c r="M15" i="23" s="1"/>
  <c r="K271" i="18"/>
  <c r="L16" i="23" s="1"/>
  <c r="L271" i="18"/>
  <c r="M16" i="23" s="1"/>
  <c r="K266" i="18"/>
  <c r="L11" i="23" s="1"/>
  <c r="L266" i="18"/>
  <c r="M11" i="23" s="1"/>
  <c r="E266" i="18"/>
  <c r="F266" i="18"/>
  <c r="G266" i="18"/>
  <c r="C246" i="18"/>
  <c r="F246" i="18"/>
  <c r="G246" i="18"/>
  <c r="L246" i="18"/>
  <c r="I11" i="23" s="1"/>
  <c r="M246" i="18"/>
  <c r="J11" i="23" s="1"/>
  <c r="N246" i="18"/>
  <c r="D11" i="23" s="1"/>
  <c r="O246" i="18"/>
  <c r="E11" i="23" s="1"/>
  <c r="Q246" i="18"/>
  <c r="G11" i="23" s="1"/>
  <c r="R246" i="18"/>
  <c r="H11" i="23" s="1"/>
  <c r="W141" i="18"/>
  <c r="W30" i="18"/>
  <c r="U30" i="18"/>
  <c r="V30" i="18" s="1"/>
  <c r="W29" i="18"/>
  <c r="U29" i="18"/>
  <c r="V29" i="18" s="1"/>
  <c r="W28" i="18"/>
  <c r="U28" i="18"/>
  <c r="V28" i="18" s="1"/>
  <c r="W124" i="18"/>
  <c r="U124" i="18"/>
  <c r="W123" i="18"/>
  <c r="U123" i="18"/>
  <c r="W122" i="18"/>
  <c r="U122" i="18"/>
  <c r="W126" i="18"/>
  <c r="U126" i="18"/>
  <c r="W125" i="18"/>
  <c r="U125" i="18"/>
  <c r="W144" i="18"/>
  <c r="W134" i="18"/>
  <c r="U134" i="18"/>
  <c r="V134" i="18" s="1"/>
  <c r="W133" i="18"/>
  <c r="U133" i="18"/>
  <c r="V133" i="18" s="1"/>
  <c r="W132" i="18"/>
  <c r="U132" i="18"/>
  <c r="V132" i="18" s="1"/>
  <c r="W83" i="18"/>
  <c r="U83" i="18"/>
  <c r="V83" i="18" s="1"/>
  <c r="U131" i="18"/>
  <c r="V131" i="18" s="1"/>
  <c r="U130" i="18"/>
  <c r="V130" i="18" s="1"/>
  <c r="U129" i="18"/>
  <c r="U128" i="18"/>
  <c r="U127" i="18"/>
  <c r="W131" i="18"/>
  <c r="W130" i="18"/>
  <c r="W129" i="18"/>
  <c r="W128" i="18"/>
  <c r="W127" i="18"/>
  <c r="W118" i="18"/>
  <c r="U118" i="18"/>
  <c r="V118" i="18" s="1"/>
  <c r="U135" i="18"/>
  <c r="V135" i="18" s="1"/>
  <c r="U136" i="18"/>
  <c r="V136" i="18" s="1"/>
  <c r="U137" i="18"/>
  <c r="V137" i="18" s="1"/>
  <c r="U138" i="18"/>
  <c r="V138" i="18" s="1"/>
  <c r="U139" i="18"/>
  <c r="V139" i="18" s="1"/>
  <c r="W226" i="18"/>
  <c r="U226" i="18"/>
  <c r="W139" i="18"/>
  <c r="W138" i="18"/>
  <c r="W137" i="18"/>
  <c r="W136" i="18"/>
  <c r="W135" i="18"/>
  <c r="W115" i="18"/>
  <c r="U115" i="18"/>
  <c r="V115" i="18" s="1"/>
  <c r="W114" i="18"/>
  <c r="U114" i="18"/>
  <c r="V114" i="18" s="1"/>
  <c r="W113" i="18"/>
  <c r="U113" i="18"/>
  <c r="V113" i="18" s="1"/>
  <c r="W112" i="18"/>
  <c r="U112" i="18"/>
  <c r="V112" i="18" s="1"/>
  <c r="W111" i="18"/>
  <c r="U111" i="18"/>
  <c r="V111" i="18" s="1"/>
  <c r="W109" i="18"/>
  <c r="U109" i="18"/>
  <c r="V109" i="18" s="1"/>
  <c r="W108" i="18"/>
  <c r="U108" i="18"/>
  <c r="V108" i="18" s="1"/>
  <c r="W106" i="18"/>
  <c r="U106" i="18"/>
  <c r="V106" i="18" s="1"/>
  <c r="W105" i="18"/>
  <c r="U105" i="18"/>
  <c r="V105" i="18" s="1"/>
  <c r="W104" i="18"/>
  <c r="U104" i="18"/>
  <c r="V104" i="18" s="1"/>
  <c r="W60" i="18"/>
  <c r="U60" i="18"/>
  <c r="V60" i="18" s="1"/>
  <c r="W64" i="18"/>
  <c r="U64" i="18"/>
  <c r="V64" i="18" s="1"/>
  <c r="W63" i="18"/>
  <c r="U63" i="18"/>
  <c r="V63" i="18" s="1"/>
  <c r="W62" i="18"/>
  <c r="U62" i="18"/>
  <c r="V62" i="18" s="1"/>
  <c r="W61" i="18"/>
  <c r="U61" i="18"/>
  <c r="V61" i="18" s="1"/>
  <c r="W100" i="18"/>
  <c r="U100" i="18"/>
  <c r="V100" i="18" s="1"/>
  <c r="W120" i="18"/>
  <c r="U120" i="18"/>
  <c r="V120" i="18" s="1"/>
  <c r="W119" i="18"/>
  <c r="U119" i="18"/>
  <c r="V119" i="18" s="1"/>
  <c r="W97" i="18"/>
  <c r="U97" i="18"/>
  <c r="V97" i="18" s="1"/>
  <c r="W96" i="18"/>
  <c r="U96" i="18"/>
  <c r="V96" i="18" s="1"/>
  <c r="W95" i="18"/>
  <c r="U95" i="18"/>
  <c r="V95" i="18" s="1"/>
  <c r="W94" i="18"/>
  <c r="U94" i="18"/>
  <c r="V94" i="18" s="1"/>
  <c r="W92" i="18"/>
  <c r="U92" i="18"/>
  <c r="V92" i="18" s="1"/>
  <c r="W121" i="18"/>
  <c r="U121" i="18"/>
  <c r="V121" i="18" s="1"/>
  <c r="W116" i="18"/>
  <c r="U116" i="18"/>
  <c r="V116" i="18" s="1"/>
  <c r="W110" i="18"/>
  <c r="U110" i="18"/>
  <c r="V110" i="18" s="1"/>
  <c r="W107" i="18"/>
  <c r="U107" i="18"/>
  <c r="V107" i="18" s="1"/>
  <c r="W103" i="18"/>
  <c r="U103" i="18"/>
  <c r="V103" i="18" s="1"/>
  <c r="W102" i="18"/>
  <c r="U102" i="18"/>
  <c r="V102" i="18" s="1"/>
  <c r="W101" i="18"/>
  <c r="U101" i="18"/>
  <c r="V101" i="18" s="1"/>
  <c r="W99" i="18"/>
  <c r="U99" i="18"/>
  <c r="V99" i="18" s="1"/>
  <c r="W98" i="18"/>
  <c r="U98" i="18"/>
  <c r="V98" i="18" s="1"/>
  <c r="W93" i="18"/>
  <c r="U93" i="18"/>
  <c r="V93" i="18" s="1"/>
  <c r="W91" i="18"/>
  <c r="U91" i="18"/>
  <c r="V91" i="18" s="1"/>
  <c r="W85" i="18"/>
  <c r="U85" i="18"/>
  <c r="V85" i="18" s="1"/>
  <c r="U7" i="18"/>
  <c r="W75" i="18"/>
  <c r="U75" i="18"/>
  <c r="V75" i="18" s="1"/>
  <c r="W74" i="18"/>
  <c r="U74" i="18"/>
  <c r="V74" i="18" s="1"/>
  <c r="W73" i="18"/>
  <c r="U73" i="18"/>
  <c r="V73" i="18" s="1"/>
  <c r="W72" i="18"/>
  <c r="U72" i="18"/>
  <c r="V72" i="18" s="1"/>
  <c r="W71" i="18"/>
  <c r="U71" i="18"/>
  <c r="V71" i="18" s="1"/>
  <c r="W70" i="18"/>
  <c r="U70" i="18"/>
  <c r="V70" i="18" s="1"/>
  <c r="W69" i="18"/>
  <c r="U69" i="18"/>
  <c r="V69" i="18" s="1"/>
  <c r="W68" i="18"/>
  <c r="U68" i="18"/>
  <c r="V68" i="18" s="1"/>
  <c r="W67" i="18"/>
  <c r="U67" i="18"/>
  <c r="V67" i="18" s="1"/>
  <c r="W66" i="18"/>
  <c r="U66" i="18"/>
  <c r="V66" i="18" s="1"/>
  <c r="W79" i="18"/>
  <c r="U79" i="18"/>
  <c r="V79" i="18" s="1"/>
  <c r="W82" i="18"/>
  <c r="U82" i="18"/>
  <c r="V82" i="18" s="1"/>
  <c r="W80" i="18"/>
  <c r="U80" i="18"/>
  <c r="V80" i="18" s="1"/>
  <c r="W78" i="18"/>
  <c r="U78" i="18"/>
  <c r="V78" i="18" s="1"/>
  <c r="G251" i="18"/>
  <c r="F251" i="18"/>
  <c r="E251" i="18"/>
  <c r="C251" i="18"/>
  <c r="G250" i="18"/>
  <c r="F250" i="18"/>
  <c r="E250" i="18"/>
  <c r="C250" i="18"/>
  <c r="G249" i="18"/>
  <c r="F249" i="18"/>
  <c r="E249" i="18"/>
  <c r="C249" i="18"/>
  <c r="G248" i="18"/>
  <c r="F248" i="18"/>
  <c r="E248" i="18"/>
  <c r="C248" i="18"/>
  <c r="G247" i="18"/>
  <c r="F247" i="18"/>
  <c r="E247" i="18"/>
  <c r="C247" i="18"/>
  <c r="G245" i="18"/>
  <c r="F245" i="18"/>
  <c r="E245" i="18"/>
  <c r="C245" i="18"/>
  <c r="G244" i="18"/>
  <c r="F244" i="18"/>
  <c r="E244" i="18"/>
  <c r="C244" i="18"/>
  <c r="G243" i="18"/>
  <c r="F243" i="18"/>
  <c r="E243" i="18"/>
  <c r="C243" i="18"/>
  <c r="G242" i="18"/>
  <c r="F242" i="18"/>
  <c r="E242" i="18"/>
  <c r="C242" i="18"/>
  <c r="G241" i="18"/>
  <c r="F241" i="18"/>
  <c r="E241" i="18"/>
  <c r="C241" i="18"/>
  <c r="E240" i="18"/>
  <c r="C240" i="18"/>
  <c r="G239" i="18"/>
  <c r="F239" i="18"/>
  <c r="C239" i="18"/>
  <c r="R251" i="18"/>
  <c r="H16" i="23" s="1"/>
  <c r="Q251" i="18"/>
  <c r="G16" i="23" s="1"/>
  <c r="O251" i="18"/>
  <c r="E16" i="23" s="1"/>
  <c r="N251" i="18"/>
  <c r="D16" i="23" s="1"/>
  <c r="R250" i="18"/>
  <c r="H15" i="23" s="1"/>
  <c r="Q250" i="18"/>
  <c r="G15" i="23" s="1"/>
  <c r="O250" i="18"/>
  <c r="E15" i="23" s="1"/>
  <c r="N250" i="18"/>
  <c r="D15" i="23" s="1"/>
  <c r="R249" i="18"/>
  <c r="H14" i="23" s="1"/>
  <c r="Q249" i="18"/>
  <c r="G14" i="23" s="1"/>
  <c r="O249" i="18"/>
  <c r="E14" i="23" s="1"/>
  <c r="N249" i="18"/>
  <c r="D14" i="23" s="1"/>
  <c r="R248" i="18"/>
  <c r="H13" i="23" s="1"/>
  <c r="Q248" i="18"/>
  <c r="G13" i="23" s="1"/>
  <c r="O248" i="18"/>
  <c r="E13" i="23" s="1"/>
  <c r="N248" i="18"/>
  <c r="D13" i="23" s="1"/>
  <c r="R247" i="18"/>
  <c r="H12" i="23" s="1"/>
  <c r="Q247" i="18"/>
  <c r="G12" i="23" s="1"/>
  <c r="O247" i="18"/>
  <c r="E12" i="23" s="1"/>
  <c r="N247" i="18"/>
  <c r="D12" i="23" s="1"/>
  <c r="R245" i="18"/>
  <c r="H10" i="23" s="1"/>
  <c r="Q245" i="18"/>
  <c r="G10" i="23" s="1"/>
  <c r="O245" i="18"/>
  <c r="E10" i="23" s="1"/>
  <c r="D10" i="23"/>
  <c r="R244" i="18"/>
  <c r="H9" i="23" s="1"/>
  <c r="Q244" i="18"/>
  <c r="G9" i="23" s="1"/>
  <c r="O244" i="18"/>
  <c r="E9" i="23" s="1"/>
  <c r="N244" i="18"/>
  <c r="D9" i="23" s="1"/>
  <c r="R243" i="18"/>
  <c r="H8" i="23" s="1"/>
  <c r="Q243" i="18"/>
  <c r="G8" i="23" s="1"/>
  <c r="O243" i="18"/>
  <c r="E8" i="23" s="1"/>
  <c r="N243" i="18"/>
  <c r="D8" i="23" s="1"/>
  <c r="R242" i="18"/>
  <c r="H7" i="23" s="1"/>
  <c r="Q242" i="18"/>
  <c r="G7" i="23" s="1"/>
  <c r="O242" i="18"/>
  <c r="E7" i="23" s="1"/>
  <c r="N242" i="18"/>
  <c r="D7" i="23" s="1"/>
  <c r="R241" i="18"/>
  <c r="H6" i="23" s="1"/>
  <c r="Q241" i="18"/>
  <c r="G6" i="23" s="1"/>
  <c r="O241" i="18"/>
  <c r="E6" i="23" s="1"/>
  <c r="N241" i="18"/>
  <c r="D6" i="23" s="1"/>
  <c r="M251" i="18"/>
  <c r="J16" i="23" s="1"/>
  <c r="L251" i="18"/>
  <c r="I16" i="23" s="1"/>
  <c r="M250" i="18"/>
  <c r="J15" i="23" s="1"/>
  <c r="L250" i="18"/>
  <c r="I15" i="23" s="1"/>
  <c r="M249" i="18"/>
  <c r="J14" i="23" s="1"/>
  <c r="L249" i="18"/>
  <c r="I14" i="23" s="1"/>
  <c r="M248" i="18"/>
  <c r="J13" i="23" s="1"/>
  <c r="L248" i="18"/>
  <c r="I13" i="23" s="1"/>
  <c r="M247" i="18"/>
  <c r="J12" i="23" s="1"/>
  <c r="L247" i="18"/>
  <c r="I12" i="23" s="1"/>
  <c r="M245" i="18"/>
  <c r="J10" i="23" s="1"/>
  <c r="L245" i="18"/>
  <c r="I10" i="23" s="1"/>
  <c r="M244" i="18"/>
  <c r="J9" i="23" s="1"/>
  <c r="L244" i="18"/>
  <c r="I9" i="23" s="1"/>
  <c r="M243" i="18"/>
  <c r="J8" i="23" s="1"/>
  <c r="L243" i="18"/>
  <c r="I8" i="23" s="1"/>
  <c r="M242" i="18"/>
  <c r="J7" i="23" s="1"/>
  <c r="L242" i="18"/>
  <c r="I7" i="23" s="1"/>
  <c r="M241" i="18"/>
  <c r="J6" i="23" s="1"/>
  <c r="L241" i="18"/>
  <c r="I6" i="23" s="1"/>
  <c r="R240" i="18"/>
  <c r="H5" i="23" s="1"/>
  <c r="Q240" i="18"/>
  <c r="G5" i="23" s="1"/>
  <c r="O240" i="18"/>
  <c r="E5" i="23" s="1"/>
  <c r="N240" i="18"/>
  <c r="D5" i="23" s="1"/>
  <c r="M240" i="18"/>
  <c r="J5" i="23" s="1"/>
  <c r="L240" i="18"/>
  <c r="I5" i="23" s="1"/>
  <c r="R239" i="18"/>
  <c r="H4" i="23" s="1"/>
  <c r="Q239" i="18"/>
  <c r="G4" i="23" s="1"/>
  <c r="O239" i="18"/>
  <c r="E4" i="23" s="1"/>
  <c r="N239" i="18"/>
  <c r="D4" i="23" s="1"/>
  <c r="M239" i="18"/>
  <c r="J4" i="23" s="1"/>
  <c r="L239" i="18"/>
  <c r="I4" i="23" s="1"/>
  <c r="G271" i="18"/>
  <c r="F271" i="18"/>
  <c r="G270" i="18"/>
  <c r="F270" i="18"/>
  <c r="G269" i="18"/>
  <c r="F269" i="18"/>
  <c r="G268" i="18"/>
  <c r="F268" i="18"/>
  <c r="G267" i="18"/>
  <c r="F267" i="18"/>
  <c r="G265" i="18"/>
  <c r="F265" i="18"/>
  <c r="G264" i="18"/>
  <c r="F264" i="18"/>
  <c r="G263" i="18"/>
  <c r="F263" i="18"/>
  <c r="G262" i="18"/>
  <c r="F262" i="18"/>
  <c r="G261" i="18"/>
  <c r="F261" i="18"/>
  <c r="G260" i="18"/>
  <c r="F260" i="18"/>
  <c r="E271" i="18"/>
  <c r="E270" i="18"/>
  <c r="D270" i="18"/>
  <c r="E269" i="18"/>
  <c r="E268" i="18"/>
  <c r="D268" i="18"/>
  <c r="E267" i="18"/>
  <c r="E265" i="18"/>
  <c r="D265" i="18"/>
  <c r="E264" i="18"/>
  <c r="E263" i="18"/>
  <c r="D263" i="18"/>
  <c r="E261" i="18"/>
  <c r="D261" i="18"/>
  <c r="E260" i="18"/>
  <c r="D271" i="18"/>
  <c r="D269" i="18"/>
  <c r="D267" i="18"/>
  <c r="D264" i="18"/>
  <c r="D260" i="18"/>
  <c r="U4" i="18"/>
  <c r="V4" i="18" s="1"/>
  <c r="U5" i="18"/>
  <c r="V5" i="18" s="1"/>
  <c r="U6" i="18"/>
  <c r="V6" i="18" s="1"/>
  <c r="U8" i="18"/>
  <c r="V8" i="18" s="1"/>
  <c r="U9" i="18"/>
  <c r="V9" i="18" s="1"/>
  <c r="U10" i="18"/>
  <c r="V10" i="18" s="1"/>
  <c r="U11" i="18"/>
  <c r="V11" i="18" s="1"/>
  <c r="U12" i="18"/>
  <c r="V12" i="18" s="1"/>
  <c r="U13" i="18"/>
  <c r="V13" i="18" s="1"/>
  <c r="U14" i="18"/>
  <c r="V14" i="18" s="1"/>
  <c r="U15" i="18"/>
  <c r="V15" i="18" s="1"/>
  <c r="U16" i="18"/>
  <c r="V16" i="18" s="1"/>
  <c r="U17" i="18"/>
  <c r="V17" i="18" s="1"/>
  <c r="U18" i="18"/>
  <c r="V18" i="18" s="1"/>
  <c r="U19" i="18"/>
  <c r="V19" i="18" s="1"/>
  <c r="U20" i="18"/>
  <c r="V20" i="18" s="1"/>
  <c r="U21" i="18"/>
  <c r="V21" i="18" s="1"/>
  <c r="U22" i="18"/>
  <c r="V22" i="18" s="1"/>
  <c r="U23" i="18"/>
  <c r="V23" i="18" s="1"/>
  <c r="U24" i="18"/>
  <c r="V24" i="18" s="1"/>
  <c r="U25" i="18"/>
  <c r="V25" i="18" s="1"/>
  <c r="U26" i="18"/>
  <c r="V26" i="18" s="1"/>
  <c r="U27" i="18"/>
  <c r="V27" i="18" s="1"/>
  <c r="U31" i="18"/>
  <c r="V31" i="18" s="1"/>
  <c r="U32" i="18"/>
  <c r="V32" i="18" s="1"/>
  <c r="U36" i="18"/>
  <c r="V36" i="18" s="1"/>
  <c r="U37" i="18"/>
  <c r="V37" i="18" s="1"/>
  <c r="U38" i="18"/>
  <c r="V38" i="18" s="1"/>
  <c r="U39" i="18"/>
  <c r="V39" i="18" s="1"/>
  <c r="U40" i="18"/>
  <c r="V40" i="18" s="1"/>
  <c r="U41" i="18"/>
  <c r="V41" i="18" s="1"/>
  <c r="U42" i="18"/>
  <c r="V42" i="18" s="1"/>
  <c r="U43" i="18"/>
  <c r="V43" i="18" s="1"/>
  <c r="U44" i="18"/>
  <c r="V44" i="18" s="1"/>
  <c r="U45" i="18"/>
  <c r="V45" i="18" s="1"/>
  <c r="U46" i="18"/>
  <c r="V46" i="18" s="1"/>
  <c r="U47" i="18"/>
  <c r="V47" i="18" s="1"/>
  <c r="U48" i="18"/>
  <c r="V48" i="18" s="1"/>
  <c r="U49" i="18"/>
  <c r="V49" i="18" s="1"/>
  <c r="U50" i="18"/>
  <c r="V50" i="18" s="1"/>
  <c r="U51" i="18"/>
  <c r="V51" i="18" s="1"/>
  <c r="U52" i="18"/>
  <c r="V52" i="18" s="1"/>
  <c r="U53" i="18"/>
  <c r="V53" i="18" s="1"/>
  <c r="U54" i="18"/>
  <c r="V54" i="18" s="1"/>
  <c r="U55" i="18"/>
  <c r="V55" i="18" s="1"/>
  <c r="U56" i="18"/>
  <c r="V56" i="18" s="1"/>
  <c r="U57" i="18"/>
  <c r="V57" i="18" s="1"/>
  <c r="U58" i="18"/>
  <c r="V58" i="18" s="1"/>
  <c r="U59" i="18"/>
  <c r="V59" i="18" s="1"/>
  <c r="U65" i="18"/>
  <c r="V65" i="18" s="1"/>
  <c r="F240" i="18"/>
  <c r="G240" i="18"/>
  <c r="G259" i="18"/>
  <c r="F259" i="18"/>
  <c r="E259" i="18"/>
  <c r="W65" i="18"/>
  <c r="W59" i="18"/>
  <c r="W58" i="18"/>
  <c r="W57" i="18"/>
  <c r="W56" i="18"/>
  <c r="W55" i="18"/>
  <c r="W54" i="18"/>
  <c r="W53" i="18"/>
  <c r="W52" i="18"/>
  <c r="W51" i="18"/>
  <c r="W50" i="18"/>
  <c r="W49" i="18"/>
  <c r="W48" i="18"/>
  <c r="W47" i="18"/>
  <c r="W46" i="18"/>
  <c r="W45" i="18"/>
  <c r="W44" i="18"/>
  <c r="W43" i="18"/>
  <c r="W42" i="18"/>
  <c r="W41" i="18"/>
  <c r="W40" i="18"/>
  <c r="W39" i="18"/>
  <c r="W38" i="18"/>
  <c r="W37" i="18"/>
  <c r="W36" i="18"/>
  <c r="W32" i="18"/>
  <c r="W31" i="18"/>
  <c r="W27" i="18"/>
  <c r="W26" i="18"/>
  <c r="W25" i="18"/>
  <c r="W24" i="18"/>
  <c r="W23" i="18"/>
  <c r="W22" i="18"/>
  <c r="W21" i="18"/>
  <c r="W20" i="18"/>
  <c r="W19" i="18"/>
  <c r="W18" i="18"/>
  <c r="W17" i="18"/>
  <c r="W16" i="18"/>
  <c r="W15" i="18"/>
  <c r="W14" i="18"/>
  <c r="W13" i="18"/>
  <c r="W12" i="18"/>
  <c r="W11" i="18"/>
  <c r="W10" i="18"/>
  <c r="W9" i="18"/>
  <c r="W8" i="18"/>
  <c r="W6" i="18"/>
  <c r="W5" i="18"/>
  <c r="W4" i="18"/>
  <c r="K260" i="18"/>
  <c r="L5" i="23" s="1"/>
  <c r="L265" i="18"/>
  <c r="M10" i="23" s="1"/>
  <c r="L264" i="18"/>
  <c r="M9" i="23" s="1"/>
  <c r="L263" i="18"/>
  <c r="M8" i="23" s="1"/>
  <c r="L262" i="18"/>
  <c r="M7" i="23" s="1"/>
  <c r="L261" i="18"/>
  <c r="M6" i="23" s="1"/>
  <c r="L260" i="18"/>
  <c r="M5" i="23" s="1"/>
  <c r="K265" i="18"/>
  <c r="L10" i="23" s="1"/>
  <c r="K264" i="18"/>
  <c r="L9" i="23" s="1"/>
  <c r="K263" i="18"/>
  <c r="L8" i="23" s="1"/>
  <c r="K262" i="18"/>
  <c r="L7" i="23" s="1"/>
  <c r="K261" i="18"/>
  <c r="L6" i="23" s="1"/>
  <c r="L259" i="18"/>
  <c r="M4" i="23" s="1"/>
  <c r="L4" i="23"/>
  <c r="D231" i="18"/>
  <c r="W227" i="18"/>
  <c r="D236" i="18"/>
  <c r="K232" i="18"/>
  <c r="J232" i="18"/>
  <c r="I232" i="18"/>
  <c r="F232" i="18"/>
  <c r="D232" i="18"/>
  <c r="K231" i="18"/>
  <c r="J231" i="18"/>
  <c r="I231" i="18"/>
  <c r="F231"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I145" i="17" s="1"/>
  <c r="H134" i="17"/>
  <c r="E134" i="17"/>
  <c r="D134" i="17"/>
  <c r="C134" i="17"/>
  <c r="C145" i="17" s="1"/>
  <c r="J133" i="17"/>
  <c r="I133" i="17"/>
  <c r="H133" i="17"/>
  <c r="E133" i="17"/>
  <c r="D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E122" i="17"/>
  <c r="D122" i="17"/>
  <c r="C122" i="17"/>
  <c r="P121" i="17"/>
  <c r="P122" i="17" s="1"/>
  <c r="O121" i="17"/>
  <c r="N121" i="17"/>
  <c r="N122" i="17" s="1"/>
  <c r="K121" i="17"/>
  <c r="J121" i="17"/>
  <c r="I121" i="17"/>
  <c r="H121" i="17"/>
  <c r="F121" i="17"/>
  <c r="E121" i="17"/>
  <c r="D121" i="17"/>
  <c r="C121" i="17"/>
  <c r="C128" i="17" s="1"/>
  <c r="P120" i="17"/>
  <c r="O120" i="17"/>
  <c r="N120" i="17"/>
  <c r="K120" i="17"/>
  <c r="J120" i="17"/>
  <c r="I120" i="17"/>
  <c r="H120" i="17"/>
  <c r="F120" i="17"/>
  <c r="E120" i="17"/>
  <c r="D120" i="17"/>
  <c r="C120" i="17"/>
  <c r="K119" i="17"/>
  <c r="J119" i="17"/>
  <c r="I119" i="17"/>
  <c r="H119" i="17"/>
  <c r="F119" i="17"/>
  <c r="E119" i="17"/>
  <c r="D119" i="17"/>
  <c r="C119" i="17"/>
  <c r="K118" i="17"/>
  <c r="J118" i="17"/>
  <c r="I118" i="17"/>
  <c r="H118" i="17"/>
  <c r="F118" i="17"/>
  <c r="E118" i="17"/>
  <c r="D118" i="17"/>
  <c r="C118" i="17"/>
  <c r="K117" i="17"/>
  <c r="J117" i="17"/>
  <c r="I117" i="17"/>
  <c r="H117" i="17"/>
  <c r="F117" i="17"/>
  <c r="E117" i="17"/>
  <c r="D117" i="17"/>
  <c r="C117" i="17"/>
  <c r="K116" i="17"/>
  <c r="J116" i="17"/>
  <c r="I116" i="17"/>
  <c r="H116" i="17"/>
  <c r="F116" i="17"/>
  <c r="E116" i="17"/>
  <c r="D116" i="17"/>
  <c r="C116" i="17"/>
  <c r="P114" i="17"/>
  <c r="P115" i="17" s="1"/>
  <c r="O114" i="17"/>
  <c r="N114" i="17"/>
  <c r="N115" i="17" s="1"/>
  <c r="P113" i="17"/>
  <c r="O113" i="17"/>
  <c r="N113" i="17"/>
  <c r="C113" i="17"/>
  <c r="Q109" i="17"/>
  <c r="P109" i="17"/>
  <c r="O109" i="17"/>
  <c r="N109" i="17"/>
  <c r="J109" i="17"/>
  <c r="I109" i="17"/>
  <c r="H109" i="17"/>
  <c r="F109" i="17"/>
  <c r="D109" i="17"/>
  <c r="Q108" i="17"/>
  <c r="P108" i="17"/>
  <c r="O108" i="17"/>
  <c r="N108" i="17"/>
  <c r="J108" i="17"/>
  <c r="J110" i="17" s="1"/>
  <c r="I108" i="17"/>
  <c r="H108" i="17"/>
  <c r="H110" i="17" s="1"/>
  <c r="F108" i="17"/>
  <c r="D108" i="17"/>
  <c r="D110" i="17" s="1"/>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F135" i="17" l="1"/>
  <c r="F141" i="17"/>
  <c r="F140" i="17"/>
  <c r="F110" i="17"/>
  <c r="I128" i="17"/>
  <c r="O122" i="17"/>
  <c r="J128" i="17"/>
  <c r="F128" i="17"/>
  <c r="D145" i="17"/>
  <c r="E145" i="17"/>
  <c r="F139" i="17"/>
  <c r="R108" i="17"/>
  <c r="N110" i="17"/>
  <c r="D128" i="17"/>
  <c r="E128" i="17"/>
  <c r="H145" i="17"/>
  <c r="K138" i="17" s="1"/>
  <c r="J259" i="18"/>
  <c r="I110" i="17"/>
  <c r="O115" i="17"/>
  <c r="N116" i="17" s="1"/>
  <c r="H128" i="17"/>
  <c r="R109" i="17"/>
  <c r="H17" i="23"/>
  <c r="D252" i="18"/>
  <c r="L17" i="23"/>
  <c r="K4" i="23"/>
  <c r="O4" i="23" s="1"/>
  <c r="M17" i="23"/>
  <c r="I17" i="23"/>
  <c r="G17" i="23"/>
  <c r="J17" i="23"/>
  <c r="G252" i="18"/>
  <c r="J251" i="18"/>
  <c r="C16" i="23" s="1"/>
  <c r="J266" i="18"/>
  <c r="K11" i="23" s="1"/>
  <c r="O11" i="23" s="1"/>
  <c r="A34" i="18"/>
  <c r="A35" i="18" s="1"/>
  <c r="A36" i="18" s="1"/>
  <c r="A37" i="18" s="1"/>
  <c r="A38" i="18" s="1"/>
  <c r="A39" i="18" s="1"/>
  <c r="A40" i="18" s="1"/>
  <c r="A41" i="18" s="1"/>
  <c r="A42" i="18" s="1"/>
  <c r="A43" i="18" s="1"/>
  <c r="A44" i="18" s="1"/>
  <c r="A45" i="18" s="1"/>
  <c r="A46"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7" i="18" s="1"/>
  <c r="A78" i="18" s="1"/>
  <c r="A79" i="18" s="1"/>
  <c r="A80" i="18" s="1"/>
  <c r="F17" i="23"/>
  <c r="D17" i="23"/>
  <c r="D234" i="18"/>
  <c r="E17" i="23"/>
  <c r="I252" i="18"/>
  <c r="F129" i="17"/>
  <c r="F143" i="17"/>
  <c r="F144" i="17"/>
  <c r="F142" i="17"/>
  <c r="F137" i="17"/>
  <c r="J145" i="17"/>
  <c r="H111" i="17"/>
  <c r="F133" i="17"/>
  <c r="F134" i="17"/>
  <c r="K128" i="17"/>
  <c r="N123" i="17"/>
  <c r="F136" i="17"/>
  <c r="F138" i="17"/>
  <c r="R110" i="17"/>
  <c r="K136" i="17"/>
  <c r="K141" i="17"/>
  <c r="J239" i="18"/>
  <c r="C4" i="23" s="1"/>
  <c r="J249" i="18"/>
  <c r="C14" i="23" s="1"/>
  <c r="J242" i="18"/>
  <c r="C7" i="23" s="1"/>
  <c r="J244" i="18"/>
  <c r="C9" i="23" s="1"/>
  <c r="P252" i="18"/>
  <c r="J247" i="18"/>
  <c r="C12" i="23" s="1"/>
  <c r="Q252" i="18"/>
  <c r="C252" i="18"/>
  <c r="J241" i="18"/>
  <c r="C6" i="23" s="1"/>
  <c r="J243" i="18"/>
  <c r="C8" i="23" s="1"/>
  <c r="J245" i="18"/>
  <c r="C10" i="23" s="1"/>
  <c r="J248" i="18"/>
  <c r="C13" i="23" s="1"/>
  <c r="J250" i="18"/>
  <c r="C15" i="23" s="1"/>
  <c r="J246" i="18"/>
  <c r="C11" i="23" s="1"/>
  <c r="G272" i="18"/>
  <c r="J261" i="18"/>
  <c r="K6" i="23" s="1"/>
  <c r="O6" i="23" s="1"/>
  <c r="J268" i="18"/>
  <c r="K13" i="23" s="1"/>
  <c r="O13" i="23" s="1"/>
  <c r="O252" i="18"/>
  <c r="E252" i="18"/>
  <c r="F252" i="18"/>
  <c r="J262" i="18"/>
  <c r="K7" i="23" s="1"/>
  <c r="O7" i="23" s="1"/>
  <c r="L234" i="18"/>
  <c r="J264" i="18"/>
  <c r="K9" i="23" s="1"/>
  <c r="O9" i="23" s="1"/>
  <c r="M252" i="18"/>
  <c r="R252" i="18"/>
  <c r="K234" i="18"/>
  <c r="J240" i="18"/>
  <c r="C5" i="23" s="1"/>
  <c r="J263" i="18"/>
  <c r="K8" i="23" s="1"/>
  <c r="O8" i="23" s="1"/>
  <c r="J270" i="18"/>
  <c r="K15" i="23" s="1"/>
  <c r="O15" i="23" s="1"/>
  <c r="J269" i="18"/>
  <c r="K14" i="23" s="1"/>
  <c r="O14" i="23" s="1"/>
  <c r="J271" i="18"/>
  <c r="K16" i="23" s="1"/>
  <c r="O16" i="23" s="1"/>
  <c r="F234" i="18"/>
  <c r="J234" i="18"/>
  <c r="J267" i="18"/>
  <c r="K12" i="23" s="1"/>
  <c r="O12" i="23" s="1"/>
  <c r="J265" i="18"/>
  <c r="K10" i="23" s="1"/>
  <c r="O10" i="23" s="1"/>
  <c r="L252" i="18"/>
  <c r="N252" i="18"/>
  <c r="I234" i="18"/>
  <c r="J260" i="18"/>
  <c r="K5" i="23" s="1"/>
  <c r="O5" i="23" s="1"/>
  <c r="D272" i="18"/>
  <c r="E272" i="18"/>
  <c r="K272" i="18"/>
  <c r="L272" i="18"/>
  <c r="F272" i="18"/>
  <c r="K139" i="17" l="1"/>
  <c r="K144" i="17"/>
  <c r="K142" i="17"/>
  <c r="K137" i="17"/>
  <c r="K133" i="17"/>
  <c r="K140" i="17"/>
  <c r="K143" i="17"/>
  <c r="K135" i="17"/>
  <c r="K134" i="17"/>
  <c r="F145" i="17"/>
  <c r="K245" i="18"/>
  <c r="G253" i="18"/>
  <c r="K17" i="23"/>
  <c r="O17" i="23" s="1"/>
  <c r="C17" i="23"/>
  <c r="A81" i="18"/>
  <c r="A82"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2" i="18" s="1"/>
  <c r="A123" i="18" s="1"/>
  <c r="A124" i="18" s="1"/>
  <c r="A125" i="18" s="1"/>
  <c r="A126" i="18" s="1"/>
  <c r="A128" i="18" s="1"/>
  <c r="A129" i="18" s="1"/>
  <c r="A130" i="18" s="1"/>
  <c r="A131" i="18" s="1"/>
  <c r="A132" i="18" s="1"/>
  <c r="A133" i="18" s="1"/>
  <c r="A134" i="18" s="1"/>
  <c r="A135" i="18" s="1"/>
  <c r="A136" i="18" s="1"/>
  <c r="A137" i="18" s="1"/>
  <c r="A138" i="18" s="1"/>
  <c r="A139" i="18" s="1"/>
  <c r="A141" i="18" s="1"/>
  <c r="A142" i="18" s="1"/>
  <c r="A143" i="18" s="1"/>
  <c r="A144" i="18" s="1"/>
  <c r="A146" i="18" s="1"/>
  <c r="A148" i="18" s="1"/>
  <c r="A150" i="18" s="1"/>
  <c r="A151" i="18" s="1"/>
  <c r="A152" i="18" s="1"/>
  <c r="A153" i="18" s="1"/>
  <c r="A154" i="18" s="1"/>
  <c r="A155" i="18" s="1"/>
  <c r="A156" i="18" s="1"/>
  <c r="A157" i="18" s="1"/>
  <c r="A158" i="18" s="1"/>
  <c r="A161" i="18" s="1"/>
  <c r="A163" i="18" s="1"/>
  <c r="A165" i="18" s="1"/>
  <c r="A167" i="18" s="1"/>
  <c r="A171" i="18" s="1"/>
  <c r="K145" i="17"/>
  <c r="J252" i="18"/>
  <c r="J235" i="18"/>
  <c r="J272" i="18"/>
  <c r="L253" i="18"/>
  <c r="G273" i="18"/>
  <c r="A177" i="18" l="1"/>
  <c r="A181" i="18" l="1"/>
  <c r="A185" i="18" s="1"/>
  <c r="A187" i="18" s="1"/>
  <c r="A189" i="18" s="1"/>
  <c r="A178" i="18"/>
  <c r="A179" i="18" s="1"/>
  <c r="A191" i="18" l="1"/>
  <c r="A192" i="18" s="1"/>
  <c r="A193" i="18" l="1"/>
  <c r="A194" i="18" s="1"/>
  <c r="A195" i="18" l="1"/>
  <c r="A196" i="18" s="1"/>
  <c r="A203" i="18" l="1"/>
  <c r="A204" i="18" s="1"/>
  <c r="A206" i="18" s="1"/>
  <c r="A208" i="18" s="1"/>
  <c r="A201" i="18"/>
  <c r="A210" i="18" l="1"/>
  <c r="A211" i="18" s="1"/>
  <c r="A215" i="18" l="1"/>
  <c r="A216" i="18" s="1"/>
  <c r="A217" i="18" s="1"/>
  <c r="A218" i="18" s="1"/>
  <c r="A219" i="18" s="1"/>
  <c r="A220" i="18" s="1"/>
  <c r="A221" i="18" s="1"/>
  <c r="A222" i="18" s="1"/>
  <c r="A223" i="18" s="1"/>
  <c r="A224" i="18" s="1"/>
  <c r="A225" i="18" s="1"/>
</calcChain>
</file>

<file path=xl/comments1.xml><?xml version="1.0" encoding="utf-8"?>
<comments xmlns="http://schemas.openxmlformats.org/spreadsheetml/2006/main">
  <authors>
    <author>MARIA HELENA PEDRAZA</author>
    <author>CXHormaza</author>
  </authors>
  <commentList>
    <comment ref="I3" author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1" authorId="1">
      <text>
        <r>
          <rPr>
            <b/>
            <sz val="9"/>
            <color indexed="81"/>
            <rFont val="Tahoma"/>
            <family val="2"/>
          </rPr>
          <t>CXHormaza:</t>
        </r>
        <r>
          <rPr>
            <sz val="9"/>
            <color indexed="81"/>
            <rFont val="Tahoma"/>
            <family val="2"/>
          </rPr>
          <t xml:space="preserve">
Se ajusta fecha cambiando la inicial del 31 de marzo 2016.</t>
        </r>
      </text>
    </comment>
    <comment ref="O126" authorId="1">
      <text>
        <r>
          <rPr>
            <b/>
            <sz val="9"/>
            <color indexed="81"/>
            <rFont val="Tahoma"/>
            <family val="2"/>
          </rPr>
          <t>CXHormaza:</t>
        </r>
        <r>
          <rPr>
            <sz val="9"/>
            <color indexed="81"/>
            <rFont val="Tahoma"/>
            <family val="2"/>
          </rPr>
          <t xml:space="preserve">
Se ajusto la numeración de la acción de 5 a 6</t>
        </r>
      </text>
    </comment>
    <comment ref="P170" authorId="0">
      <text>
        <r>
          <rPr>
            <b/>
            <sz val="9"/>
            <color indexed="81"/>
            <rFont val="Tahoma"/>
            <family val="2"/>
          </rPr>
          <t>MARIA HELENA PEDRAZA:</t>
        </r>
        <r>
          <rPr>
            <sz val="9"/>
            <color indexed="81"/>
            <rFont val="Tahoma"/>
            <family val="2"/>
          </rPr>
          <t xml:space="preserve">
Se amplia fecha al 30may2016</t>
        </r>
      </text>
    </comment>
    <comment ref="P171" authorId="0">
      <text>
        <r>
          <rPr>
            <b/>
            <sz val="9"/>
            <color indexed="81"/>
            <rFont val="Tahoma"/>
            <family val="2"/>
          </rPr>
          <t>MARIA HELENA PEDRAZA:</t>
        </r>
        <r>
          <rPr>
            <sz val="9"/>
            <color indexed="81"/>
            <rFont val="Tahoma"/>
            <family val="2"/>
          </rPr>
          <t xml:space="preserve">
Se amplia fecha al 30may2016</t>
        </r>
      </text>
    </comment>
  </commentList>
</comments>
</file>

<file path=xl/sharedStrings.xml><?xml version="1.0" encoding="utf-8"?>
<sst xmlns="http://schemas.openxmlformats.org/spreadsheetml/2006/main" count="3054" uniqueCount="767">
  <si>
    <t>Proceso</t>
  </si>
  <si>
    <t>Tema</t>
  </si>
  <si>
    <t>Reasentamientos Humanos</t>
  </si>
  <si>
    <t>Plan de Mejoramiento</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</si>
  <si>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</si>
  <si>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</si>
  <si>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</si>
  <si>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</si>
  <si>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</si>
  <si>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</si>
  <si>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</si>
  <si>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</si>
  <si>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PIGA 2012: 3. Contratar la recolección y tratamiento de RAEES.</t>
  </si>
  <si>
    <t>Faltan de documentos soporte en algunas carpetas.</t>
  </si>
  <si>
    <t xml:space="preserve">Determinar el cumplimiento del procedimiento establecido en la Entidad para la vinculación, permanencia y retiro </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</si>
  <si>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</si>
  <si>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</si>
  <si>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</si>
  <si>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</si>
  <si>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</si>
  <si>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</si>
  <si>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</si>
  <si>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</si>
  <si>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Se evidencia distribución inequitativa de procesos entre los abogados a cargo de la representación judicial de la Entidad.</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</si>
  <si>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</si>
  <si>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</si>
  <si>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</si>
  <si>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</si>
  <si>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</si>
  <si>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</si>
  <si>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</si>
  <si>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</si>
  <si>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</si>
  <si>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</si>
  <si>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</si>
  <si>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</si>
  <si>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</si>
  <si>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</si>
  <si>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No se tiene formulado un plan de mejoramiento producto de la autoevaluación para el procedimiento auditado.</t>
  </si>
  <si>
    <t>Tipo Auditoria</t>
  </si>
  <si>
    <t>Auditoria</t>
  </si>
  <si>
    <t>Especial</t>
  </si>
  <si>
    <t>Tipo Hallazgo</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</si>
  <si>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</si>
  <si>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</si>
  <si>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</si>
  <si>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</si>
  <si>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</si>
  <si>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</si>
  <si>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</si>
  <si>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</si>
  <si>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</si>
  <si>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</si>
  <si>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</si>
  <si>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</si>
  <si>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</si>
  <si>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</si>
  <si>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</si>
  <si>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</si>
  <si>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</si>
  <si>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</si>
  <si>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</si>
  <si>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</si>
  <si>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</si>
  <si>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</si>
  <si>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</si>
  <si>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</si>
  <si>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</si>
  <si>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</si>
  <si>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</si>
  <si>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</si>
  <si>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</si>
  <si>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</si>
  <si>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</si>
  <si>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</si>
  <si>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</si>
  <si>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</si>
  <si>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</si>
  <si>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</si>
  <si>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</si>
  <si>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</si>
  <si>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</si>
  <si>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</si>
  <si>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</si>
  <si>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</si>
  <si>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</si>
  <si>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</si>
  <si>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</si>
  <si>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</si>
  <si>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</si>
  <si>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</si>
  <si>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</si>
  <si>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</si>
  <si>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</si>
  <si>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</si>
  <si>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</si>
  <si>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</si>
  <si>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</si>
  <si>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</si>
  <si>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</si>
  <si>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</si>
  <si>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Corrección</t>
  </si>
  <si>
    <t>INCLUIR INDICADOR</t>
  </si>
  <si>
    <r>
      <t xml:space="preserve">Fecha finalización programada de Cierre acción
</t>
    </r>
    <r>
      <rPr>
        <sz val="8"/>
        <color theme="1"/>
        <rFont val="Arial"/>
        <family val="2"/>
      </rPr>
      <t>dd/mmm/yyyy</t>
    </r>
  </si>
  <si>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</si>
  <si>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</si>
  <si>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</si>
  <si>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</si>
  <si>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</si>
  <si>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</si>
  <si>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</si>
  <si>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</si>
  <si>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</si>
  <si>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</si>
  <si>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</si>
  <si>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</si>
  <si>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</si>
  <si>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</si>
  <si>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</si>
  <si>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</si>
  <si>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</si>
  <si>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Formular y/o ajustar el Plan de Acción de la entidad incluyendo indicadores que den cuenta del cumplimiento del PIRE.</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</si>
  <si>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</si>
  <si>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</si>
  <si>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</si>
  <si>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</si>
  <si>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</si>
  <si>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</si>
  <si>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</si>
  <si>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</si>
  <si>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</si>
  <si>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</si>
  <si>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</si>
  <si>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</si>
  <si>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</si>
  <si>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</si>
  <si>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</si>
  <si>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</si>
  <si>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</si>
  <si>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</si>
  <si>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</si>
  <si>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</si>
  <si>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</si>
  <si>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</si>
  <si>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SIPROJWEB no se encuentra actualizado.
No se lleva a cabo el procedimiento de Representación judicial</t>
  </si>
  <si>
    <t>RESUMEN ACCIONES</t>
  </si>
  <si>
    <t>Documentar las acciones de mejoras de acuerdo a establecido por el Sistema de Gestión de Calidad</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</si>
  <si>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</si>
  <si>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</si>
  <si>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</si>
  <si>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</si>
  <si>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</si>
  <si>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</si>
  <si>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</si>
  <si>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</si>
  <si>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</si>
  <si>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Encuesta del Modelo de Control Interno del DAFP</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</si>
  <si>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</si>
  <si>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</si>
  <si>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</si>
  <si>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</si>
  <si>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</si>
  <si>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</si>
  <si>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</si>
  <si>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</si>
  <si>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</si>
  <si>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</si>
  <si>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</si>
  <si>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</si>
  <si>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</si>
  <si>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</si>
  <si>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</si>
  <si>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Formular un plan de acción, con tiempos, responsables y actividades que permitan la materialización de la política de responsabilidad social, participación ciudadana y control social, teniendo en cuenta lo contemplado en el Decreto 371 de 2010</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</si>
  <si>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</si>
  <si>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</si>
  <si>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</si>
  <si>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</si>
  <si>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</si>
  <si>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</si>
  <si>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</si>
  <si>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</si>
  <si>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</si>
  <si>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</si>
  <si>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</si>
  <si>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</si>
  <si>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</si>
  <si>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</si>
  <si>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</si>
  <si>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</si>
  <si>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 xml:space="preserve">Auditoria Institucional/Auditoria Proceso
</t>
  </si>
  <si>
    <t>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</si>
  <si>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</si>
  <si>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</si>
  <si>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</si>
  <si>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</si>
  <si>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</si>
  <si>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</si>
  <si>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</si>
  <si>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</si>
  <si>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</si>
  <si>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</si>
  <si>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</si>
  <si>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</si>
  <si>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</si>
  <si>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</si>
  <si>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</si>
  <si>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r>
      <t xml:space="preserve">Capacitar a los encargados de las Direcciones y Subdirecciones en los procedimientos y competencias para la contratación de la entidad.
</t>
    </r>
    <r>
      <rPr>
        <sz val="10"/>
        <color rgb="FF00B0F0"/>
        <rFont val="Arial"/>
        <family val="2"/>
      </rPr>
      <t>Enviar solicitud para el traslado de este hallazgo al responsable de la implementación del Hallazgo ( Subdirección Financiera)
DEJAR LA ACCIÓN A SEGUIR</t>
    </r>
  </si>
  <si>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</si>
  <si>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</si>
  <si>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</si>
  <si>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</si>
  <si>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</si>
  <si>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</si>
  <si>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</si>
  <si>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</si>
  <si>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</si>
  <si>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</si>
  <si>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</si>
  <si>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</si>
  <si>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</si>
  <si>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</si>
  <si>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</si>
  <si>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</si>
  <si>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</si>
  <si>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</si>
  <si>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</si>
  <si>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</si>
  <si>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Revisar, analizar, ajustar y mejorar la  articulación de los instrumentos de seguimiento, planes de acción y demás acciones formuladas con el fin de armonizar las acciones.
Se verificara especialmente los instrumentos de seguimiento al componente de servicio al ciudadano.</t>
  </si>
  <si>
    <t xml:space="preserve">
Ajustar las terminología con la cual se denominará al grupo de servicio al ciudadano y ajustar los instrumentos</t>
  </si>
  <si>
    <t>OAP</t>
  </si>
  <si>
    <t xml:space="preserve">Solicitar a los líderes de proceso que tengan en cuenta al formular el plan de la vigencia actual  la formulación y el seguimiento de las vigencias anteriores para hacer el análisis y manejar la continuidad e las acciones. </t>
  </si>
  <si>
    <t>Solicitar con el seguimiento al plan anticorrupción, la referencia de donde se encuentran las evidencias y soportes que den cuenta de las acciones ejecutadas por las direcciones misionales para garantizar los procesos de participación ciudadana</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</si>
  <si>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</si>
  <si>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</si>
  <si>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</si>
  <si>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Se  solicita reprogramación de fecha, para el 30/10/2014
de la Acción 2013: Realizar un análisis detallado a la Política de Responsabilidad Social, participación ciudadana y control social de la CVP,  determinando los cambios que se requieran y de ser necesario reformularla</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</si>
  <si>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</si>
  <si>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</si>
  <si>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</si>
  <si>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</si>
  <si>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</si>
  <si>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</si>
  <si>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</si>
  <si>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</si>
  <si>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Álvaro Leonardo Garnica Guevara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</si>
  <si>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</si>
  <si>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</si>
  <si>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</si>
  <si>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</si>
  <si>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</si>
  <si>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</si>
  <si>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Enviar alertas tempranas a los líder de proceso de las acciones próximas a vencer registradas en los planes de mejoramiento de las auditorías al decreto 371 de 2010 artículo 4</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</si>
  <si>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</si>
  <si>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</si>
  <si>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</si>
  <si>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</si>
  <si>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Estado de las Acciones</t>
  </si>
  <si>
    <t>Establecer un cronograma de actividades a desarrollar para culminar la organización de los expedientes de Urbanizaciones.</t>
  </si>
  <si>
    <t xml:space="preserve">Subdirectora Financiera, Subdirección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</si>
  <si>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</si>
  <si>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</si>
  <si>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</si>
  <si>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</si>
  <si>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</si>
  <si>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</si>
  <si>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</si>
  <si>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</si>
  <si>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</si>
  <si>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</si>
  <si>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</si>
  <si>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</si>
  <si>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</si>
  <si>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</si>
  <si>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</si>
  <si>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</si>
  <si>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</si>
  <si>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</si>
  <si>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</si>
  <si>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</si>
  <si>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</si>
  <si>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</si>
  <si>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</si>
  <si>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</si>
  <si>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</si>
  <si>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</si>
  <si>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</si>
  <si>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Realizar un taller semestral para  reforzar las conocimientos sobre cada uno de los tipos de documentos que el ciudadano radica en la entidad para mejorar la asignación de los mismos.</t>
  </si>
  <si>
    <t>Secretario Comité de conciliación</t>
  </si>
  <si>
    <t>Se ajustara el formato a lo establecido en calidad.</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</si>
  <si>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</si>
  <si>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</si>
  <si>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</si>
  <si>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</si>
  <si>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Contratación personal necesario</t>
  </si>
  <si>
    <t>Actualización del SIPROJ (ver plan de mejoramiento con la Contraloría)</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</si>
  <si>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</si>
  <si>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</si>
  <si>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</si>
  <si>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</si>
  <si>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</si>
  <si>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</si>
  <si>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</si>
  <si>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</si>
  <si>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</si>
  <si>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</si>
  <si>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</si>
  <si>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</si>
  <si>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</si>
  <si>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</si>
  <si>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</si>
  <si>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</si>
  <si>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</si>
  <si>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</si>
  <si>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</si>
  <si>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</si>
  <si>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</si>
  <si>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</si>
  <si>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</si>
  <si>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</si>
  <si>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</si>
  <si>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</si>
  <si>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</si>
  <si>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</si>
  <si>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</si>
  <si>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</si>
  <si>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</si>
  <si>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</si>
  <si>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
2. Profesional financiero de la DMV. 
Profesional encargado de planeación en la DMV.
</t>
  </si>
  <si>
    <t xml:space="preserve">1. Revisar y/o ajustar las actividades del proyecto 7328 a cargo de la Dirección de Mejoramiento de Vivienda, para la vigencia 2015 en el Plan Operativo Anual.
</t>
  </si>
  <si>
    <t xml:space="preserve">
2. Establecer presupuesto a cada una de las actividades del proyecto 7328 a cargo de la Dirección de Mejoramiento de Vivienda.
</t>
  </si>
  <si>
    <t>Dirección de Urbanizaciones y Titulación</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</si>
  <si>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</si>
  <si>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</si>
  <si>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</si>
  <si>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</si>
  <si>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</si>
  <si>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</si>
  <si>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26/11/2014
22/04/2015</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</si>
  <si>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</si>
  <si>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</si>
  <si>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</si>
  <si>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</si>
  <si>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</si>
  <si>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</si>
  <si>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 xml:space="preserve">Socializar a través de los enlaces la correcta aplicación de las TRD aprobadas.
</t>
  </si>
  <si>
    <t>Actualizar la Guía de Manejo de imagen CVP, donde se incluya todos los logos utilizados actualmente por la entidad.</t>
  </si>
  <si>
    <t>Oficina Asesora de Planeación -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</si>
  <si>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</si>
  <si>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</si>
  <si>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</si>
  <si>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</si>
  <si>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</si>
  <si>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</si>
  <si>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</si>
  <si>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</si>
  <si>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</si>
  <si>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</si>
  <si>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</si>
  <si>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</si>
  <si>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</si>
  <si>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 xml:space="preserve">Dirección Corporativa y CID
OAP
</t>
  </si>
  <si>
    <t>Dirección Corporativa y CID</t>
  </si>
  <si>
    <t> El 24 de abril se realizó el primer taller sobre los tipos de documentos.
4 de Septiembre de 2015:
Se solicita el cambio de responsable atendiendo al nuevo líder del proceso Gestión corporativa.</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</si>
  <si>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</si>
  <si>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</si>
  <si>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Oportunidad de mejora</t>
  </si>
  <si>
    <t>Subdirector Financiero 
Subdirector Administrativo</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</si>
  <si>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</si>
  <si>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</si>
  <si>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</si>
  <si>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</si>
  <si>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Validar los documentos y/o registros evidenciados  en el procedimiento vs el listado maestro de documentos con el fin de garantizar la codificación de los registros</t>
  </si>
  <si>
    <t>Cuando se realice la próxima modificación de procedimiento</t>
  </si>
  <si>
    <t>Realizar el levantamiento y formulación de la Tabla de Retención Documental para el proceso</t>
  </si>
  <si>
    <t>Auditoria combinada Gestión Humana</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</si>
  <si>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</si>
  <si>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 xml:space="preserve">01/12/2015:
Aunque la matriz está definida la medición no es coherente con la caracterización, esta debilidad se refleja en el informe de diciembre de 2015. </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</si>
  <si>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</si>
  <si>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</si>
  <si>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Formalizar la revisión anual del plan estratégico de la entidad.</t>
  </si>
  <si>
    <t>Revisar y corregir en el listado maestro y/o en a carpeta de calidad los hallazgos detectados por Control Interno (en el plan de mejoramiento del proceso se generó una acción por cada error encontrado)</t>
  </si>
  <si>
    <t>Se debe continuar con la labor de identificación, organización y archivo de los expedientes que contienen información histórica extensa.</t>
  </si>
  <si>
    <t xml:space="preserve">La Dirección de Urbanizaciones y Titulación presenta un cronograma con actividades que se desarrollarán durante 2016. Sin embargo una de las actividades propuestas se desarrollará en 2017.
Esta acción correctiva se deja abierta hasta diciembre de 2016.
</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</si>
  <si>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</si>
  <si>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 xml:space="preserve">27 de noviembre de 2015: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</si>
  <si>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</si>
  <si>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</si>
  <si>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acerca de construir la coherencia institucional de acuerdo con la nueva planeación estratégica, los objetivos de los procesos y las herramientas que permitan verificar el cumplimiento de objetivos y metas.</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</si>
  <si>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</si>
  <si>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</si>
  <si>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</si>
  <si>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</si>
  <si>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</si>
  <si>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</si>
  <si>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</si>
  <si>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</si>
  <si>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</si>
  <si>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</si>
  <si>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</si>
  <si>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</si>
  <si>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</si>
  <si>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</si>
  <si>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</si>
  <si>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</si>
  <si>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</si>
  <si>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Sin reporte de seguimiento.</t>
  </si>
  <si>
    <t>Auditoria combinada Reasentamientos Humanos</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</si>
  <si>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</si>
  <si>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Urbanización y titulaciones</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</si>
  <si>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</si>
  <si>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</si>
  <si>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</si>
  <si>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</si>
  <si>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Equipo de gestión documental con apoyo del profesional de planeación d la DMV
Director de Mejoramiento de Vivienda</t>
  </si>
  <si>
    <t>El diligenciamiento del formato M-ODT-FM-026 Certificación de Actualización de Información Distrital del Empleo y la Administración Pública – SIDEAP; se llevó a cabo hasta el mes de febrero de 2014 (ver numeral 3.3).</t>
  </si>
  <si>
    <t xml:space="preserve">Noviembre 12 de 2015:
En la documentación realizada de los procedimientos se especifican los responsables de la aplicación de los políticas por cada actividad del procedimiento. En proceso la implementación de los procedimientos.
</t>
  </si>
  <si>
    <t>29 de diciembre de 2015: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t>
  </si>
  <si>
    <t>Diciembre 31 de 2015:
La circular se expedirá una vez se valide por parte de la OAP.</t>
  </si>
  <si>
    <t>Auditoria Si Capital</t>
  </si>
  <si>
    <t>En el módulo PERNO no queda el registro (evidencia) de las pruebas que se efectúan.</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</si>
  <si>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</si>
  <si>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</si>
  <si>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</si>
  <si>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</si>
  <si>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</si>
  <si>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</si>
  <si>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</si>
  <si>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</si>
  <si>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12-01-2016
El último informe presentado fue en el mes de octubre de 2015, relacionado con el inventario de los procesos judiciales con el estado actual.  Se anexa soporte en archivo electrónico remitido por Álvaro Leonardo Garnica Guevara, Técnico Operativo de la Dirección Jurídica – Encargado del Archivo. Se solicita cierre.</t>
  </si>
  <si>
    <t>Se da cierre por José Orjuela en seguimiento en enero de 2016, comprobando el cumplimiento, y los soportes se dejan en carpeta de soportes del plan de mejoramiento</t>
  </si>
  <si>
    <t xml:space="preserve">12-01-2016
Se verificó que el archivo de gestión de la Dirección Jurídica, se encuentra custodiado con un mecanismo de seguridad bajo llave.  Por lo tanto, se solicita sea cerrada la acción. </t>
  </si>
  <si>
    <t>12/01/2016
El Director Jurídico de la CVP, realizó reunión con el fin de impartir las directrices para la distribución de los procesos a los abogados contratados, reparto que es realizado por el mismo Director. Se solicita el cierre de esta acción.</t>
  </si>
  <si>
    <t>12-01-2016
El Director Jurídico de la CVP, realizó reunión con el fin de impartir las directrices para la distribución de los procesos a los abogados contratados, reparto que es realizado por el mismo Director. Se solicita el cierre de esta acción.</t>
  </si>
  <si>
    <t>12-01-2016
Se contrató el personal necesario.</t>
  </si>
  <si>
    <t>12-01-2016
Se realizaron cinco (5) capacitaciones por parte de la Alcaldía Mayor, relacionadas con el SIPROJ, dirigida a los abogados que ejercen la representación judicial de la Entidad.  Se anexan los correos de solicitud e invitación a las capacitaciones, en archivo electrónico. Se solicita el cierre de esta acción.</t>
  </si>
  <si>
    <t xml:space="preserve">12-01-2016
Se realizó sensibilización sobre actualización del SIPROJ, haciendo énfasis en la Circular del 6 de octubre de 2014.  Se anexan listados y correos electrónicos. Se solicita el cierre de esta acción. </t>
  </si>
  <si>
    <t>Solicitar un concepto al DASCD, sobre la validez del documento presentado por el funcionario para efectos de certificar el cumplimiento de requisitos respecto a la educación formal (especialización) solicitada en convocatoria</t>
  </si>
  <si>
    <t>Nota:  A partir del 2015 se toma la decisión de separar nuevamente el plan de mejoramiento con entes externos, para facilitar el manejo de las estadísticas y el seguimiento.</t>
  </si>
  <si>
    <t>Decepcionar el recibo de pago de arriendo, firmado por el arrendador</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</si>
  <si>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</si>
  <si>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</si>
  <si>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</si>
  <si>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 xml:space="preserve">3. Líder del proceso de Mejoramiento de Vivienda.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</si>
  <si>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</si>
  <si>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</si>
  <si>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</si>
  <si>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21-08-2014: Se tiene planteado un cronograma de actividades del SI CAPITAL, se describen actividades tendientes a la integrabilidad del sistema, algunas actividades se terminan en diciembre de 2014, se debe realizar seguimiento para verificar el cumplimiento.</t>
  </si>
  <si>
    <r>
      <t xml:space="preserve">01/05/2015 
Solicitan redefinir fecha de finalización en la acción. Se está construyendo o un documento en el cual se generen las políticas para la administración de la información. </t>
    </r>
    <r>
      <rPr>
        <b/>
        <sz val="10"/>
        <color theme="1"/>
        <rFont val="Arial"/>
        <family val="2"/>
      </rPr>
      <t xml:space="preserve">PENDIENTE FECHA DE TERMINACIÓN
Noviembre 12 de 2015:
</t>
    </r>
    <r>
      <rPr>
        <sz val="10"/>
        <color theme="1"/>
        <rFont val="Arial"/>
        <family val="2"/>
      </rPr>
      <t>Se logró elaborar la Política Marco de la Seguridad de la Información. Se documentaron nueve procedimientos dentro de los cuales se establecieron políticas para se ejecución. En aprobación.</t>
    </r>
    <r>
      <rPr>
        <b/>
        <sz val="10"/>
        <color theme="1"/>
        <rFont val="Arial"/>
        <family val="2"/>
      </rPr>
      <t xml:space="preserve">
</t>
    </r>
  </si>
  <si>
    <t>Noviembre 12 de 2015:
Se documentaron nueve procedimientos dentro de los cuales se establecieron políticas para se ejecución. Con base en dichos procedimientos, se generó el documento en el cual se consolidan las políticas de seguridad de la entidad,  y el  cual se remitió a la OAP para revisión.  En proceso la implementación de los procedimientos.
Soportes de los procedimientos en  la carpeta N° 10 de la carpeta calidad.</t>
  </si>
  <si>
    <t>La acción se cumplió, pero se  verificará en la auditoría de esta vigencia  la efectividad de la  acción, para darle el respectivo cierre</t>
  </si>
  <si>
    <t>10-08-2015
Seguimiento del área realizado el julio de 2015: se realizó la formulación y reformulación  de los instrumentos de seguimientos a la gestión en los nuevos formatos proveídos por la Oficina Asesora de Planeación. Se utilizó la metodología de despliegue  de la estrategia planteada en los acuerdos de gestión de los gerentes públicos  de la Dirección de Gestión Corporativa y CID a los demás instrumentos de gestión en lo referente a la formulación de acciones asociadas a cada una de ellas (formato, único de seguimiento sectorial -FUSS y formato POA asociado, plan de acción ,  matriz de riesgos,  matriz de riesgos de corrupción). Con lo anterior se logró dar coherencia y uniformidad tanto a la mayoría de acciones planteadas como al registro de su seguimiento. No obstante, se aclara que existen acciones, específicamente ,las definidas en el rezago  que no están interrelacionadas entre instrumentos dado que estas se formularon durante la vigencia 2014 y con el método anterior. Igualmente , se debe considerar que existe una particularidad y propósito específico en la formulación de acciones para cada instrumento  que en conjunto con el método utilizado para la vigencia y el gap temporal en la formulación de cada instrumento, ocasionó que existan algunas actividades expresadas únicamente en un instrumento sin que necesariamente implique que no se esté utilizando el método definido para el despliegue.. (Ver los instrumentos  publicados en la carpeta calidad)
4 de septiembre de 2015: Se cambia responsable de acción atendiendo el cambio de líder de proceso sería la Dirección corporativa.</t>
  </si>
  <si>
    <t>8-enero-2015
Se tiene concepto firmado por Juan Manuel Russy Escobar donde se indica que es viable aplicar las equivalencias establecidas en el Decreto 785 de 2005 para el reconocimiento de la prima técnica, esta pendiente el concepto del Departamento Administrativo del Servicio Civil Distrital como lo indica la acción o la confirmación del líder del procedimiento se será pedido o no para evaluar el cierre de la acción.
4 de septiembre de 2015:
Respecto a la respuesta emitida por el  DASCD con fecha 18 de febrero de 2015 se elevó la solicitud de una nueva revisión del tema.</t>
  </si>
  <si>
    <t>4 de septiembre de 2015: 
En espera del tercer concepto solicitado al DASCD, se solicita reprogramar fecha de finalización 31-12-2015</t>
  </si>
  <si>
    <r>
      <t xml:space="preserve">6 de mayo de 2015: </t>
    </r>
    <r>
      <rPr>
        <sz val="10"/>
        <color rgb="FFFF0000"/>
        <rFont val="Arial"/>
        <family val="2"/>
      </rPr>
      <t xml:space="preserve">PENDIENTE VERIFICAR ESTE SEGUIMIENTO PARA CIERRE. 
</t>
    </r>
    <r>
      <rPr>
        <sz val="10"/>
        <rFont val="Arial"/>
        <family val="2"/>
      </rPr>
      <t xml:space="preserve">La Oficina Asesora de Comunicaciones remitió una comunicación interna a las Direcciones, Subdirecciones y Jefes de Oficina para solicitar la base de datos digital actualizada de la información de cada uno de los funcionarios.  Se realizó la actualización del Directorio de la página web y portal intranet con esta información. 
En febrero 16 de 2015 (2015IE673), se remitió otra comunicación interna con los mismos destinatarios solicitando esta información. Se realizó la actualización de acuerdo con la  información que fue entregada. Se tiene programado una nueva actualización utilizando la base de datos que se pertenece a la plataforma Google Apps.
</t>
    </r>
  </si>
  <si>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</si>
  <si>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 xml:space="preserve">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
</t>
  </si>
  <si>
    <t>Noviembre 12 de 2015:
Los manuales se encuentran almacenados  en el servidor del Sistema y publicados en la ayuda en línea Sistema@ SI C@pital. (ver http://serv-cv2:7778/documentacion/manuales.html)
Se envía a planeación comunicado el 30-12-2015 para que se suba la información a calidad</t>
  </si>
  <si>
    <t>Noviembre 12 de 2015:
Los manuales se encuentran almacenados  en el servidor del Sistema y publicados en la ayuda en línea Sistema@ SI C@pital. (ver http://serv-cv2:7778/documentacion/manuales.html)
Diciembre 31 de 2015:
Se enviará a la OAP una solicitud de publicación de los manuales de los módulos de Si Capital, para consulta de los usuarios y registro actualizado de la documentación.</t>
  </si>
  <si>
    <t>Actualizar y aprobar la política de administración de la información en el capítulo de manejo y control de manuales de usuario.</t>
  </si>
  <si>
    <t>Noviembre 12 de 2015:
Se logró elaborar la Política Marco de la Seguridad de la Información. Igualmente se documentó el procedimiento de desarrollo y mantenimiento de software dentro del cual se definió una política y una actividad referente a la documentación de cambios a través de la generación o ajuste a un manual de usuario. Con base en dichos procedimientos, se generó el documento en el cual se consolidan las políticas de seguridad de la entidad,  y el  cual se remitió a la OAP para revisión. Soportes de los procedimientos en  la carpeta N° 10 de la carpeta calidad.. Se solicita cierre de la acción
Control Interno: Se mantiene abierta hasta que se apruebe el documento.
Diciembre 31 de 2015:
La Política ya se estructuró y la está revisando planeación se considerara la necesidad de incluir un capitulo sobre el manejo y control de los manuales o se procederá a cambiar esta acción.</t>
  </si>
  <si>
    <t xml:space="preserve">Noviembre 12 de 2015:
6. Los manuales se encuentran almacenados  en el servidor del Sistema y publicados en la ayuda en línea Sistema@ SI C@pital. (ver http://serv-cv2:7778/documentacion/manuales.html). Se solicitó a la OAP la publicación en la carpeta de calidad, comunicado del 31de diciembre de 2015. </t>
  </si>
  <si>
    <r>
      <t>6 de mayo de 2015:</t>
    </r>
    <r>
      <rPr>
        <sz val="8"/>
        <color rgb="FFFF0000"/>
        <rFont val="Arial"/>
        <family val="2"/>
      </rPr>
      <t xml:space="preserve">
</t>
    </r>
    <r>
      <rPr>
        <sz val="8"/>
        <rFont val="Arial"/>
        <family val="2"/>
      </rPr>
      <t>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t>
    </r>
  </si>
  <si>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</si>
  <si>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</si>
  <si>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</si>
  <si>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</si>
  <si>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</si>
  <si>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</si>
  <si>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un instrumento que me permita medir la gestión realizada a los procesos. (Se une con la acción anterior para el seguimiento de la gestión).</t>
  </si>
  <si>
    <t>01/12/2015
Se esta consolidando la información correspondiente a los procesos de autoevaluación con el fin  de elaborar el plan de mejoramiento pertinente, el plan de mejoramiento 2014 se elaboro en el 2015.
CI: Se deja abierto para verificar en auditorias del 2016, porque en las del 2015 sigue el hallazgo, esto se refiere a planes de mejoramiento por autocontrol.</t>
  </si>
  <si>
    <r>
      <rPr>
        <b/>
        <sz val="10"/>
        <color theme="1"/>
        <rFont val="Arial"/>
        <family val="2"/>
      </rPr>
      <t>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reprograma la fecha de finalización de las acciones de mejora debido a la no finalización del informe de resultados.
Se solicita cambio en la fecha de terminación de la acción para 30/03/2016</t>
    </r>
  </si>
  <si>
    <t>2. Líder del proceso de Mejoramiento de Vivienda.</t>
  </si>
  <si>
    <t>Líder del proceso de Mejoramiento de Vivienda.</t>
  </si>
  <si>
    <t>Incluir en las reuniones de Control Interno que se efectúan  quincenalmente el  seguimiento y   la revisión de cumplimiento de las actividades para atender contingencias y replantear tiempos,  controlando el cumplimiento de compromisos por profesional.</t>
  </si>
  <si>
    <t>Mónica Bustamante</t>
  </si>
  <si>
    <t>Enviar al final del mes correo electrónico a los líderes de proceso que serán auditados en el mes siguiente.</t>
  </si>
  <si>
    <t>27-08-2015:
Se realizó contrato de prestación de servicios a Wilber Abril quien maneja los temas del SIG, revisar en próxima auditoria que se tenga siempre a alguien responsable de este tema y verificar en el contrato las obligaciones</t>
  </si>
  <si>
    <t>01-12-2015
El proceso de Relocalización Transitoria quedo debidamente registrado en carpeta de calidad, el procedimiento de Cuenta de Ahorro programado se ajuste en la parte de fiducia, a pesar, de ser una acción que no es controlable por la Dirección de Reasentamientos por ser un negocio entre terceros, para el procedimiento de Reubicación definitiva se ajusto en la parte de victimas del conflicto e indígenas, estos dos últimos están pendientes de aprobación.</t>
  </si>
  <si>
    <t>Administración y control de recursos</t>
  </si>
  <si>
    <t>Revisar y actualizar los documentos de los procedimientos e instructivos referenciados en el informe de auditoría</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</si>
  <si>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</si>
  <si>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</si>
  <si>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</si>
  <si>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</si>
  <si>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r>
      <t xml:space="preserve">14-01-2016: Se elaboraron y comunicaron siete (7) actos administrativos correspondientes a dos funcionarios en encargo y cinco en provisionalidad. Solicitan cierre.
</t>
    </r>
    <r>
      <rPr>
        <sz val="8"/>
        <color rgb="FFFF0000"/>
        <rFont val="Arial"/>
        <family val="2"/>
      </rPr>
      <t xml:space="preserve">SE DEBE VERIFICAR LOS SOPORTES PARA PODER DAR CIERRE </t>
    </r>
  </si>
  <si>
    <t>Ajustar el formato denominado Cumplimiento requisitos mínimos experiencia del cargo 208-SADM-Ft-22 en el cual se incluya un campo que permita identificar claramente el registro de las convalidaciones que se realicen.</t>
  </si>
  <si>
    <t>Programar una reunión del equipo de Reasentamientos para analizar los parámetros definidos al servicio conforme y las fuentes de información que me permiten su control.</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</si>
  <si>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</si>
  <si>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Revisar y/o actualizar, aprobar y oficializar la información inmersa en los formatos  de caracterización y seguimiento de servicio no conforme en el marco de la implementación del programa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</si>
  <si>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</si>
  <si>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Realizar la actualización, aprobación y oficialización de la TRD de conformidad con los ajustes realizados a los procedimientos del proceso de Mejoramiento de Vivienda</t>
  </si>
  <si>
    <t>Auditoria proceso Evaluación de la Gestión.</t>
  </si>
  <si>
    <t>Retomar el diligenciamiento del formato M-ODT-FM-023 certificación de actualización de información distrital del empleo y la administración publica-SIDEAP desde el mes de enero de 2016</t>
  </si>
  <si>
    <t>María Gladys Ramírez Morato</t>
  </si>
  <si>
    <t>Mónica Andrea Bustamante Portela</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</si>
  <si>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</si>
  <si>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</si>
  <si>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</si>
  <si>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</si>
  <si>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 xml:space="preserve">Director(a) de Gestión Corporativa y CID -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</si>
  <si>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</si>
  <si>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</si>
  <si>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</si>
  <si>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</si>
  <si>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 xml:space="preserve">Nota:Falta incluir los hallazgos encotrados en los informes Evaluación por dependencias 2015, Informe ejecutivo DAF 2015, Pormenorizado nov 2015- feb 2016, que se haran cuando se de a conocer al equipo Directivo. </t>
  </si>
  <si>
    <t>Total acciones formuladas</t>
  </si>
  <si>
    <t xml:space="preserve">Auditoria Interna
</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</si>
  <si>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</si>
  <si>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</si>
  <si>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</si>
  <si>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</si>
  <si>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</si>
  <si>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</si>
  <si>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r>
      <rPr>
        <b/>
        <sz val="10"/>
        <color theme="1"/>
        <rFont val="Arial"/>
        <family val="2"/>
      </rPr>
      <t>22 de marzo 2016:</t>
    </r>
    <r>
      <rPr>
        <sz val="10"/>
        <color theme="1"/>
        <rFont val="Arial"/>
        <family val="2"/>
      </rPr>
      <t xml:space="preserve"> Se formalizó como resultado de la encuesta el plan de mejoramiento el 16 de enero de 2016 con cinco acciones. Se cierra esta acción considerando el plan formalizado de seguimiento a las acciones de la encuesta.
10 de diciembre de 2015: Se solicita se amplíe el termino de cumplimiento de las acciones formuladas en el plan de mejoramiento.</t>
    </r>
  </si>
  <si>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</si>
  <si>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</si>
  <si>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Jurídco</t>
  </si>
  <si>
    <t>No requiere plan de mejoramiento, en razón a que este hallazgo se identifico el 26-09-2014.</t>
  </si>
  <si>
    <r>
      <rPr>
        <b/>
        <sz val="9"/>
        <color theme="1"/>
        <rFont val="Arial"/>
        <family val="2"/>
      </rPr>
      <t>22-Mar-2016:</t>
    </r>
    <r>
      <rPr>
        <sz val="9"/>
        <color theme="1"/>
        <rFont val="Arial"/>
        <family val="2"/>
      </rPr>
      <t xml:space="preserve"> Se solicitó modificar a CI fecha del 31Mar al 30May del 2016, depende de las tres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</si>
  <si>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22 Mar 2016:</t>
    </r>
    <r>
      <rPr>
        <sz val="10"/>
        <color theme="1"/>
        <rFont val="Arial"/>
        <family val="2"/>
      </rPr>
      <t xml:space="preserve">
Se revisa el PM oficializado para este tema, que ya fue validado en coherencia por Control Interno y se encuentra formulado.
10 de noviembre de 2015: Se recibió  el plan de mejoramiento en control interno, se encuentra en revisión de coherencia.</t>
    </r>
  </si>
  <si>
    <r>
      <rPr>
        <b/>
        <sz val="8"/>
        <rFont val="Arial"/>
        <family val="2"/>
      </rPr>
      <t>22-marz-2016</t>
    </r>
    <r>
      <rPr>
        <sz val="8"/>
        <rFont val="Arial"/>
        <family val="2"/>
      </rPr>
      <t xml:space="preserve">: Se esta a la espera de las directrices dadas por planeación. No hay avance se solicita ampliación de la fecha de finalización. Se amplia al 30may2016 </t>
    </r>
  </si>
  <si>
    <r>
      <rPr>
        <b/>
        <sz val="8"/>
        <rFont val="Arial"/>
        <family val="2"/>
      </rPr>
      <t>22-mar2016:</t>
    </r>
    <r>
      <rPr>
        <sz val="8"/>
        <rFont val="Arial"/>
        <family val="2"/>
      </rPr>
      <t xml:space="preserve"> No se ha realizado avance, considerando que a la fecha no hay directriz dada sobre este tema y considerando que no hay responsable de liderarlo dentro de la CVP. Se solicta ampliación de fecha al 30 may 2016</t>
    </r>
  </si>
  <si>
    <t>4. Solicitar la formalización del ajuste de las actividades del proyecto 7328 inmersas en el Plan Operativo Anual.</t>
  </si>
  <si>
    <t xml:space="preserve">Al consultar la pagína web, no se encuentra información el nombre del servidor (a) que se ejerce la función de Defensor de Ciudadano, ni tampoco es posible consulta la Resolución 4142 de 2015 </t>
  </si>
  <si>
    <t>Director (a) de Gestión Corporativa o contratista servicio al ciudadano</t>
  </si>
  <si>
    <t>Publicar en la página WEB la resolución 4142 de 2015  en la página WEB, y del nombre del servidor (a) que ejerce la funcion de Defensor del Ciudadano</t>
  </si>
  <si>
    <t xml:space="preserve">Director (a) de Gestión Corporativa o contratista servicio al ciudadano </t>
  </si>
  <si>
    <t xml:space="preserve">En el área de atención y servicio al ciudadano, la pantalla que brinda información se encuentra inactiva y por lo tanto no se encuentra articulada con el digiturno </t>
  </si>
  <si>
    <t xml:space="preserve">El líder del proceso debe asegurarse de atender y formular las acciones enmarcadas en el plan de mejoramiento a partir de los informes de PQRS en la vigencia 2015 y de la auditoría de control interno  </t>
  </si>
  <si>
    <t>Al verificar el procedimiento se encontró que se encuentra desactualizado, por referencias normativas que ya fueron derogadas (resoluciones 1115 de 2010 y 1054 de 2012</t>
  </si>
  <si>
    <t>Las pantallas se activaron el día 28 de Abril de 2016 y actualmente se encuentran activas.</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</si>
  <si>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</si>
  <si>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</si>
  <si>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</si>
  <si>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</si>
  <si>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Se verificará su eficacia en la revisión de los contratos que hacen parte de la Auditoría  para el 2015 
Se verificó en auditoria dl 2016 que existen los criterios.</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</si>
  <si>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</si>
  <si>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Se evidenció el traslado a Disciplinarios, se debe incluir en auditoria a Gestión Humana para verificar su eficcia</t>
  </si>
  <si>
    <r>
      <rPr>
        <b/>
        <sz val="10"/>
        <color theme="1"/>
        <rFont val="Arial"/>
        <family val="2"/>
      </rPr>
      <t>30/01/2015</t>
    </r>
    <r>
      <rPr>
        <sz val="10"/>
        <color theme="1"/>
        <rFont val="Arial"/>
        <family val="2"/>
      </rPr>
      <t xml:space="preserve"> No se encontró evidencia sobre esta acción 
</t>
    </r>
    <r>
      <rPr>
        <b/>
        <sz val="10"/>
        <color theme="1"/>
        <rFont val="Arial"/>
        <family val="2"/>
      </rPr>
      <t xml:space="preserve">20-04-2016
</t>
    </r>
    <r>
      <rPr>
        <sz val="10"/>
        <color theme="1"/>
        <rFont val="Arial"/>
        <family val="2"/>
      </rPr>
      <t>Estos puntos hacen referencia a la publicación en SECOP, hallazgo detectado por la Contraloría y se da cumplimiento con la emisión de la circular. Sin embargo con la publicación del Manual de Contratación y Supervisión se suple la circular, adicionalmente el trámite de contratación se hace en la dirección jurídica.</t>
    </r>
  </si>
  <si>
    <t>El trámite se realiza en la dirección Jurídica</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</si>
  <si>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Esta acción es improcedente, ya que este documento si se requiere en el proceso, solo que su archivo no debe ser en el expediente de contratación, sino en el área financiera, que lo tiene incluido en su tabla de retención. Se da cierre a esta acción.</t>
    </r>
  </si>
  <si>
    <t>El documento si se requiere en el proceso solo que se archiva en finaciera.</t>
  </si>
  <si>
    <r>
      <rPr>
        <b/>
        <sz val="10"/>
        <color theme="1"/>
        <rFont val="Arial"/>
        <family val="2"/>
      </rPr>
      <t xml:space="preserve">30/01/2015 </t>
    </r>
    <r>
      <rPr>
        <sz val="10"/>
        <color theme="1"/>
        <rFont val="Arial"/>
        <family val="2"/>
      </rPr>
      <t xml:space="preserve">
No se logro evidenciar avances con respecto a esta acción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t>
    </r>
    <r>
      <rPr>
        <b/>
        <sz val="10"/>
        <color theme="1"/>
        <rFont val="Arial"/>
        <family val="2"/>
      </rPr>
      <t xml:space="preserve">20-04-2016
</t>
    </r>
    <r>
      <rPr>
        <sz val="10"/>
        <color theme="1"/>
        <rFont val="Arial"/>
        <family val="2"/>
      </rPr>
      <t>Este hallazgo se generó en otra audirotira recomienda analizar las causas y generar nuevas acciones o unificarlas.</t>
    </r>
  </si>
  <si>
    <t>Se cierra este hallazgo teniendo en cuenta que en auditoria del 31-05-2013 se generó este mismo hallazgo y otro plan de mejoramiento, el seguimiento se realiza desde ese hallazgo</t>
  </si>
  <si>
    <t>La entidad en su página web no pública actualizaciones del plan anual de adquisiciones como lo disponen los artículos 6 y 7 del Decreto Reglamentario 1510 de 2013.</t>
  </si>
  <si>
    <t>No se evidencia en la totalidad de los contratos el formato de delegación de la supervisión. (Ver numeral 5 de este informe).</t>
  </si>
  <si>
    <t>No se generan plan de mejoramiento oportuno frente a los hallazgos de auditorías internas</t>
  </si>
  <si>
    <t xml:space="preserve">el cierre se realiza atendiendo la recomendación de control interno, en auditoria de realizar nuevo análsiis de causas y replantear las acciones que ayuden a eliminar el hallazgo. </t>
  </si>
  <si>
    <t>En auditoria del abril de 2016 se evidencia que existen documentos en el contrato 606 de 2015 que nocorresponde y se recomienda analizar nuevamente las causas de este hallazgo y formular nuevas acciones. Este hallazgo es igual al del 2013 por esta razón lo unimos a este.</t>
  </si>
  <si>
    <t>Revisar los expedientes de las vigencias 2015 y 2015, acorde con las tablas de retención - Archivo de Gestión</t>
  </si>
  <si>
    <t>Depurar la documentación y organizar las vigencias 2014 y 2015 de acuerdo con la norma archivistica igente.</t>
  </si>
  <si>
    <t>Ajustar expedientes vigencia 2016 a lanorma archivistica vigente.</t>
  </si>
  <si>
    <t>Generar espacios en el Comité de Contratación para realizar el análisis de casos contractuales,  susceptibles de mejoramiento continuo.</t>
  </si>
  <si>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t>
    </r>
    <r>
      <rPr>
        <b/>
        <sz val="10"/>
        <color theme="1"/>
        <rFont val="Arial"/>
        <family val="2"/>
      </rPr>
      <t/>
    </r>
  </si>
  <si>
    <r>
      <rPr>
        <b/>
        <sz val="10"/>
        <color theme="1"/>
        <rFont val="Arial"/>
        <family val="2"/>
      </rPr>
      <t>15-01-2015</t>
    </r>
    <r>
      <rPr>
        <sz val="10"/>
        <color theme="1"/>
        <rFont val="Arial"/>
        <family val="2"/>
      </rPr>
      <t xml:space="preserve">
No se tiene evidencia del traslado de esta acción  a los otros responsables de su cumplimiento.
18-05-2016 Se solicita cambio de fecha de finalización a 10 de junio de 2016.</t>
    </r>
  </si>
  <si>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</si>
  <si>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No existe evidencia del cumplimiento de esta acción. Sin embargo, en la auditoría se estableció que la debilidad continúa y por tal razón se debe efectuar nuevo análisis de las causas del hallazgo y formular nuevas acciones.
18-05-2016 Se replantean las acciones y se cambia fecha de finalización.</t>
    </r>
  </si>
  <si>
    <t>Se elaborará un documento interno con el fin de indicar a quienes adelantan el proceso contractual en la Dirección Jurídica cuales son las responsabilidades, lineamientos de organización y verificación de la documentación y lista de chequeo.</t>
  </si>
  <si>
    <t>Se elaborará un circular con el fin de indicar a todas las áreas cuales son las responsabilidades, lineamientos de organización y verificación de la documentación y lista de chequeo.</t>
  </si>
  <si>
    <t>Revisar en SECOP la publicación de los contratos 282 y 283 de 2015, confirmando la publicación legal requerida.</t>
  </si>
  <si>
    <t>Subdirección Administrativa</t>
  </si>
  <si>
    <t>Incluir el formato 208-SADM-Ft-63 en la carpeta de calidad dentro del proceso de adquisición  de bienes y servicios</t>
  </si>
  <si>
    <t>Revisar en SECOP la publicación de los contratos 278, 282, 283 Y 284 de 2015, confirmando la publicación legal requerida.</t>
  </si>
  <si>
    <t>Profesional de servicio al ciudadano realizará seguimiento trimestral para verificar que la  información relacionada con Servicio al ciudadano, se encuentre actualizada y publicada</t>
  </si>
  <si>
    <t>Diariamente se verificará que las pantallas se encuentren activas</t>
  </si>
  <si>
    <t>Designar un responsable para realizar seguimiento y formulación de los planes de mejoramiento del proceso</t>
  </si>
  <si>
    <t>Aplicar el manual de supervisión frente al cumplimiento de obligaciones</t>
  </si>
  <si>
    <t>actualizar el normograma del proceso incluyendo la normatividad vigente</t>
  </si>
  <si>
    <t xml:space="preserve">Mediante memorando se designará un profesional del proceso, para que realice el respectivo seguimiento y actualización </t>
  </si>
  <si>
    <t>Realizar una revisión trimestral para verificar que el normograma se encuentre actualizado de acuerdo a la normatividad vigente y a las directrices de la entidad</t>
  </si>
  <si>
    <t>Fecha de corte:</t>
  </si>
  <si>
    <t>Estado plan de mejoramiento por procesos - Vigencia 2016</t>
  </si>
  <si>
    <t>Estado de las acciones formuladas</t>
  </si>
  <si>
    <t>Formulación plan de mejoramiento</t>
  </si>
  <si>
    <t>Total
hallazgo</t>
  </si>
  <si>
    <t>Realizar reunión con la persona que elabora los informes mensuales de PQR´S, para solicitar que se incluya datos referentes a los temas más recurrentes o importantes por cada proceso, enviar copia a control interno.</t>
  </si>
  <si>
    <t xml:space="preserve">Ampliar en los informe semestral de la vigencia de 2016, presentados por control interno, la verificación y análsis de la respuestas dadas por la entidad a los PQR´S. </t>
  </si>
  <si>
    <t>Con el reporte mensual de Servicio al Ciudadano de PQR´S solicitar a los líderes de los procesos correspondientes la generación del plan de mejoramiento.</t>
  </si>
  <si>
    <t xml:space="preserve">20 de agosto de 2014:
Se presenta a la OAP el 1 de agosto de 2014 por correo institucional la propuesta del procedimiento Auditorias internas y visitas ajustando el tiempo de entrega del plan de mejoramiento a 10 días. No se cierre porque no se ha dado la aprobación.
2 de  Diciembre de 2014:
Se ajusta la fecha considerando la ampliación de entrega del ajuste de procesos y procedimientos y la definición de nueva estructura de presentación de los procedimiento. Se cambia del 13 de junio de 2014 al 15 de marzo de 2015.
25 de enero de 2016: 
Corrección: Se incluye este cambio en el procedimiento 208 CI-Pr-01 Versión 5.
</t>
  </si>
  <si>
    <t>Se realiza la acción, se cierra esta acción y se generan otras que nos ayuden a eliminar el hallazgo.</t>
  </si>
  <si>
    <t>20 de agosto de 2014:
Se presenta a la OAP el 1 de agosto de 2014 por correo institucional la propuesta del procedimiento Auditorias internas y visitas, ajustando la revisión del informe por parte del equipo de CI, la forma de la entrega del informe y el tiempo para entregar el plan de mejoramiento. Y se inicia la revisión y ajuste del procedimiento de acciones correctivas y preventivas.
2 de  Diciembre de 2014:
Se ajusta la fecha considerando la ampliación de entrega del ajuste de procesos y procedimientos y la definición de nueva estructura de presentación de los procedimiento. Se cambia del 13 de junio de 2014 al 15 de marzo de 2015.
7 de abril de 2015:
Quedo incluido en el procedimiento 208 CI-Pr-01 en el 30 de diciembre de 2015.
Las mesas de trabajo para discutir el informe se incluyo en el mismo procedimeinto en la actividad 34.
A parte de culminar estas dos actividades se hace necesario formulas nuevas acciones ya que al cierre de 2015 se  presenta el 20% de hallazgos sin atender, se incrementa un 11% del resultado registrado en el 2014.Se deja acción en el plan de acción para dar a conocer el procedimiento de auditoria y segenera un nuevo plan en 2016 para incluir en los procedimiento de auditorias  y acciones preventivas y correctivas el reporte a Control Interno Disciplina.</t>
  </si>
  <si>
    <t xml:space="preserve">31 de julio de 2015:
A la fecha se reprogramó la auditoria de Si Capital que fue iniciada el 16 de julio, se reprograma por licencia de paternidad y vacaciones del profesional asignado a dicha labor.
25 de enero de 2016:
En los registros de reunión de autocontrol del 2015 en el numeral 3 se registra las razones por las que no se cumple con los tiempos y se deja constancia de la reprogramación de las actividades
Teniendo en cuenta estos registros , entre otros aspectos se realizará el programa del 2016. </t>
  </si>
  <si>
    <t>Se da cierre ya que la acción fue base para proyectar el programa de auditorias del 2016, se espera al seguimiento y análisis del programa de auditorias ver si es necesario realizar más acciones</t>
  </si>
  <si>
    <t>31-07-2015
Se han enviado los correos a partir del mes de abril recordando las auditorias o los informes del mes.
25 de enero de 2016, se enviaron los correos hasta diciembre de 2015.</t>
  </si>
  <si>
    <t>31-07-2015
Se tiene ya definido en el procedimiento pero se encuentra en proceso de aprobación y publicación.
7 de abril de 2016:
Se incluyo en el procedimiento 208-CI-Pr-01, en el numeral 7 Condiciones Generales - condiciones comunes</t>
  </si>
  <si>
    <t>31-07-2015
Al formato se le han realizado ajuste pero se encuentra en revisión por el equipo auditor.
7 de abril de 2016:
Quedo pueblicado en calidad el 26 de enero de 2016 con versión 2 Formato 208-CI-Ft-08</t>
  </si>
  <si>
    <t>Se cumple la acción, hay que evaluar al cierre de vigencia para determinar si es efectiva</t>
  </si>
  <si>
    <t>31-07-2015
Se tiene ya definido en el procedimiento pero se encuentra en proceso de aprobación y publicación.
7 de abril de 2016:
Quedo pueblicado en el procedimiento 208-Ci-Pr-01 V.5 del 30-12-2015</t>
  </si>
  <si>
    <t>En las auditorias de cada proceso y en especial de ateción al ciudadano verificar el estado de los planes de mejoramiento generados por el análsis de los PQR´S e incluir en el informe de auditoria el resultado observado.</t>
  </si>
  <si>
    <t>Profesional control interno - Maria Gladys Ramirez</t>
  </si>
  <si>
    <t>Contratista de control interno</t>
  </si>
  <si>
    <t>% Cumplimiento gestión</t>
  </si>
  <si>
    <t>Control Interno</t>
  </si>
  <si>
    <t>Boton de Control Cuentas</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</si>
  <si>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</si>
  <si>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Se recibio informe según CORDIS 2016IE4535, el 27 de junio de 2016</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</si>
  <si>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</si>
  <si>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</si>
  <si>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</si>
  <si>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r>
      <rPr>
        <b/>
        <sz val="10"/>
        <color theme="1"/>
        <rFont val="Arial"/>
        <family val="2"/>
      </rPr>
      <t xml:space="preserve">22 de marzo 2016: </t>
    </r>
    <r>
      <rPr>
        <sz val="10"/>
        <color theme="1"/>
        <rFont val="Arial"/>
        <family val="2"/>
      </rPr>
      <t xml:space="preserve">Se solicito modificar a CI fecha del 31Mar al  30May del 2016, justificando en que no se ha formulado aún indicadores de eficiencia y efecitividad, considerando el ajuste del grupo y del proyecto PDD para este nuevo periodo.
</t>
    </r>
    <r>
      <rPr>
        <b/>
        <sz val="10"/>
        <color theme="1"/>
        <rFont val="Arial"/>
        <family val="2"/>
      </rPr>
      <t xml:space="preserve">10 de noviembre de 2015: </t>
    </r>
    <r>
      <rPr>
        <sz val="10"/>
        <color theme="1"/>
        <rFont val="Arial"/>
        <family val="2"/>
      </rPr>
      <t>No se han formulado indicadores de procesos para esta vigencia. No se ha dado un lineamiento de la directriz sobre losprocesos definidos desde a formulación del plan estratégico, los indicadores del proceso de mejoramiento de vivienda. Se encuentra una hoja de indicadores sobre los mapas de riesgos, proyectos y planes de acción que no se aterrizan la gestión del proceso como cumplimiento del objetivo del proceso. Se solicita ampliación de cumplimiento de acción al primer trimestre del 2016.</t>
    </r>
  </si>
  <si>
    <r>
      <rPr>
        <b/>
        <sz val="10"/>
        <color theme="1"/>
        <rFont val="Arial"/>
        <family val="2"/>
      </rPr>
      <t xml:space="preserve">22 de marzo 2016: </t>
    </r>
    <r>
      <rPr>
        <sz val="10"/>
        <color theme="1"/>
        <rFont val="Arial"/>
        <family val="2"/>
      </rPr>
      <t>Se solicito modificar a CI fecha del 31Mar al 30May del 2016, depende de la accion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</si>
  <si>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 xml:space="preserve">22-Mar-2016: </t>
    </r>
    <r>
      <rPr>
        <sz val="10"/>
        <color theme="1"/>
        <rFont val="Arial"/>
        <family val="2"/>
      </rPr>
      <t>Se solicitó modificar a CI fecha del 31Mar al 30May del 2016, depende de las dos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</si>
  <si>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</si>
  <si>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2. Efectuar el análisis de los riesgos después de cumplidas las acciones, con el fin de definir si estas pasan a ser controles del procedimiento o si se requiere plantear nuevas acciones que permitan minimizar los riesgos.</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</si>
  <si>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</si>
  <si>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r>
      <rPr>
        <b/>
        <sz val="10"/>
        <color theme="1"/>
        <rFont val="Arial"/>
        <family val="2"/>
      </rPr>
      <t xml:space="preserve">05-05-2016: </t>
    </r>
    <r>
      <rPr>
        <sz val="10"/>
        <color theme="1"/>
        <rFont val="Arial"/>
        <family val="2"/>
      </rPr>
      <t>Se elaboró un informe de análisis y se  tabularon las encuestas aplicadas con las comunidades beneficiarias de las obras de los contratos 506, 507,584 y 587 de 2013. Se evidenció  la debida  formalización del informe de análisis de los resultados</t>
    </r>
    <r>
      <rPr>
        <b/>
        <sz val="10"/>
        <color theme="1"/>
        <rFont val="Arial"/>
        <family val="2"/>
      </rPr>
      <t xml:space="preserve">
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realizó el análisis y se generó el informe correspondiente a las encuestas aplicadas para los contratos de obra 506 de 2013, 507 de 2013, 584 de 2013 y 587 de 2013, se encuentra en revisión y observaciones generadas para aprobación por parte de la Dirección. Se solicita cambio en la fecha de terminación de la acción para 29/01/2016
Ubicación: \\serv-cv11\mejoramiento de barrios\ENCUESTAS DE SATISFACCIÓN</t>
    </r>
  </si>
  <si>
    <t>Se cumplio con la actividad</t>
  </si>
  <si>
    <r>
      <rPr>
        <b/>
        <sz val="10"/>
        <color theme="1"/>
        <rFont val="Arial"/>
        <family val="2"/>
      </rPr>
      <t xml:space="preserve">05-05-2016  </t>
    </r>
    <r>
      <rPr>
        <sz val="10"/>
        <color theme="1"/>
        <rFont val="Arial"/>
        <family val="2"/>
      </rPr>
      <t>Se revisan los indicadores con fecha de corte 30 de abril de 2016, los cuales arrojan los siguientes resultados:
Espacios de participación a la comunidad se ejecutó el  57% , 
Pactos de sostenibilidad generados  ejecutado el 27%.  
Procesos ejecutados en APIS  el  87%. 
Porcentaje de ejecución en Chiguaza  el 93%. Población participante supero la meta con 196. 955 personas, frente a lo programado en el proyecto que fue de  8.887 personas.
Ejecución presupuestal  11%
Falta diligenciamiento de formatos desde julio 30 de 2015 hasta abril 30 de 2016.
30-09-2015</t>
    </r>
    <r>
      <rPr>
        <b/>
        <sz val="10"/>
        <color theme="1"/>
        <rFont val="Arial"/>
        <family val="2"/>
      </rPr>
      <t xml:space="preserve">
</t>
    </r>
    <r>
      <rPr>
        <sz val="10"/>
        <color theme="1"/>
        <rFont val="Arial"/>
        <family val="2"/>
      </rPr>
      <t>Los avances de esta acción se verificarán en el próximo seguimiento puesto que los  nuevos indicadores, recientemente fueron formulados; de igual forma el cumplimento para esta acción todavía se encuentra vigente.
28-12-2015
Se realizó informe de gestión  2012 – 2015 (14 de diciembre) correspondiente a la Dirección De Mejoramiento de Barrios en el cual se incluyó el seguimiento a los indicadores del proyecto de inversión 208 así como los resultados obtenidos y las recomendaciones generadas.
El calculo de los indicadores del proyecto de inversión se encuentra en la carpeta de calidad
Ruta: \\serv-cv11\calidad\14. CONSOLIDADO INDICADORES DE PROCESOS\2015\6. PROCESO MEJORAMIENTO DE BARRIOS\PROYECTO DE INVERSIÓN\FECHA DE CORTE 30 DE JUNIO</t>
    </r>
  </si>
  <si>
    <t>Se evidencia la elaboración del Plan de Acción de Gestión con seguimiento a 30 de abril 2016, sin embargo,  no se encontró formalizado y publicado en la carpeta de calidad</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</si>
  <si>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</si>
  <si>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30-05-2014). </t>
    </r>
    <r>
      <rPr>
        <sz val="8"/>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</si>
  <si>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</si>
  <si>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</si>
  <si>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</si>
  <si>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cumplio la acción adecuadamente</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</si>
  <si>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</si>
  <si>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</si>
  <si>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</si>
  <si>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</si>
  <si>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</si>
  <si>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</si>
  <si>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</si>
  <si>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Se cierra el hallazgo considerando el registro durante la vigencia de 2015</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</si>
  <si>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t>
    </r>
  </si>
  <si>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</si>
  <si>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2 de Febrero de 2015: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4 de Septiembre de 2015: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</si>
  <si>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</si>
  <si>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</si>
  <si>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</si>
  <si>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Se solicita ampliación de fecha para analizar y dar cumplimiento a la acción No. 1.</t>
    </r>
  </si>
  <si>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</si>
  <si>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</si>
  <si>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</si>
  <si>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Se da cierre a la acción sin embargo se recomienda que dentro del PAG sea incluido el fortalecimiento de socialización de los documentos de plan institucional de PIGA y PIRE  y el ajuste del los enlaces de operación del PIRE.</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</si>
  <si>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En las reuniones de Comité Directivo los días 02/04/2014, 21/07/2014, y 15/08/2014 se trató entre otros el tema de ajuste de la Planeación Estratégica de la Entidad.
En comité Directivo de Fecha 15 de agosto, se presentó la propuesta de la misión, la visión, y los objetivos estratégicos ajustados.
A la fecha no se ha oficializado esta nueva misión visión y objetivos estratégicos.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</si>
  <si>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actualizó la misión y la visión de acuerdo con la resolución 381 de 2015</t>
  </si>
  <si>
    <r>
      <rPr>
        <b/>
        <sz val="10"/>
        <color theme="1"/>
        <rFont val="Arial"/>
        <family val="2"/>
      </rPr>
      <t>19 de mayo de 2016</t>
    </r>
    <r>
      <rPr>
        <sz val="10"/>
        <color theme="1"/>
        <rFont val="Arial"/>
        <family val="2"/>
      </rPr>
      <t>. Se formalizaron las nuevas misión,  visión y los objetivos estratégicos mediante la Resolución 381 del 20 de marzo de 2015, divulgada y dada a conocer a través de varios documentos y medios (presentaciones, resolución, manual de calidad, página web) actualizados en la vigencia 2015
19 de diciembre de 2014:
Se solicita cambio de fecha, ver celda anterior.</t>
    </r>
  </si>
  <si>
    <r>
      <rPr>
        <b/>
        <sz val="10"/>
        <color theme="1"/>
        <rFont val="Arial"/>
        <family val="2"/>
      </rPr>
      <t>19 de mayo de 2016.</t>
    </r>
    <r>
      <rPr>
        <sz val="10"/>
        <color theme="1"/>
        <rFont val="Arial"/>
        <family val="2"/>
      </rPr>
      <t xml:space="preserve"> Se han publicado los objetivos estratégicos y/o de calidad a través de varios documentos y medios (presentaciones, resolución, manual de calidad, página web) actualizados en la vigencia 2015.
19-diciembre-2015
El plan estratégico de la Entidad se consolidó y socializó enmarcándolo en el PDD Bogotá Humana, mediante la publicación en la Carpeta de Calidad, en la Intranet, y en la página web (actualización 21 de noviembre).
Se implementó el documento Estrategia de rendición de cuentas el cual se encuentra socializado en la Carpeta de Calidad desde el 24 de septiembre. 
Cabe aclarar que los lineamientos de rendición de cuentas no hacen parte de la Planeación Estratégica,. Por lo cual se solicita la modificación de la Acción correctiva propuesta separándola en dos acciones así.
- Consolidar y socializar el Plan estratégico de la CVP enmarcado en el Plan de Desarrollo Bogotá Positiva, 
- Formular y oficializar la Estrategia de Rendición de Cuentas de la Entidad.</t>
    </r>
  </si>
  <si>
    <r>
      <rPr>
        <b/>
        <sz val="10"/>
        <color theme="1"/>
        <rFont val="Arial"/>
        <family val="2"/>
      </rPr>
      <t>19 de mayo de 2016.</t>
    </r>
    <r>
      <rPr>
        <sz val="10"/>
        <color theme="1"/>
        <rFont val="Arial"/>
        <family val="2"/>
      </rPr>
      <t xml:space="preserve"> Se requiere reformular la acción, para este hallazgo.
Se actualizó el procedimiento 208-PLA-Pr-01 V4 con fecha 29 de enero de 2016 Formulación, reformulación y/o actualización a proyectos de inversión, que menciona una concordancia con la planeación estratégica, pero sin indicación sobre el plan institucional y su vinculación con planes de acción de gestión de cada proceso.19 de diciembre:
La oficina Asesora de Planeación definió no realizar un procedimiento de Planeación Institucional.
Sin embargo se contempla la posibilidad de documentarlo como un instructivo.</t>
    </r>
  </si>
  <si>
    <r>
      <rPr>
        <b/>
        <sz val="10"/>
        <color theme="1"/>
        <rFont val="Arial"/>
        <family val="2"/>
      </rPr>
      <t>20 de junio de 2016.</t>
    </r>
    <r>
      <rPr>
        <sz val="10"/>
        <color theme="1"/>
        <rFont val="Arial"/>
        <family val="2"/>
      </rPr>
      <t xml:space="preserve"> No se efectuó seguimiento.
4 de septiembre de 2015: Se cambia responsable de acción atendiendo el cambio de líder de proceso sería la Dirección corporativa.
4 de septiembre de 2015: Se cambia responsable de acción atendiendo el cambio de líder de proceso sería la Dirección corporativa.</t>
    </r>
  </si>
  <si>
    <r>
      <rPr>
        <b/>
        <sz val="10"/>
        <color theme="1"/>
        <rFont val="Arial"/>
        <family val="2"/>
      </rPr>
      <t>19 de mayo de 2016.</t>
    </r>
    <r>
      <rPr>
        <sz val="10"/>
        <color theme="1"/>
        <rFont val="Arial"/>
        <family val="2"/>
      </rPr>
      <t xml:space="preserve"> 1. Se presenta en las dos publicaciones del plan anticorrupción, tanto del cierre vigencia 2014 como formulación y cierre de la vigencia 2015, seguimiento y cumplimiento de las acciones formuladas y que quedaron pendientes en la vigencia 2014. Caso: "Revisión y ajuste de los trámites de acuerdo con la normatividad vigente y el proyecto de ajuste institucional", cumplimiento del 70% en la vigencia 2014 y del 100% en la vigencia 2015. En la vigencia 2016 se formulan acciones para cada tramite "Revisar, actualizar y publicar el trámite con los ajustes pertinentes" considerando cambios de normatividad que apliquen
2. La Oficina Asesora de Planeación, con memorando 2014IE6191, solicito la revisión de la formulación de las herramientas. Documento publicado en la carpeta de calidad \\serv-cv11\calidad\15. CONSOLIDADO MAPAS DE RIESGO\ANÁLISIS RIESGOS DE PROCESOS\2014 y los soportes dados por las áreas agrupado en el archivo: "SOPORTES ANÁLISIS MAPA DE RIESGOS"</t>
    </r>
  </si>
  <si>
    <t>Se ajusto formulación de los mapas de riesgos vigencia 2015</t>
  </si>
  <si>
    <r>
      <rPr>
        <b/>
        <sz val="10"/>
        <rFont val="Arial"/>
        <family val="2"/>
      </rPr>
      <t xml:space="preserve">19 de mayo de 2016. </t>
    </r>
    <r>
      <rPr>
        <sz val="10"/>
        <rFont val="Arial"/>
        <family val="2"/>
      </rPr>
      <t>La Oficina Asesora de Planeación, con memorando 2014IE6191, solicitó la revisión de la formulación de las herramientas. Documento publicado en la carpeta de calidad \\serv-cv11\calidad\15. CONSOLIDADO MAPAS DE RIESGO\ANÁLISIS RIESGOS DE PROCESOS\2014, y soportes dados por las áreas agrupados en el archivo: "SOPORTES ANÁLISIS MAPA DE RIESGOS". Se han dictado sensibilizaciones a los enlaces de cada uno de los procesos: en la vigencia 2015 el 23 de septiembre y en la vigencia 2016, lineamientos el 29 de febrero y el 19 abril. Soportes verificados en la ruta: \\serv-cv11\calidad\27. PRESENTACIONES E INFORMES\SISTEMA INTEGRADO DE GESTIÓN para cada vigencia.</t>
    </r>
  </si>
  <si>
    <r>
      <rPr>
        <b/>
        <sz val="10"/>
        <rFont val="Arial"/>
        <family val="2"/>
      </rPr>
      <t xml:space="preserve">19 de mayo de 2016. </t>
    </r>
    <r>
      <rPr>
        <sz val="10"/>
        <rFont val="Arial"/>
        <family val="2"/>
      </rPr>
      <t>Pendiente la verificación del memorando.</t>
    </r>
  </si>
  <si>
    <r>
      <rPr>
        <b/>
        <sz val="10"/>
        <rFont val="Arial"/>
        <family val="2"/>
      </rPr>
      <t xml:space="preserve">20 de junio de 2016. </t>
    </r>
    <r>
      <rPr>
        <sz val="10"/>
        <rFont val="Arial"/>
        <family val="2"/>
      </rPr>
      <t>No se efectuó seguimiento.</t>
    </r>
  </si>
  <si>
    <r>
      <rPr>
        <b/>
        <sz val="10"/>
        <color theme="1"/>
        <rFont val="Arial"/>
        <family val="2"/>
      </rPr>
      <t>19 de mayo de 2016.</t>
    </r>
    <r>
      <rPr>
        <sz val="10"/>
        <color theme="1"/>
        <rFont val="Arial"/>
        <family val="2"/>
      </rPr>
      <t xml:space="preserve"> El plan estratégico fue revisado y actualizado en el Comité Directivo del 2 de marzo de 2015. El plan estratégico fue oficializado a través de la Resolución 0381 de 20 de marzo de 2015. El Manual de Calidad se actualizó de acuerdo con el nuevo Plan Estratégico de la entidad y está oficializado en la carpeta de calidad con versión 5 del 28 de octubre de 2015. \\serv-cv11\calidad\1. PROCESO DE GESTIÓN ESTRATÉGICA\MANUALES\208-PLA-Mn-01 MANUAL DE CALIDAD
El artículo 2º de la Resolución 381 estableció: "Durante el primer trimestre de cada anualidad la Caja de la Vivienda Popular revisará y evaluará el Plan Estratégico, con el fin de actualizarlo de esta manera contar con un horizonte de Planeación permanente"
En el artículo 3º dispone la responsabilidad de la Oficina Asesora de Planeación en la divulgación del Plan Estratégico en coordinación con la Oficina Asesora de Comunicaciones.
En la vigencia 2016, por cambio de administración, no se ha efectuado revisión y actualización de este plan estratégico.
17-12-2015 Revisar en la vigencia 2016</t>
    </r>
  </si>
  <si>
    <r>
      <rPr>
        <b/>
        <sz val="8"/>
        <color theme="1"/>
        <rFont val="Arial"/>
        <family val="2"/>
      </rPr>
      <t>19 de mayo de 2016</t>
    </r>
    <r>
      <rPr>
        <sz val="8"/>
        <color theme="1"/>
        <rFont val="Arial"/>
        <family val="2"/>
      </rPr>
      <t xml:space="preserve">. Se formuló acción para corregir los hallazgos presentados en el plan de mejoramiento.
27-Noviembre-2015
Se validó: 
En el documento \\serv-cv11\calidad\Listado Maestro de documentos que se encuentra en el renglón 273 y aparece la versión 4 que es la que está vigente actualmente.
En el documento \\serv-cv11\calidad\Listado Maestro de documentos , donde el formato oficio aparece la versión 9 que es la que está vigente actualmente, y adicionalmente se validó en la carpeta plantillas que el documento publicado está en la versión 9.
En el documento \\serv-cv11\calidad\Listado Maestro de documentos , donde el formato oficio aparece la versión 5  que es la que está vigente actualmente, y adicionalmente se validó en la carpeta  tablas de retención documental 2014 que el documento publicado está en la versión 5.
Se actualizaron las doce caracterizaciones y se aprobó una caracterización de proceso de Servicio al ciudadano, las cuales se encuentran en el formato vigente de Caracterización de Proceso.
En el marco de las acciones de preparación para la auditoría de Calidad de 2015, se revisó el Listado Maestro de documentos y se consolidó la carpeta con la estructura documental vigente de la Entidad.
En el listado maestro de documentos y en la carpeta de calidad se encuentra vigente la versión 6 del formato, con vigencia 20 de noviembre de 2014.
Se enviará comunicación a los funcionarios usuarios de dicho formato para que revisen el uso de la versión del formato que se encuentra aprobada en Calidad.
</t>
    </r>
    <r>
      <rPr>
        <b/>
        <sz val="8"/>
        <color theme="1"/>
        <rFont val="Arial"/>
        <family val="2"/>
      </rPr>
      <t>Control Interno verificó las correcciones que se indican en el seguimiento la acción queda abierta hasta que se envíe el comunicado que se indica en el último párrafo.</t>
    </r>
  </si>
  <si>
    <r>
      <rPr>
        <b/>
        <sz val="10"/>
        <color theme="1"/>
        <rFont val="Arial"/>
        <family val="2"/>
      </rPr>
      <t>19 de mayo de 2016</t>
    </r>
    <r>
      <rPr>
        <sz val="10"/>
        <color theme="1"/>
        <rFont val="Arial"/>
        <family val="2"/>
      </rPr>
      <t>. Se registró la actividad en el formato y se verificó en prueba aleatoria la actualización y ubicación del documento en la carpeta de calidad. En el procedimiento se deja el registro
27-Noviembre-2015
En la versión 6 del procedimiento con vigencia 23/04/2015, se incluyo en el punto 6 del procedimiento la actualización del código y vigencia de los documentos dentro del listado maestro de documentos. Se solicita el cierre de la acción propuesta.
Control Interno verifica el paso en el procedimiento pero se deja abierta la acción para que en próxima auditoria se confirme su efectividad.</t>
    </r>
  </si>
  <si>
    <t>Se verifica el registro en el procedimiento y en el Listado Maestro de documentos.
s.</t>
  </si>
  <si>
    <r>
      <rPr>
        <b/>
        <sz val="10"/>
        <color theme="1"/>
        <rFont val="Arial"/>
        <family val="2"/>
      </rPr>
      <t>19 de mayo de 2016.</t>
    </r>
    <r>
      <rPr>
        <sz val="10"/>
        <color theme="1"/>
        <rFont val="Arial"/>
        <family val="2"/>
      </rPr>
      <t xml:space="preserve"> Se revisan los reportes del registro de los productos No conformes. Sin embargo a fecha de corte del 20 de junio de 2016 no se ha reportado este registro. Se cierra la acción pero se genera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</si>
  <si>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t>20Jun2016. Se cierra la acción. Se deja formulado como resultado de este ejercicio la oportunidad de la publicación de estos registros dentro de la carpeta de Producto No conforme</t>
  </si>
  <si>
    <r>
      <rPr>
        <b/>
        <sz val="10"/>
        <color theme="1"/>
        <rFont val="Arial"/>
        <family val="2"/>
      </rPr>
      <t>20 de junio de 2016.</t>
    </r>
    <r>
      <rPr>
        <sz val="10"/>
        <color theme="1"/>
        <rFont val="Arial"/>
        <family val="2"/>
      </rPr>
      <t xml:space="preserve"> Se dieron a conocer, el 19 de abril de 2016, las herramientas de gestión lideradas por la Oficina Asesora de Planeación. Además se presentó a los enlaces el formato de Producto NO Conforme. Se cierra la acción pero se solicita generar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</si>
  <si>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10"/>
        <color theme="1"/>
        <rFont val="Arial"/>
        <family val="2"/>
      </rPr>
      <t>20 de junio de 2016.</t>
    </r>
    <r>
      <rPr>
        <sz val="10"/>
        <color theme="1"/>
        <rFont val="Arial"/>
        <family val="2"/>
      </rPr>
      <t xml:space="preserve">  Para el corte a diciembre de 2015, se consolidó el servicio no conforme para los cinco procesos misionales, lo cual se puede validar en la ruta:
\\serv-cv11\calidad\17. CONSOLIDADO SERVICIO NO CONFORME\2015\FECHA DE CORTE 15 DE DICIEMBRE.
Se solcitó mediante correo dirigido el 01 de diciembre de 2015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</si>
  <si>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8"/>
        <color theme="1"/>
        <rFont val="Arial"/>
        <family val="2"/>
      </rPr>
      <t>20 de junio de 2016.</t>
    </r>
    <r>
      <rPr>
        <sz val="8"/>
        <color theme="1"/>
        <rFont val="Arial"/>
        <family val="2"/>
      </rPr>
      <t xml:space="preserve"> No se efectuó seguimiento.
27 de noviembre de 2015
La Subdirección Administrativa remitió las últimas TRD aprobada en comité de gestión documental. Estas ya fueron ingresadas a la carpeta de calidad.
Validar  \\serv-cv2\calidad\10. PROCESO ADMINISTRACIÓN DE LA INFORMACIÓN\TABLAS RETENCIÓN DOCUMENTAL\VIGENCIA 2014.
Las tablas de retención documental ya fueron convalidadas por el Archivo Distrital, de lo cual ya se ha dado amplia difusión y socialización por parte de la OAC a todos los funcionarios.
Por lo anterior, se solicita a Control Interno dar cierre a la no conformidad.
</t>
    </r>
    <r>
      <rPr>
        <b/>
        <sz val="8"/>
        <color theme="1"/>
        <rFont val="Arial"/>
        <family val="2"/>
      </rPr>
      <t>Control Interno: A pesar que se cumplieron las acciones el hallazgo sigue igual, se debe dar línea para que las TRD estén de acuerdo con los procedimientos.</t>
    </r>
  </si>
  <si>
    <r>
      <rPr>
        <b/>
        <sz val="8"/>
        <color theme="1"/>
        <rFont val="Arial"/>
        <family val="2"/>
      </rPr>
      <t>20 de junio de 2016</t>
    </r>
    <r>
      <rPr>
        <sz val="8"/>
        <color theme="1"/>
        <rFont val="Arial"/>
        <family val="2"/>
      </rPr>
      <t xml:space="preserve">. Se han formulado los siguientes procedimientos definidos en la norma NTD-SIG-2011: 
a. Reporte e investigación de accidentes laborales: Se encuentra descrito en el manual "Subsistema de Gestión de la Salud y Seguridad en el Trabajo, en el capítulo 11.3. PROGRAMA DE HIGIENE Y SEGURIDAD INDUSTRIAL, ítem 11.3. PROGRAMA DE HIGIENE Y SEGURIDAD INDUSTRIAL. Validar el manual en la ruta:\\serv-cv11\calidad\12. PROCESO GESTIÓN HUMANA\MANUALES\208-SADM-Mn-07 SUBSISTEMA GESTIÓN SST
b. Construcción y actualización del normograma: Se encuentra descrito en el documento Control Documental con Código: 208-PLA-Pr-15, capítulo III. Elaboración de la normatividad vigente y IV. Actualización de la normatividad vigente
c. Monitoreo del uso de los medios de procesamiento de información se encuentra presentado en el procedimiento: PROCEDIMIENTO VERIFICACIÓN DE INTEGRIDAD DE DATOS EN SISTEMAS DE INFORMACIÓN código 208-DGC-Pr-08 Versión 1 del 05-11-2015. (Revisar en auditoria de Administración de Sistemas de Información). y el instructivo 208-DGC-In-03 INSTRUCTIVO MEDIDAS TECNOLÓGICAS Y ADMINISTRATIVAS DE PROTECCIÓN DE DATOS. (Revisar en auditoria de Administración de Sistemas de Información) 
Se modificó fecha de cierre del 31 de diciembre de 2015 al 31 de diciembre de 2016 para la elaboración de los procedimientos protección del intercambio de información y monitoreo del uso de los medios de procesamiento de información.
12-08-2015 Seguimiento del proceso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r>
  </si>
  <si>
    <r>
      <rPr>
        <b/>
        <sz val="8"/>
        <color theme="1"/>
        <rFont val="Arial"/>
        <family val="2"/>
      </rPr>
      <t>20 de junio de 2016.</t>
    </r>
    <r>
      <rPr>
        <sz val="8"/>
        <color theme="1"/>
        <rFont val="Arial"/>
        <family val="2"/>
      </rPr>
      <t xml:space="preserve"> En la actualidad se usan logos correspondientes a la nueva administración distrital. Sin embargo el hallazgo se enmarca en asegurar que sea utilizado el logo en los procedimientos y documentos que indique: "Caja de la Vivienda Popular", presentado en la guía 208-COM-G-01 V1 del 29 de septiembre de 2014. A pesar de que deba actualizarse la guía, el logo de la entidad se mantiene como se ha indicado. 
En los procedimientos del último semestre del 2015 continua la utilización del logo que no corresponde al nombre oficial de la entidad.
Se modifica la fecha de cierre del 31 de diciembre de 2015 al 31 de diciembre de 2016, con el fin de aplicar y utilizar el logo dentro de los procedimiento y documentos de la entidad.12-08-2015
Se solicitó a la Oficina Asesora de Comunicaciones la actualización de la  Guía de Manejo de imagen CVP. (en esta revisión se incluyó todos los logos institucionales que actualmente esta manejando la entidad). 
Esta guía esta en proceso de ajuste por parte de la oficina asesora de comunicaciones.</t>
    </r>
  </si>
  <si>
    <r>
      <rPr>
        <b/>
        <sz val="8"/>
        <color theme="1"/>
        <rFont val="Arial"/>
        <family val="2"/>
      </rPr>
      <t>20 de junio de 2016</t>
    </r>
    <r>
      <rPr>
        <sz val="8"/>
        <color theme="1"/>
        <rFont val="Arial"/>
        <family val="2"/>
      </rPr>
      <t>.  Se construyó el plan de trabajo que asegure su completa implementación. Se lleva acabo seguimiento para su culminación.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27 de noviembre de 2015
Se elaboró el cronograma y se realiza seguimiento permanente con un consolidado semestral, dado que aún se requiere implementar algunos productos mínimos y que en cuadro de seguimiento se estima un porcentaje de implementación del 87%, se solicita a control interno ampliar la fecha a 31 de marzo de 2016.</t>
    </r>
  </si>
  <si>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</si>
  <si>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No se ha adelantado el registro de las actas del comité del Sistema Integrado de Gestión, para todos los comités reunidos en la vigencia 2016.</t>
  </si>
  <si>
    <t>El mapa de riesgos por procesos 2015 debe ser analizado para constatar que las acciones formuladas y ejecutadas aporten a efectos de mitigarlos, reducirlos o evitarlos y tomarlos como insumo en la construcción del mapa de riesgos de la vigencia 2016.</t>
  </si>
  <si>
    <t>No se ha elaborado la matriz de producto y/o Servicio No conforme</t>
  </si>
  <si>
    <r>
      <rPr>
        <b/>
        <sz val="8"/>
        <rFont val="Arial"/>
        <family val="2"/>
      </rPr>
      <t>16 de junio de 2016.</t>
    </r>
    <r>
      <rPr>
        <sz val="8"/>
        <rFont val="Arial"/>
        <family val="2"/>
      </rPr>
      <t xml:space="preserve"> Se da cierre de este hallazgo, ya que no existe un procedimiento o lineamiento que establezca un parámetro de distribución equitativa de los procesos. </t>
    </r>
  </si>
  <si>
    <t>No formularon plan pero se realiza seguimiento en la auditoria cerrada e 30 de junio de 2016</t>
  </si>
  <si>
    <t>Se da cierre por considerar que no aplica el hallazgo</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</si>
  <si>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</si>
  <si>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</si>
  <si>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r>
      <rPr>
        <b/>
        <sz val="9"/>
        <color theme="1"/>
        <rFont val="Arial"/>
        <family val="2"/>
      </rPr>
      <t>16 de junio de 2016.</t>
    </r>
    <r>
      <rPr>
        <sz val="9"/>
        <color theme="1"/>
        <rFont val="Arial"/>
        <family val="2"/>
      </rPr>
      <t xml:space="preserve"> Se da cierre, puesto que la Dirección Jurídica presenta los soportes de trasferencia al archivo de gestión central de la entidad. Soportes firmados por la persona encargada de la época. 
12-01-2016
Se hizo entrega de las cajas de los archivos muertos a gestión documental, área encargada de hacer la intervención en calidad de apoyo a la Dirección Jurídica; actividad que está en proceso. Una vez terminada esta labor se procederá a formalizar la transferencia, de conformidad con el cronograma de la vigencia 2016, aprobado por el Comité Interno de Archivo de la entidad. Por lo anterior, esta acción continúa abierta.</t>
    </r>
  </si>
  <si>
    <r>
      <t xml:space="preserve">16 de junio de 2016. </t>
    </r>
    <r>
      <rPr>
        <sz val="8"/>
        <color theme="1"/>
        <rFont val="Arial"/>
        <family val="2"/>
      </rPr>
      <t>Se da cierre, puesto que</t>
    </r>
    <r>
      <rPr>
        <sz val="8"/>
        <color rgb="FF000000"/>
        <rFont val="Arial"/>
        <family val="2"/>
      </rPr>
      <t xml:space="preserve"> la Dirección Jurídica presenta los soportes de trasferencia al archivo de gestión central de la entidad. Soportes firmados por la persona encargada de la época.</t>
    </r>
    <r>
      <rPr>
        <b/>
        <sz val="8"/>
        <color rgb="FF000000"/>
        <rFont val="Arial"/>
        <family val="2"/>
      </rPr>
      <t xml:space="preserve"> </t>
    </r>
  </si>
  <si>
    <r>
      <rPr>
        <b/>
        <sz val="10"/>
        <color theme="1"/>
        <rFont val="Arial"/>
        <family val="2"/>
      </rPr>
      <t>16 de junio de 2016.</t>
    </r>
    <r>
      <rPr>
        <sz val="10"/>
        <color theme="1"/>
        <rFont val="Arial"/>
        <family val="2"/>
      </rPr>
      <t xml:space="preserve"> Se da cierre, se evidenció que el formato fue actualizado
12-01-2016
El formato 2018-DJ-Pr-06, no ha sido actualizado. Esta acción continúa abierta.</t>
    </r>
  </si>
  <si>
    <r>
      <rPr>
        <b/>
        <sz val="10"/>
        <color theme="1"/>
        <rFont val="Arial"/>
        <family val="2"/>
      </rPr>
      <t>16 de junio de 2016.</t>
    </r>
    <r>
      <rPr>
        <sz val="10"/>
        <color theme="1"/>
        <rFont val="Arial"/>
        <family val="2"/>
      </rPr>
      <t xml:space="preserve"> Se solicitaron al funcionario Leonardo Garnica, responsable del archivo, los soportes de la sensibilización a la que asistió pero estos no fueron allegados. Continúa abierta.
12-01-2016
Se asignó funcionario de planta encargado del archivo de jurídica. Esta acción establece la sensibilización al funcionario encargado, de lo cual no se presenta evidencia. Continúa abierta.</t>
    </r>
  </si>
  <si>
    <t>16 de junio de 2016. Se verifica que los expedientes que fueron transferidos al archivo de gestión central fueron digitalizados, los expedientes que se encuentran en la Dirección Jurídica están en proceso de digitalización. Continúa Abierta.
12-01-2016
Los documentos de los procesos judiciales son digitalizados y subidos en el SIPROJWEB. EL SIPROJWEB es una “herramienta de trabajo para la consulta, análisis y actualización de información judicial relacionada con Bogotá.”. La Entidad cuenta con el aplicativo Zaffiro, que permite entre otros aspectos, la digitalización de la totalidad de los tipos documentales susceptibles de archivo. Esta acción continúa abierta.</t>
  </si>
  <si>
    <r>
      <rPr>
        <b/>
        <sz val="8"/>
        <color theme="1"/>
        <rFont val="Arial"/>
        <family val="2"/>
      </rPr>
      <t>16 de junio de 2016.</t>
    </r>
    <r>
      <rPr>
        <sz val="8"/>
        <color theme="1"/>
        <rFont val="Arial"/>
        <family val="2"/>
      </rPr>
      <t xml:space="preserve"> Se solicitó al funcionario (Leonardo Garnica) responsable los soportes de la sensibilización a la que asistió pero no fueron allegados a Control Interno. Continúa Abierta.
12-01-2016
Acción cerrada en el Plan de Mejoramiento de la Contraloría. Sin embargo, en revisión del 06 de enero de 2016, se evidenció en presencia de la contratista Maryoris Esther Carrilllo Esmeral, que se siguen presentando procesos judiciales desactualizados en el SIPROJ, en especial en lo relacionado con los documentos en PDF. Por lo anterior, la acción continúa abierta. </t>
    </r>
  </si>
  <si>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</si>
  <si>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Respecto al plan de mejoramiento revisado en el ejercicio de esta auditoría a cuatro hallazgos no se habían formulado acciones, igualmente se hizo seguimiento dentro del ejercicio de la auditoría.</t>
  </si>
  <si>
    <t xml:space="preserve">24-06-2016 En la formulación del Plan de mejoramiento derivado de la auditoría de 2015, se solicita ampliación de la fecha de cierre para el 30 de octubre de 2016, para efectos de cumplir con la acción.
El procedimiento se construyó y está en proceso de revisión y firma.
20 de octubre de 2015
El procedimiento 208-COM-Pr-03 ADMINISTRACIÓN Y GESTIÓN DE CONTENIDOS EN WEB E INTRANET, Vr 2 formalizado a partir del 22 de septiembre de 2015, no cuenta con  el aparte de evaluación sobre la percepción de la WEB e Intranet.
Revisada la página web se encontró, en el link de servicio al ciudadano, sondeo de percepción portal web, el cual no se encuentra asociado a ningún procedimiento del proceso.
</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</si>
  <si>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</si>
  <si>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r>
      <rPr>
        <b/>
        <sz val="8"/>
        <color theme="1"/>
        <rFont val="Arial"/>
        <family val="2"/>
      </rPr>
      <t xml:space="preserve">14 de junio de 2016: </t>
    </r>
    <r>
      <rPr>
        <sz val="8"/>
        <color theme="1"/>
        <rFont val="Arial"/>
        <family val="2"/>
      </rPr>
      <t>Se evidenció la actualización del procedimiento desde el punto de vista de la nueva normatividad aplicable. Falta verificar el listado maestro de documentos contra el procedimiento, para garantizar la codificación de los registros.</t>
    </r>
  </si>
  <si>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</si>
  <si>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</si>
  <si>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</si>
  <si>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r>
      <rPr>
        <b/>
        <sz val="8"/>
        <color theme="1"/>
        <rFont val="Arial"/>
        <family val="2"/>
      </rPr>
      <t>14 de junio de 2016:</t>
    </r>
    <r>
      <rPr>
        <sz val="8"/>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</si>
  <si>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r>
      <rPr>
        <b/>
        <sz val="8"/>
        <color theme="1"/>
        <rFont val="Arial"/>
        <family val="2"/>
      </rPr>
      <t xml:space="preserve">14 de junio de 2016: </t>
    </r>
    <r>
      <rPr>
        <sz val="8"/>
        <color theme="1"/>
        <rFont val="Arial"/>
        <family val="2"/>
      </rPr>
      <t>Se vuelve a evidenciar que la pantalla no se encuentra en funcionamiento.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</si>
  <si>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</si>
  <si>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 No se evidencia la formulación del indicador de cumplimiento.</t>
    </r>
  </si>
  <si>
    <r>
      <rPr>
        <b/>
        <sz val="10"/>
        <color theme="1"/>
        <rFont val="Arial"/>
        <family val="2"/>
      </rPr>
      <t>14 de junio de 2016:</t>
    </r>
    <r>
      <rPr>
        <sz val="10"/>
        <color theme="1"/>
        <rFont val="Arial"/>
        <family val="2"/>
      </rPr>
      <t xml:space="preserve"> El normograma se encuentra actualizado y publicado en la carpeta de calidad con fecha 6 de mayo de 2016.</t>
    </r>
  </si>
  <si>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</si>
  <si>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r>
      <rPr>
        <b/>
        <sz val="9"/>
        <color theme="1"/>
        <rFont val="Arial"/>
        <family val="2"/>
      </rPr>
      <t xml:space="preserve">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</si>
  <si>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Verificar las acciones del mapa de riesgos para formulación conforme al PDD Bogotá Mejor para todos</t>
  </si>
  <si>
    <t xml:space="preserve">Hacer seguimiento a las metas de las sub-actividades para identificar su cumplimiento </t>
  </si>
  <si>
    <t>Aprobar las acciones correctivas y preventivas identificadas</t>
  </si>
  <si>
    <t xml:space="preserve">Dirección de Urbanización y Titulación </t>
  </si>
  <si>
    <t xml:space="preserve">Revisar y actualizar a tiempo cada una de las herramientas de la direccion de Mejoramiento de Vivienda, con el fin de mantener y oficializar los resultados de las mediciones </t>
  </si>
  <si>
    <t>Director de Mejoramiento de Vivienda, Coordinadores DMV y Profesional de planeación de la DMV</t>
  </si>
  <si>
    <t>Realizar la revisión de las acciones propuestas en la matriz de riesgos, con el fin de definir si se continua con el seguimiento o si se requiere realizar un nuevo planteamiento</t>
  </si>
  <si>
    <t xml:space="preserve">Se debe revisar y ajustar el formato " 208-PLA-Ft-12" según la carpeta de calidad y  realizar la revision y ajuste a los ponderados  de las actividades y subactividades </t>
  </si>
  <si>
    <t> Ajustar la minuta contractual para los abogados, incluyendo la renuncia de los poderes en término prudencial posterior a la terminación del contrato de prestación de servicios</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</si>
  <si>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</si>
  <si>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Se da cierre por Monica Bustamante  en Auditoria de octubre 20 de 2016, comprobando el cumplimiento.</t>
  </si>
  <si>
    <t>Ajustar el procedimiento de Seguimiento a procesos judiciales para que, anexo al informe de procesos judiciales se allegue al reporte del histórico de actuaciones de cada proceso que genera el SIPROJ incluyendo el registro de PDF.</t>
  </si>
  <si>
    <t>Ajustar el procedimiento de seguimiento a procesos judiciales para generar el punto de control del manejo, cuidado y custodia del archivo de gestión de defensa judicial de acuerdo a la normatividad archivística vigente.</t>
  </si>
  <si>
    <r>
      <rPr>
        <b/>
        <sz val="9"/>
        <color theme="1"/>
        <rFont val="Arial"/>
        <family val="2"/>
      </rPr>
      <t xml:space="preserve"> 14 de octubre de 2016.  </t>
    </r>
    <r>
      <rPr>
        <sz val="9"/>
        <color theme="1"/>
        <rFont val="Arial"/>
        <family val="2"/>
      </rPr>
      <t>Se evidencia que no ha sido efectiva la acción planteada por el área. Se encuentra documentación suelta (documentos, expedientes, AZ) tanto en el área de archivo de procesos judiciales, como en el área de la secretaría. Continúa abierta. (se replantea la acción y la fecha de cumplimiento)</t>
    </r>
    <r>
      <rPr>
        <b/>
        <sz val="9"/>
        <color theme="1"/>
        <rFont val="Arial"/>
        <family val="2"/>
      </rPr>
      <t xml:space="preserve">                                                       16 de junio de 2016.  </t>
    </r>
    <r>
      <rPr>
        <sz val="9"/>
        <color theme="1"/>
        <rFont val="Arial"/>
        <family val="2"/>
      </rPr>
      <t>Dentro del ejercicio de la auditoría se evidencia que  no hay efectividad dentro de la acción planteada por el área. Continúa abierta.</t>
    </r>
    <r>
      <rPr>
        <b/>
        <sz val="9"/>
        <color theme="1"/>
        <rFont val="Arial"/>
        <family val="2"/>
      </rPr>
      <t xml:space="preserve">
30/01/2015 </t>
    </r>
    <r>
      <rPr>
        <sz val="9"/>
        <color theme="1"/>
        <rFont val="Arial"/>
        <family val="2"/>
      </rPr>
      <t xml:space="preserve">El 19/09/2014 con el código 208-DJ-Pr-08 se incorporo en calidad el procedimiento correspondiente al seguimiento de los procesos judiciales; la acción se cumplió </t>
    </r>
  </si>
  <si>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</si>
  <si>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8"/>
        <color theme="1"/>
        <rFont val="Arial"/>
        <family val="2"/>
      </rPr>
      <t>14 de octubre de 2016</t>
    </r>
    <r>
      <rPr>
        <sz val="8"/>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replanteo la acción y la fecha de cumplimiento)  Se cierra                                                                             </t>
    </r>
    <r>
      <rPr>
        <b/>
        <sz val="8"/>
        <color theme="1"/>
        <rFont val="Arial"/>
        <family val="2"/>
      </rPr>
      <t xml:space="preserve">  16 de junio de 2016. </t>
    </r>
    <r>
      <rPr>
        <sz val="8"/>
        <color theme="1"/>
        <rFont val="Arial"/>
        <family val="2"/>
      </rPr>
      <t>Revisado el PROCEDIMIENTO AUDIENCIAS DE CONCILIACIÓN Y DE PACTO DE CUMPLIMIENTO 208-DJ-Pr-05; se evidencia que no se  ha incluido el mencionado punto de control. Continúa abierta
12-01-2016
Se expidió constancia por parte del Secretario del Comité de Conciliación, de la no generación de reporte de indicadores.  Se anexa soporte. Esta acción estableció incluir en el procedimiento de la conciliación el punto de control vinculado a la expedición de la constancia bimestral de no generación del reporte de indicadores. Revisado el PROCEDIMIENTO AUDIENCIAS DE CONCILIACIÓN Y DE PACTO DE CUMPLIMIENTO 208-DJ-Pr-05; se evidencia que no se  ha incluido el mencionado punto de control. Continúa Abierta.</t>
    </r>
  </si>
  <si>
    <t xml:space="preserve">Se solicitará al proceso de Gestión Documental la capacitación y el apoyo para el levante, depuración y foliación de la documentacion de la Dirección jurídica </t>
  </si>
  <si>
    <r>
      <rPr>
        <b/>
        <sz val="10"/>
        <color theme="1"/>
        <rFont val="Arial"/>
        <family val="2"/>
      </rPr>
      <t>14 oct 2016.</t>
    </r>
    <r>
      <rPr>
        <sz val="10"/>
        <color theme="1"/>
        <rFont val="Arial"/>
        <family val="2"/>
      </rPr>
      <t xml:space="preserve"> Una vez revisados los soportes enviados por la Dirección Jurídica se evidencia que aún el aplicativo se encuentra desactualizado. Se mantiene el hallazgo.   (replantean la acción y la fecha de cumplimiento)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</si>
  <si>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da cierre por José Orjuela en seguimiento en enero de 2016, comprobando el cumplimiento       Se abre nuevamente por una observación realizada por la Contraloría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</si>
  <si>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</si>
  <si>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10"/>
        <color theme="1"/>
        <rFont val="Arial"/>
        <family val="2"/>
      </rPr>
      <t>14 de octubre de 2016</t>
    </r>
    <r>
      <rPr>
        <sz val="10"/>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cierra                                                           </t>
    </r>
    <r>
      <rPr>
        <b/>
        <sz val="10"/>
        <color theme="1"/>
        <rFont val="Arial"/>
        <family val="2"/>
      </rPr>
      <t xml:space="preserve">12-01-2016  </t>
    </r>
    <r>
      <rPr>
        <sz val="10"/>
        <color theme="1"/>
        <rFont val="Arial"/>
        <family val="2"/>
      </rPr>
      <t>Se expidió constancia por parte del Secretario del Comité de Conciliación, de la no generación de reporte de indicadores.  Se anexa soporte. (Certificación suscrita el 08 de enero de 2016). Se solicita el cierre de esta acción.</t>
    </r>
  </si>
  <si>
    <t>Se da cierre por José Orjuela en seguimiento en enero de 2016, comprobando el cumplimiento, y los soportes se dejan en carpeta de soportes del plan de mejoramiento Se da cierre por Monica Bustamante  en Auditoria de octubre 20 de 2016, comprobando el cumplimiento.</t>
  </si>
  <si>
    <t xml:space="preserve">Realizar capacitación en políticas de la prevención del daño antijurídico con 1 capacitación semestral. </t>
  </si>
  <si>
    <r>
      <rPr>
        <b/>
        <sz val="10"/>
        <color theme="1"/>
        <rFont val="Arial"/>
        <family val="2"/>
      </rPr>
      <t>14 de octubre de 2016</t>
    </r>
    <r>
      <rPr>
        <sz val="10"/>
        <color theme="1"/>
        <rFont val="Arial"/>
        <family val="2"/>
      </rPr>
      <t xml:space="preserve">. La Dirección Jurídica imparte capacitación el 23 de septiembre de 2016 (soporte en la carpeta compartida de Control Interno) y da cumplimiento a la acción planteada. Para la próxima vigencia se recomienda verificar que se cumpla con la propuesta de impartir una capacitación semestral. Se da cierre.                            </t>
    </r>
    <r>
      <rPr>
        <b/>
        <sz val="10"/>
        <color theme="1"/>
        <rFont val="Arial"/>
        <family val="2"/>
      </rPr>
      <t>16 de junio de 2016</t>
    </r>
    <r>
      <rPr>
        <sz val="10"/>
        <color theme="1"/>
        <rFont val="Arial"/>
        <family val="2"/>
      </rPr>
      <t>. A la fecha de la auditoría, no se ha impartido ninguna capacitación en esta vigencia. Continúa abierta
12-01-2016
Se realizó solo una capacitación en la vigencia 2015.  Por lo tanto, esta acción continúa abierta.</t>
    </r>
  </si>
  <si>
    <r>
      <rPr>
        <b/>
        <sz val="10"/>
        <color theme="1"/>
        <rFont val="Arial"/>
        <family val="2"/>
      </rPr>
      <t xml:space="preserve">14 de octubre </t>
    </r>
    <r>
      <rPr>
        <sz val="10"/>
        <color theme="1"/>
        <rFont val="Arial"/>
        <family val="2"/>
      </rPr>
      <t xml:space="preserve">de 2016. El técnico operativo que en este momento se encuentra a cargo de esta actividad menciona que a la fecha no han convocado por parte de Gestión Documental la capacitación que está pendiente. Continúa abierta.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</si>
  <si>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</si>
  <si>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</si>
  <si>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r>
      <rPr>
        <b/>
        <sz val="8"/>
        <rFont val="Arial"/>
        <family val="2"/>
      </rPr>
      <t xml:space="preserve">14 de octubre de 2016. </t>
    </r>
    <r>
      <rPr>
        <sz val="8"/>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8"/>
        <rFont val="Arial"/>
        <family val="2"/>
      </rPr>
      <t xml:space="preserve">   </t>
    </r>
    <r>
      <rPr>
        <sz val="8"/>
        <rFont val="Arial"/>
        <family val="2"/>
      </rPr>
      <t xml:space="preserve">(se replantea la acción y la fecha de cumplimiento)  </t>
    </r>
    <r>
      <rPr>
        <b/>
        <sz val="8"/>
        <rFont val="Arial"/>
        <family val="2"/>
      </rPr>
      <t xml:space="preserve">                                              16 de junio de 2016</t>
    </r>
    <r>
      <rPr>
        <sz val="8"/>
        <rFont val="Arial"/>
        <family val="2"/>
      </rPr>
      <t>. Una vez revisado el aplicativo se evidencia que subsiste esta situación. GENERAR PLAN DE MEJORAMIENTO</t>
    </r>
  </si>
  <si>
    <r>
      <rPr>
        <b/>
        <sz val="8"/>
        <color theme="1"/>
        <rFont val="Arial"/>
        <family val="2"/>
      </rPr>
      <t xml:space="preserve">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</si>
  <si>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está llevando a cabo la digitalización de los expedientes. Continúa abierta.                                                                      </t>
    </r>
    <r>
      <rPr>
        <b/>
        <sz val="10"/>
        <color theme="1"/>
        <rFont val="Arial"/>
        <family val="2"/>
      </rPr>
      <t>12-01-2016</t>
    </r>
    <r>
      <rPr>
        <sz val="10"/>
        <color theme="1"/>
        <rFont val="Arial"/>
        <family val="2"/>
      </rPr>
      <t xml:space="preserve"> Se remitió inventario del archivo a gestión documental, para que con su intervención se lleve a cabo la foliación y digitalización de los documentos.  Se anexan soportes. Se solicita el cierre de esta acción.</t>
    </r>
  </si>
  <si>
    <r>
      <rPr>
        <b/>
        <sz val="8"/>
        <color theme="1"/>
        <rFont val="Arial"/>
        <family val="2"/>
      </rPr>
      <t>14 de octubre de 2016.</t>
    </r>
    <r>
      <rPr>
        <sz val="8"/>
        <color theme="1"/>
        <rFont val="Arial"/>
        <family val="2"/>
      </rPr>
      <t xml:space="preserve"> Vía correo electrónico, la Dirección Jurídica remite el soporte del informe entregado por parte del técnico judicial. Con base en la actualización del procedimiento se procede al cierre.                                                      </t>
    </r>
    <r>
      <rPr>
        <b/>
        <sz val="8"/>
        <color theme="1"/>
        <rFont val="Arial"/>
        <family val="2"/>
      </rPr>
      <t>16 de junio de 2016</t>
    </r>
    <r>
      <rPr>
        <sz val="8"/>
        <color theme="1"/>
        <rFont val="Arial"/>
        <family val="2"/>
      </rPr>
      <t>. El funcionario a cargo del seguimiento informa que no está presentando al Director Jurídico el seguimiento de SIPROJ. Sin embargo entrega soportes de los correos que envía a los apoderados para informar sobre las inconsistencias que se presentan en el aplicativo. Así mismo una comunicación al abogado Juan Manuel Russy, para solicitarle mantener actualizado el sistema. Soportes en la carpeta compartida de Control Interno. Continúa Abierta</t>
    </r>
  </si>
  <si>
    <t>Ajustar el procedimiento de seguimiento a procesos judiciales para que anexo al informe de procesos judiciales se allegue el reporte del histórico de actuaciones de cada proceso que genera el SIPROJ incluyendo el registro de PDF y  puntos de control.</t>
  </si>
  <si>
    <r>
      <t xml:space="preserve">
</t>
    </r>
    <r>
      <rPr>
        <b/>
        <sz val="8"/>
        <color theme="1"/>
        <rFont val="Arial"/>
        <family val="2"/>
      </rPr>
      <t>14 de octubre de 2016.</t>
    </r>
    <r>
      <rPr>
        <sz val="8"/>
        <color theme="1"/>
        <rFont val="Arial"/>
        <family val="2"/>
      </rPr>
      <t xml:space="preserve"> Una vez revisados los soportes presentados por la Dirección Jurídica se evidencia que el aplicativo se encuentra desactualizado. Continúa abierta.
</t>
    </r>
    <r>
      <rPr>
        <b/>
        <sz val="8"/>
        <color theme="1"/>
        <rFont val="Arial"/>
        <family val="2"/>
      </rPr>
      <t>16 de junio de 2016</t>
    </r>
    <r>
      <rPr>
        <sz val="8"/>
        <color theme="1"/>
        <rFont val="Arial"/>
        <family val="2"/>
      </rPr>
      <t xml:space="preserve">. La abogada Yamile Castiblanco menciona que el punto de control para estos contratos está compuesto por: el manual de contratación, el informe mensual, el seguimiento al aplicativo SIPROJWEB. Teniendo en cuenta lo anterior se puede evidenciar que el aplicativo continúa desactualizado en varios de los procesos tomados como muestra selectiva para revisión. Así mismo, como se mencionó anteriormente, no obran informes del abogado Juan Manuel Russy. El seguimiento se hace en el aplicativo SIPROJ por parte del funcionario a cargo, pero no es una acción eficaz, ya que al parecer por parte de los abogados no hay interés en actualizarlo. En el caso del abogado Juan Manuel Russy tampoco en la presentación de informes. Resulta necesario que quien supervise estos contratos tenga en cuenta la exigencia de cumplimiento de las obligaciones generales y especiales de los contratos, así como de los procedimientos aprobados de la entidad para el debido cumplimiento. Si el área considera que es suficiente con las herramientas para la supervisión de contratos, es necesario hacer un análisis de causa y reformular la acción planteada. Continúa Abierta. En la revisión del </t>
    </r>
    <r>
      <rPr>
        <b/>
        <sz val="8"/>
        <color theme="1"/>
        <rFont val="Arial"/>
        <family val="2"/>
      </rPr>
      <t>6 de enero de 2016</t>
    </r>
    <r>
      <rPr>
        <sz val="8"/>
        <color theme="1"/>
        <rFont val="Arial"/>
        <family val="2"/>
      </rPr>
      <t xml:space="preserve"> se evidenció en presencia de la contratista que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</si>
  <si>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ha cumplido con la acción propuesta. Continúa abierta                                                                  </t>
    </r>
    <r>
      <rPr>
        <b/>
        <sz val="10"/>
        <color theme="1"/>
        <rFont val="Arial"/>
        <family val="2"/>
      </rPr>
      <t>16 de junio de 2016</t>
    </r>
    <r>
      <rPr>
        <sz val="10"/>
        <color theme="1"/>
        <rFont val="Arial"/>
        <family val="2"/>
      </rPr>
      <t>. No se ha cumplido con la acción propuesta. Continúa abierta</t>
    </r>
  </si>
  <si>
    <r>
      <t xml:space="preserve">14 de octubre de 2016. </t>
    </r>
    <r>
      <rPr>
        <sz val="8"/>
        <color theme="1"/>
        <rFont val="Arial"/>
        <family val="2"/>
      </rPr>
      <t>En las carpetas de informes de los abogados no reposa el histórico de actuaciones (en PDF) de cada proceso, generado por el aplicativo SIPROJ. Continúa abierta.</t>
    </r>
  </si>
  <si>
    <r>
      <t>14 de octubre de 2016</t>
    </r>
    <r>
      <rPr>
        <sz val="8"/>
        <color theme="1"/>
        <rFont val="Arial"/>
        <family val="2"/>
      </rPr>
      <t>. Se remiten por parte la Dirección Jurídica los registros de reunión, soportes del seguimiento que se hace a los procesos. Se cierra.</t>
    </r>
  </si>
  <si>
    <t xml:space="preserve">Auditoria Interna </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</si>
  <si>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</si>
  <si>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</si>
  <si>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 xml:space="preserve">Director Jurídico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</si>
  <si>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</si>
  <si>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</si>
  <si>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</si>
  <si>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</si>
  <si>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</si>
  <si>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A partir del mes Julio de 2016 con el nuevo Plan de Desarrollo se efectúa seguimiento  a las metas de entrega de 2 zonas de cesión y cierre de 3 proyectos constructivos y de urbanismo para vivienda VIP y a los nuevos indiciadores planeados.</t>
  </si>
  <si>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</si>
  <si>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Mensualmente se efectuará seguimiento a la publicación por parte de Planeación</t>
  </si>
  <si>
    <t xml:space="preserve">Auditoria </t>
  </si>
  <si>
    <t>Analizar el procedimiento para observar la alternativa de ajustes al mismo, en los pasos que se realizan a través E-mail. Se realizan actas de reuniones, documentación que requiere firma de los que participan.</t>
  </si>
  <si>
    <t>Oficina Asesora de Comunicaciones</t>
  </si>
  <si>
    <t>Revisión, análisis y ajuste (eliminación o modificación) del procedimiento para evidenciar la vigencia y aplicabilidad de los documentos enlistados.</t>
  </si>
  <si>
    <t>Revisión y actualización TRD para el área de comunicaciones.</t>
  </si>
  <si>
    <t>Crear carpeta virtual que evidencia el proceso. Generar un soporte que incluya la relación de los archivos guaradados de manera virtual para tener evidencia.</t>
  </si>
  <si>
    <t>La OAC lideró junto con la Dirección Corportativa el seguimiento a la actualización del Esquema de Publicaciones CVP; Activos de Información y Guía de Transparencia Activa de la Procuraduría y cada numeral de la Resolución 3564 de 2015</t>
  </si>
  <si>
    <t>La OAC cumple con la normatividad del Decreto 103 de 2015, Art. 4, y la Resolución 3564 de 2015 MINTIC,  en el link TRANSPARENCIA se despliega el acceso a TRANSPARENCIA Y ACCESO A LA INFORMACIÓN PÚBLICA , con todos los contenidos norma.</t>
  </si>
  <si>
    <t xml:space="preserve">La OAC lidera la solicitud de información a las diferentes direcciones corresponsables de la producción de ésta infromación del Directorio, con base en la normatividad. </t>
  </si>
  <si>
    <t>Los directorios, perfiles y demás información que señala la norma, se encuentran actualizados a corte abril 2016</t>
  </si>
  <si>
    <t xml:space="preserve">Este hallazgo tiene como acción de mejoramiento el de enlazar a la página web de CVP el formulario de búsqueda avanzada  de SECOP </t>
  </si>
  <si>
    <t xml:space="preserve">Se cuenta como una ayuda adicional al proceso de búsqueda del usuario, el chat en línea del SECOP. Para noviembre se tendrán las pruebas del  tutorial dirigido a los usuarios </t>
  </si>
  <si>
    <t>De acuerdo con los contenidos del Tíulo V del Decreto 103 de 2015 y la Resolución 3564 de 2015 MINTIC, lo señalado allí se encuentra hoy, marzo de 2016  publicado y actualizado.</t>
  </si>
  <si>
    <t xml:space="preserve">La OAC lidera junto con la Dirección Corportativa el seguimiento a la actualización del Esquema de Publicaciones CVP; Activos de Información y Guía de Transparencia Activa de la Procuraduría y cada numeral de la Resolución 3564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</si>
  <si>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</si>
  <si>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t>La OAC lidera junto con la Dirección Corportativa el seguimiento a la actualización del Esquema de Publicaciones CVP; Activos de Información y Guía de Transparencia Activa de la Procuraduría y cada numeral de la Resolución 3564 de 2015.</t>
  </si>
  <si>
    <t>Gestión Documental/ Oficina asesora de Comuniaciones</t>
  </si>
  <si>
    <t xml:space="preserve">La Dirección Corporativa, la OAC y profesionales Web Master y Transparencia </t>
  </si>
  <si>
    <t>El Enlace de la Dirección de Mejoramiento de Barrios con la Oficina Asesora de Planeación, solicita la publicación en la carpeta de la Calidad y comprueba que este publicado.</t>
  </si>
  <si>
    <t>María Fernanda Narváez</t>
  </si>
  <si>
    <t>El Enlace de la Dirección de Mejoramiento de Barrios con la Oficina Asesora de Planeación, realiza la planificación de las herrramientas de seguimiento incluyendo todos los procesos vigentes.</t>
  </si>
  <si>
    <t>Remitir comunicación (correo o memorando) a los enlaces y líderes de los procesos informando cuales de los procedimientos se encuentran en el formato anterior, y solicitar su concepto acerca de la necesidad o no de actualizarlos.</t>
  </si>
  <si>
    <t>Profesional  Oficina Asesora de Planeación</t>
  </si>
  <si>
    <t>Realizar una jornada de socialización a los enlaces de cada proceso donde se expondrá el formato de procedimiento y el contenido de los capítulos -Condiciones Generales (Políticas de Operación) y -Puntos de Control.</t>
  </si>
  <si>
    <t>Una vez recibida la respuesta por parte de los procesos, actualizar los procedimientos en el nuevo formato.</t>
  </si>
  <si>
    <t>Gestionar que el comité Directivo se reuna para que se Analice, revise y ajuste el Plan Estratégico de la Entidad.</t>
  </si>
  <si>
    <t>Comité Directivo - Jefe Oficina Asesora de Planeación.</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</si>
  <si>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</si>
  <si>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</si>
  <si>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Gestionar ante el comité SIG una reunión para la revisión por la dirección para presente vigencia y por lo menos una reunión de revisión del Plán Estratégico de la Caja dentro del primer trimestre de 2017</t>
  </si>
  <si>
    <t xml:space="preserve">Actualización inmediata correspondiente y presentación a la OAP para la respectiva publicacion </t>
  </si>
  <si>
    <t>La OAC contrató un profesional encargado de mantener actualizados los documentos de control normativo.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</si>
</sst>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yyyy;@"/>
    <numFmt numFmtId="165" formatCode="dd/mmm/yyyy"/>
    <numFmt numFmtId="166" formatCode="0.0%"/>
    <numFmt numFmtId="167" formatCode="_(* #,##0_);_(* \(#,##0\);_(* &quot;-&quot;??_);_(@_)"/>
    <numFmt numFmtId="168" formatCode="[$-C0A]dd\-mmm\-yy;@"/>
  </numFmts>
  <fonts count="39" x14ac:knownFonts="1">
    <font>
      <sz val="11"/>
      <color theme="1"/>
      <name val="Calibri"/>
      <family val="2"/>
      <scheme val="minor"/>
    </font>
    <font>
      <sz val="11"/>
      <color theme="1"/>
      <name val="Arial"/>
      <family val="2"/>
    </font>
    <font>
      <sz val="11"/>
      <color theme="1"/>
      <name val="Arial"/>
      <family val="2"/>
    </font>
    <font>
      <sz val="10"/>
      <color theme="1"/>
      <name val="Arial"/>
      <family val="2"/>
    </font>
    <font>
      <sz val="11"/>
      <color theme="1"/>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sz val="8"/>
      <name val="Arial"/>
      <family val="2"/>
    </font>
    <font>
      <sz val="10"/>
      <color rgb="FF00B0F0"/>
      <name val="Arial"/>
      <family val="2"/>
    </font>
    <font>
      <sz val="9"/>
      <color rgb="FF000000"/>
      <name val="Arial"/>
      <family val="2"/>
    </font>
    <font>
      <b/>
      <sz val="18"/>
      <color theme="1"/>
      <name val="Arial"/>
      <family val="2"/>
    </font>
    <font>
      <b/>
      <sz val="9"/>
      <color rgb="FFFFCCCC"/>
      <name val="Arial"/>
      <family val="2"/>
    </font>
    <font>
      <sz val="10"/>
      <color rgb="FFFF0000"/>
      <name val="Arial"/>
      <family val="2"/>
    </font>
    <font>
      <sz val="11"/>
      <color rgb="FF000000"/>
      <name val="Calibri"/>
      <family val="2"/>
      <scheme val="minor"/>
    </font>
    <font>
      <sz val="8"/>
      <color rgb="FFFF0000"/>
      <name val="Arial"/>
      <family val="2"/>
    </font>
    <font>
      <sz val="9"/>
      <name val="Arial"/>
      <family val="2"/>
    </font>
    <font>
      <sz val="12"/>
      <name val="Arial"/>
      <family val="2"/>
    </font>
    <font>
      <b/>
      <sz val="14"/>
      <color theme="1"/>
      <name val="Arial"/>
      <family val="2"/>
    </font>
    <font>
      <sz val="11"/>
      <name val="Arial"/>
      <family val="2"/>
    </font>
    <font>
      <b/>
      <sz val="8"/>
      <name val="Arial"/>
      <family val="2"/>
    </font>
    <font>
      <b/>
      <sz val="11"/>
      <color rgb="FF000000"/>
      <name val="Arial"/>
      <family val="2"/>
    </font>
    <font>
      <b/>
      <sz val="16"/>
      <color theme="1"/>
      <name val="Arial"/>
      <family val="2"/>
    </font>
    <font>
      <b/>
      <sz val="11"/>
      <color rgb="FFFFCCCC"/>
      <name val="Arial"/>
      <family val="2"/>
    </font>
    <font>
      <b/>
      <sz val="10"/>
      <name val="Arial"/>
      <family val="2"/>
    </font>
    <font>
      <b/>
      <sz val="8"/>
      <color rgb="FF000000"/>
      <name val="Arial"/>
      <family val="2"/>
    </font>
    <font>
      <sz val="8"/>
      <color rgb="FF000000"/>
      <name val="Arial"/>
      <family val="2"/>
    </font>
  </fonts>
  <fills count="3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CD5B4"/>
        <bgColor rgb="FF000000"/>
      </patternFill>
    </fill>
    <fill>
      <patternFill patternType="solid">
        <fgColor rgb="FFFFFF0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gradientFill degree="45">
        <stop position="0">
          <color theme="0"/>
        </stop>
        <stop position="1">
          <color theme="4"/>
        </stop>
      </gradientFill>
    </fill>
    <fill>
      <gradientFill degree="135">
        <stop position="0">
          <color theme="0"/>
        </stop>
        <stop position="1">
          <color theme="5" tint="0.40000610370189521"/>
        </stop>
      </gradient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rgb="FF000000"/>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9" fillId="0" borderId="0"/>
    <xf numFmtId="0" fontId="4" fillId="0" borderId="0"/>
  </cellStyleXfs>
  <cellXfs count="531">
    <xf numFmtId="0" fontId="0" fillId="0" borderId="0" xfId="0"/>
    <xf numFmtId="0" fontId="0" fillId="0" borderId="0" xfId="0"/>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8" borderId="0" xfId="0" applyFont="1" applyFill="1"/>
    <xf numFmtId="0" fontId="7"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10" fillId="0" borderId="0" xfId="0" applyFont="1" applyAlignment="1">
      <alignment horizontal="left" vertical="center"/>
    </xf>
    <xf numFmtId="0" fontId="10" fillId="0" borderId="0" xfId="0" applyFont="1" applyBorder="1" applyAlignment="1">
      <alignment horizontal="right"/>
    </xf>
    <xf numFmtId="0" fontId="11" fillId="10" borderId="6" xfId="0" applyFont="1" applyFill="1" applyBorder="1" applyAlignment="1">
      <alignment vertical="center"/>
    </xf>
    <xf numFmtId="0" fontId="10" fillId="0" borderId="0" xfId="0" applyFont="1" applyFill="1" applyBorder="1" applyAlignment="1"/>
    <xf numFmtId="164" fontId="10" fillId="0" borderId="0" xfId="0" applyNumberFormat="1" applyFont="1" applyBorder="1" applyAlignment="1"/>
    <xf numFmtId="0" fontId="10" fillId="0" borderId="0" xfId="0" applyFont="1" applyBorder="1" applyAlignment="1">
      <alignment horizontal="center"/>
    </xf>
    <xf numFmtId="0" fontId="10" fillId="0" borderId="0"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10" fillId="0" borderId="0" xfId="0" applyFont="1" applyBorder="1" applyAlignment="1"/>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xf>
    <xf numFmtId="0" fontId="12" fillId="3" borderId="8" xfId="0"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0" fontId="6" fillId="11"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wrapText="1"/>
    </xf>
    <xf numFmtId="0" fontId="3" fillId="0" borderId="3" xfId="0" applyFont="1" applyBorder="1" applyAlignment="1">
      <alignment wrapText="1"/>
    </xf>
    <xf numFmtId="0" fontId="15" fillId="0" borderId="3" xfId="0" applyFont="1" applyBorder="1" applyAlignment="1">
      <alignment horizontal="center" vertical="center" wrapText="1"/>
    </xf>
    <xf numFmtId="165" fontId="15" fillId="0" borderId="3" xfId="0" applyNumberFormat="1" applyFont="1" applyBorder="1" applyAlignment="1">
      <alignment horizontal="center" vertical="center"/>
    </xf>
    <xf numFmtId="0" fontId="16" fillId="0" borderId="3" xfId="0" applyFont="1" applyBorder="1"/>
    <xf numFmtId="0" fontId="13" fillId="0" borderId="3" xfId="0" applyFont="1" applyBorder="1" applyAlignment="1">
      <alignment horizontal="center" vertical="center"/>
    </xf>
    <xf numFmtId="0" fontId="3" fillId="0" borderId="1" xfId="0" applyFont="1" applyBorder="1" applyAlignment="1">
      <alignment horizontal="center" vertical="center"/>
    </xf>
    <xf numFmtId="2" fontId="3" fillId="3" borderId="3" xfId="0" applyNumberFormat="1" applyFont="1" applyFill="1" applyBorder="1"/>
    <xf numFmtId="0" fontId="3" fillId="2" borderId="3" xfId="0" applyFont="1" applyFill="1" applyBorder="1" applyAlignment="1">
      <alignment horizontal="justify" vertical="center" wrapText="1"/>
    </xf>
    <xf numFmtId="0" fontId="3" fillId="2" borderId="3" xfId="0" applyFont="1" applyFill="1" applyBorder="1" applyAlignment="1">
      <alignment wrapText="1"/>
    </xf>
    <xf numFmtId="0" fontId="3" fillId="2" borderId="3" xfId="0" applyFont="1" applyFill="1" applyBorder="1" applyAlignment="1">
      <alignment horizontal="center" vertical="center" wrapText="1"/>
    </xf>
    <xf numFmtId="0" fontId="10" fillId="2" borderId="0" xfId="0" applyFont="1" applyFill="1" applyAlignment="1">
      <alignment horizontal="left" vertical="center"/>
    </xf>
    <xf numFmtId="0" fontId="3" fillId="0" borderId="0" xfId="0" applyFont="1" applyAlignment="1"/>
    <xf numFmtId="164" fontId="3" fillId="0" borderId="0" xfId="0" applyNumberFormat="1" applyFont="1" applyAlignment="1"/>
    <xf numFmtId="0" fontId="3" fillId="0" borderId="0" xfId="0" applyFont="1" applyAlignment="1">
      <alignment horizontal="center"/>
    </xf>
    <xf numFmtId="0" fontId="3" fillId="0" borderId="0" xfId="0" applyFont="1" applyFill="1" applyAlignment="1">
      <alignment horizontal="left" vertical="center"/>
    </xf>
    <xf numFmtId="0" fontId="12" fillId="0" borderId="11" xfId="0" applyFont="1" applyBorder="1" applyAlignment="1">
      <alignment horizontal="center" vertical="center"/>
    </xf>
    <xf numFmtId="0" fontId="10" fillId="5" borderId="12" xfId="0" applyFont="1" applyFill="1" applyBorder="1" applyAlignment="1">
      <alignment horizontal="center" vertical="center" wrapText="1"/>
    </xf>
    <xf numFmtId="0" fontId="6" fillId="7" borderId="13" xfId="0" applyFont="1" applyFill="1" applyBorder="1" applyAlignment="1">
      <alignment horizontal="center" vertical="center"/>
    </xf>
    <xf numFmtId="0" fontId="10" fillId="0" borderId="7" xfId="0" applyFont="1" applyBorder="1" applyAlignment="1"/>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10" fillId="5" borderId="8" xfId="0" applyFont="1" applyFill="1" applyBorder="1" applyAlignment="1">
      <alignment horizontal="center" vertical="center" wrapText="1"/>
    </xf>
    <xf numFmtId="0" fontId="6" fillId="7" borderId="9" xfId="0" applyFont="1" applyFill="1" applyBorder="1" applyAlignment="1">
      <alignment horizontal="center" vertical="center"/>
    </xf>
    <xf numFmtId="0" fontId="10" fillId="12" borderId="14" xfId="0" applyFont="1" applyFill="1" applyBorder="1" applyAlignment="1">
      <alignment horizontal="center" vertical="center"/>
    </xf>
    <xf numFmtId="0" fontId="11" fillId="0" borderId="0" xfId="0" applyFont="1" applyAlignment="1"/>
    <xf numFmtId="0" fontId="3" fillId="13" borderId="15" xfId="0" applyFont="1" applyFill="1" applyBorder="1" applyAlignment="1"/>
    <xf numFmtId="0" fontId="10" fillId="3" borderId="1" xfId="0" applyFont="1" applyFill="1" applyBorder="1" applyAlignment="1">
      <alignment horizontal="center" vertical="center"/>
    </xf>
    <xf numFmtId="0" fontId="3" fillId="0" borderId="16" xfId="0" applyFont="1" applyBorder="1" applyAlignment="1">
      <alignment horizontal="center" vertical="center"/>
    </xf>
    <xf numFmtId="0" fontId="3" fillId="13" borderId="17" xfId="0" applyFont="1" applyFill="1" applyBorder="1" applyAlignment="1"/>
    <xf numFmtId="0" fontId="10" fillId="0" borderId="18" xfId="0" applyFont="1" applyBorder="1" applyAlignment="1">
      <alignment horizontal="center" vertical="center"/>
    </xf>
    <xf numFmtId="0" fontId="3" fillId="0" borderId="3" xfId="0" applyFont="1" applyBorder="1" applyAlignment="1">
      <alignment horizontal="center"/>
    </xf>
    <xf numFmtId="0" fontId="3" fillId="0" borderId="19" xfId="0" applyFont="1" applyBorder="1" applyAlignment="1">
      <alignment horizontal="center" vertical="center"/>
    </xf>
    <xf numFmtId="0" fontId="3" fillId="12" borderId="20" xfId="0" applyFont="1" applyFill="1" applyBorder="1" applyAlignment="1">
      <alignment horizontal="center" vertical="center"/>
    </xf>
    <xf numFmtId="0" fontId="3" fillId="5" borderId="21" xfId="0" applyFont="1" applyFill="1" applyBorder="1" applyAlignment="1"/>
    <xf numFmtId="0" fontId="3" fillId="0" borderId="4" xfId="0" applyFont="1" applyBorder="1" applyAlignment="1">
      <alignment horizontal="center" vertical="center"/>
    </xf>
    <xf numFmtId="0" fontId="10" fillId="3" borderId="22" xfId="0" applyFont="1" applyFill="1" applyBorder="1" applyAlignment="1">
      <alignment horizontal="center" vertical="center"/>
    </xf>
    <xf numFmtId="0" fontId="3" fillId="0" borderId="23" xfId="0" applyFont="1" applyBorder="1" applyAlignment="1">
      <alignment horizontal="center" vertical="center"/>
    </xf>
    <xf numFmtId="0" fontId="3" fillId="5" borderId="24" xfId="0" applyFont="1" applyFill="1" applyBorder="1" applyAlignment="1"/>
    <xf numFmtId="0" fontId="10" fillId="0" borderId="25" xfId="0" applyFont="1" applyBorder="1" applyAlignment="1">
      <alignment horizontal="center" vertical="center"/>
    </xf>
    <xf numFmtId="0" fontId="3" fillId="0" borderId="26" xfId="0" applyFont="1" applyBorder="1" applyAlignment="1">
      <alignment horizont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12" borderId="28" xfId="0" applyFont="1" applyFill="1" applyBorder="1" applyAlignment="1">
      <alignment horizontal="center" vertical="center"/>
    </xf>
    <xf numFmtId="0" fontId="10" fillId="0" borderId="25" xfId="0" applyFont="1" applyBorder="1" applyAlignment="1">
      <alignment horizontal="right"/>
    </xf>
    <xf numFmtId="0" fontId="10" fillId="0" borderId="29" xfId="0" applyFont="1" applyBorder="1" applyAlignment="1">
      <alignment horizont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Fill="1" applyBorder="1" applyAlignment="1">
      <alignment horizontal="righ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10" fillId="3" borderId="33" xfId="0" applyFont="1" applyFill="1" applyBorder="1" applyAlignment="1">
      <alignment horizontal="center" vertical="center"/>
    </xf>
    <xf numFmtId="0" fontId="10" fillId="0" borderId="34" xfId="0" applyFont="1" applyFill="1" applyBorder="1" applyAlignment="1">
      <alignment horizontal="right" vertical="center" wrapText="1"/>
    </xf>
    <xf numFmtId="0" fontId="10" fillId="3" borderId="6" xfId="0" applyFont="1" applyFill="1" applyBorder="1" applyAlignment="1">
      <alignment horizontal="center" vertical="center"/>
    </xf>
    <xf numFmtId="0" fontId="3" fillId="0" borderId="0" xfId="0" applyFont="1" applyFill="1" applyBorder="1" applyAlignment="1">
      <alignment horizontal="center" vertical="center"/>
    </xf>
    <xf numFmtId="0" fontId="10" fillId="14" borderId="35" xfId="0" applyFont="1" applyFill="1" applyBorder="1" applyAlignment="1">
      <alignment horizontal="center" vertical="center"/>
    </xf>
    <xf numFmtId="164" fontId="3" fillId="0" borderId="0" xfId="0" applyNumberFormat="1" applyFont="1" applyFill="1" applyBorder="1" applyAlignment="1"/>
    <xf numFmtId="0" fontId="5" fillId="0" borderId="0" xfId="0" applyFont="1" applyFill="1" applyBorder="1"/>
    <xf numFmtId="0" fontId="3" fillId="0" borderId="0" xfId="0" applyFont="1" applyFill="1" applyBorder="1"/>
    <xf numFmtId="0" fontId="12" fillId="14" borderId="36" xfId="0" applyFont="1" applyFill="1" applyBorder="1" applyAlignment="1">
      <alignment horizontal="center" vertical="center"/>
    </xf>
    <xf numFmtId="0" fontId="10" fillId="5" borderId="37" xfId="0" applyFont="1" applyFill="1" applyBorder="1" applyAlignment="1">
      <alignment horizontal="center" vertical="center" wrapText="1"/>
    </xf>
    <xf numFmtId="0" fontId="10" fillId="0" borderId="0" xfId="0" applyFont="1" applyAlignment="1">
      <alignment horizontal="right"/>
    </xf>
    <xf numFmtId="0" fontId="17" fillId="15" borderId="0" xfId="0" applyFont="1" applyFill="1" applyAlignment="1"/>
    <xf numFmtId="0" fontId="3" fillId="14" borderId="20" xfId="0" applyFont="1" applyFill="1" applyBorder="1"/>
    <xf numFmtId="0" fontId="3" fillId="0" borderId="38" xfId="0" applyFont="1" applyBorder="1" applyAlignment="1">
      <alignment horizontal="center" vertical="center"/>
    </xf>
    <xf numFmtId="0" fontId="3" fillId="14" borderId="40" xfId="0" applyFont="1" applyFill="1" applyBorder="1"/>
    <xf numFmtId="0" fontId="3" fillId="0" borderId="22" xfId="0" applyFont="1" applyBorder="1" applyAlignment="1">
      <alignment horizontal="center" vertical="center"/>
    </xf>
    <xf numFmtId="0" fontId="3" fillId="0" borderId="4" xfId="0" applyFont="1" applyBorder="1" applyAlignment="1">
      <alignment horizontal="center" vertical="center" wrapText="1"/>
    </xf>
    <xf numFmtId="0" fontId="13" fillId="13" borderId="21" xfId="0" applyFont="1" applyFill="1" applyBorder="1" applyAlignment="1">
      <alignment horizontal="center"/>
    </xf>
    <xf numFmtId="0" fontId="13" fillId="5" borderId="4" xfId="0" applyFont="1" applyFill="1" applyBorder="1" applyAlignment="1">
      <alignment horizontal="center"/>
    </xf>
    <xf numFmtId="0" fontId="10" fillId="3" borderId="4" xfId="0" applyFont="1" applyFill="1" applyBorder="1" applyAlignment="1">
      <alignment horizontal="center" vertical="center"/>
    </xf>
    <xf numFmtId="0" fontId="10" fillId="3" borderId="23" xfId="0" applyFont="1" applyFill="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0" fillId="0" borderId="18" xfId="0" applyBorder="1"/>
    <xf numFmtId="0" fontId="3" fillId="0" borderId="18" xfId="0" applyFont="1" applyBorder="1" applyAlignment="1">
      <alignment horizontal="center" vertical="center"/>
    </xf>
    <xf numFmtId="0" fontId="3" fillId="6" borderId="6" xfId="0" applyFont="1" applyFill="1" applyBorder="1" applyAlignment="1">
      <alignment horizontal="center" vertical="center"/>
    </xf>
    <xf numFmtId="0" fontId="0" fillId="0" borderId="15" xfId="0" applyBorder="1" applyAlignment="1">
      <alignment wrapText="1"/>
    </xf>
    <xf numFmtId="0" fontId="3" fillId="0" borderId="15" xfId="0" applyFont="1" applyBorder="1" applyAlignment="1">
      <alignment horizontal="center" vertical="center"/>
    </xf>
    <xf numFmtId="0" fontId="0" fillId="0" borderId="15" xfId="0" applyBorder="1"/>
    <xf numFmtId="0" fontId="10" fillId="7" borderId="35" xfId="0" applyFont="1" applyFill="1" applyBorder="1" applyAlignment="1">
      <alignment horizontal="center" vertical="center"/>
    </xf>
    <xf numFmtId="0" fontId="12" fillId="14" borderId="41" xfId="0" applyFont="1" applyFill="1" applyBorder="1" applyAlignment="1">
      <alignment horizontal="center" vertical="center"/>
    </xf>
    <xf numFmtId="0" fontId="10" fillId="5" borderId="7" xfId="0" applyFont="1" applyFill="1" applyBorder="1" applyAlignment="1">
      <alignment horizontal="center" vertical="center" wrapText="1"/>
    </xf>
    <xf numFmtId="0" fontId="3" fillId="14" borderId="42" xfId="0" applyFont="1" applyFill="1" applyBorder="1"/>
    <xf numFmtId="0" fontId="3" fillId="14" borderId="43" xfId="0" applyFont="1" applyFill="1" applyBorder="1"/>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3" fillId="6" borderId="33" xfId="0" applyFont="1" applyFill="1" applyBorder="1" applyAlignment="1">
      <alignment horizontal="center" vertical="center"/>
    </xf>
    <xf numFmtId="0" fontId="0" fillId="0" borderId="21" xfId="0" applyBorder="1"/>
    <xf numFmtId="0" fontId="11" fillId="0" borderId="0" xfId="0" applyFont="1" applyAlignment="1">
      <alignment horizontal="right"/>
    </xf>
    <xf numFmtId="0" fontId="3" fillId="3" borderId="31" xfId="0" applyNumberFormat="1" applyFont="1" applyFill="1" applyBorder="1" applyAlignment="1">
      <alignment horizontal="center" vertical="center"/>
    </xf>
    <xf numFmtId="0" fontId="3" fillId="3" borderId="6"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8" fillId="0" borderId="21" xfId="0" applyFont="1" applyBorder="1" applyAlignment="1">
      <alignment horizontal="center" vertical="center"/>
    </xf>
    <xf numFmtId="0" fontId="13" fillId="13" borderId="4" xfId="0" applyFont="1" applyFill="1" applyBorder="1" applyAlignment="1"/>
    <xf numFmtId="0" fontId="13" fillId="5" borderId="4" xfId="0" applyFont="1" applyFill="1" applyBorder="1" applyAlignment="1"/>
    <xf numFmtId="164" fontId="10" fillId="0" borderId="23" xfId="0" applyNumberFormat="1" applyFont="1" applyBorder="1" applyAlignment="1">
      <alignment horizontal="center" vertical="center"/>
    </xf>
    <xf numFmtId="166" fontId="3" fillId="0" borderId="19" xfId="2" applyNumberFormat="1" applyFont="1" applyBorder="1" applyAlignment="1">
      <alignment horizontal="center" vertical="center"/>
    </xf>
    <xf numFmtId="166" fontId="3" fillId="0" borderId="19" xfId="2" applyNumberFormat="1" applyFont="1" applyFill="1" applyBorder="1" applyAlignment="1">
      <alignment horizontal="center" vertical="center"/>
    </xf>
    <xf numFmtId="166" fontId="3" fillId="0" borderId="23" xfId="2"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2" applyNumberFormat="1" applyFont="1" applyBorder="1" applyAlignment="1">
      <alignment horizontal="center" vertical="center"/>
    </xf>
    <xf numFmtId="166" fontId="3" fillId="0" borderId="47" xfId="2" applyNumberFormat="1" applyFont="1" applyBorder="1" applyAlignment="1">
      <alignment horizontal="center" vertical="center"/>
    </xf>
    <xf numFmtId="0" fontId="3" fillId="0" borderId="45" xfId="0" applyFont="1" applyFill="1" applyBorder="1" applyAlignment="1">
      <alignment horizontal="center" vertical="center"/>
    </xf>
    <xf numFmtId="166" fontId="3" fillId="0" borderId="45" xfId="2"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31" xfId="0" applyNumberFormat="1" applyFont="1" applyFill="1" applyBorder="1" applyAlignment="1">
      <alignment horizontal="center" vertical="center"/>
    </xf>
    <xf numFmtId="0" fontId="3" fillId="3" borderId="48" xfId="0" applyFont="1" applyFill="1" applyBorder="1" applyAlignment="1">
      <alignment horizontal="center" vertical="center"/>
    </xf>
    <xf numFmtId="0" fontId="3" fillId="0" borderId="17" xfId="0" applyFont="1" applyBorder="1" applyAlignment="1">
      <alignment horizontal="center" vertical="center"/>
    </xf>
    <xf numFmtId="0" fontId="10" fillId="2" borderId="8" xfId="0" applyFont="1" applyFill="1" applyBorder="1" applyAlignment="1">
      <alignment horizontal="center" vertical="center" wrapText="1"/>
    </xf>
    <xf numFmtId="0" fontId="10" fillId="3" borderId="32" xfId="0" applyFont="1" applyFill="1" applyBorder="1" applyAlignment="1">
      <alignment horizontal="center" vertical="center"/>
    </xf>
    <xf numFmtId="0" fontId="10" fillId="2" borderId="33" xfId="0" applyFont="1" applyFill="1" applyBorder="1" applyAlignment="1">
      <alignment horizontal="center" vertical="center"/>
    </xf>
    <xf numFmtId="0" fontId="3" fillId="0" borderId="2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0" fillId="17" borderId="1" xfId="0" applyFont="1" applyFill="1" applyBorder="1" applyAlignment="1">
      <alignment horizontal="center" vertical="center" wrapText="1"/>
    </xf>
    <xf numFmtId="165" fontId="15" fillId="0" borderId="51"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12" fillId="4" borderId="55" xfId="0" applyFont="1" applyFill="1" applyBorder="1" applyAlignment="1">
      <alignment horizontal="center" vertical="center" wrapText="1"/>
    </xf>
    <xf numFmtId="0" fontId="13" fillId="13" borderId="22" xfId="0" applyFont="1" applyFill="1" applyBorder="1" applyAlignment="1">
      <alignment horizontal="center" vertical="center"/>
    </xf>
    <xf numFmtId="0" fontId="13" fillId="5" borderId="4" xfId="0" applyFont="1" applyFill="1" applyBorder="1" applyAlignment="1">
      <alignment horizontal="center" vertical="center"/>
    </xf>
    <xf numFmtId="0" fontId="3" fillId="0" borderId="33" xfId="0" applyNumberFormat="1" applyFont="1" applyBorder="1" applyAlignment="1">
      <alignment horizontal="center" vertical="center"/>
    </xf>
    <xf numFmtId="0" fontId="3" fillId="0" borderId="8" xfId="0" applyFont="1" applyBorder="1" applyAlignment="1">
      <alignment horizontal="center" vertical="center" wrapText="1"/>
    </xf>
    <xf numFmtId="0" fontId="12" fillId="3" borderId="59" xfId="0" applyFont="1" applyFill="1" applyBorder="1" applyAlignment="1">
      <alignment horizontal="center" vertical="center" wrapText="1"/>
    </xf>
    <xf numFmtId="0" fontId="3" fillId="19" borderId="3" xfId="0" applyFont="1" applyFill="1" applyBorder="1" applyAlignment="1">
      <alignment horizontal="center" vertical="center"/>
    </xf>
    <xf numFmtId="168" fontId="20" fillId="0" borderId="1" xfId="0" applyNumberFormat="1" applyFont="1" applyFill="1" applyBorder="1" applyAlignment="1">
      <alignment horizontal="center" vertical="center" wrapText="1"/>
    </xf>
    <xf numFmtId="0" fontId="12" fillId="0" borderId="60" xfId="0" applyFont="1" applyBorder="1" applyAlignment="1">
      <alignment horizontal="center" vertical="center"/>
    </xf>
    <xf numFmtId="14" fontId="15" fillId="0" borderId="3"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11" borderId="59" xfId="0" applyFont="1" applyFill="1" applyBorder="1" applyAlignment="1">
      <alignment horizontal="center" vertical="center" wrapText="1"/>
    </xf>
    <xf numFmtId="0" fontId="14" fillId="3" borderId="37" xfId="0" applyFont="1" applyFill="1" applyBorder="1" applyAlignment="1">
      <alignment horizontal="center" vertical="center" wrapText="1"/>
    </xf>
    <xf numFmtId="165" fontId="15" fillId="17" borderId="3" xfId="0" applyNumberFormat="1" applyFont="1" applyFill="1" applyBorder="1" applyAlignment="1">
      <alignment horizontal="center" vertical="center"/>
    </xf>
    <xf numFmtId="0" fontId="3" fillId="17" borderId="3" xfId="0" applyFont="1" applyFill="1" applyBorder="1" applyAlignment="1">
      <alignment horizontal="center" vertical="center"/>
    </xf>
    <xf numFmtId="168" fontId="20" fillId="17" borderId="1" xfId="0" applyNumberFormat="1" applyFont="1" applyFill="1" applyBorder="1" applyAlignment="1">
      <alignment horizontal="center" vertical="center" wrapText="1"/>
    </xf>
    <xf numFmtId="0" fontId="3" fillId="17" borderId="3"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4" fillId="2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168" fontId="19" fillId="0" borderId="1"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xf>
    <xf numFmtId="0" fontId="26" fillId="0" borderId="0" xfId="0" applyFont="1"/>
    <xf numFmtId="0" fontId="26" fillId="0" borderId="0" xfId="0" applyFont="1" applyAlignment="1">
      <alignment wrapText="1"/>
    </xf>
    <xf numFmtId="0" fontId="13" fillId="0" borderId="1" xfId="0" applyFont="1" applyBorder="1" applyAlignment="1">
      <alignment horizontal="center" vertical="center"/>
    </xf>
    <xf numFmtId="0" fontId="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3" fillId="0" borderId="17" xfId="0" applyFont="1" applyFill="1" applyBorder="1" applyAlignment="1">
      <alignment horizontal="center" vertical="center"/>
    </xf>
    <xf numFmtId="2" fontId="3" fillId="0" borderId="3" xfId="0" applyNumberFormat="1" applyFont="1" applyFill="1" applyBorder="1" applyAlignment="1">
      <alignment horizontal="center" vertical="center" wrapText="1"/>
    </xf>
    <xf numFmtId="0" fontId="3" fillId="0" borderId="0" xfId="0" applyFont="1" applyFill="1"/>
    <xf numFmtId="0" fontId="3" fillId="3" borderId="25"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10" fillId="3" borderId="25"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2" borderId="33" xfId="0" applyFont="1" applyFill="1" applyBorder="1" applyAlignment="1">
      <alignment horizontal="center" vertical="center" wrapText="1"/>
    </xf>
    <xf numFmtId="0" fontId="6" fillId="7" borderId="54" xfId="0" applyFont="1" applyFill="1" applyBorder="1" applyAlignment="1">
      <alignment horizontal="center" vertical="center"/>
    </xf>
    <xf numFmtId="0" fontId="3" fillId="0" borderId="62" xfId="0" applyFont="1" applyBorder="1" applyAlignment="1">
      <alignment horizontal="center" vertical="center"/>
    </xf>
    <xf numFmtId="0" fontId="3" fillId="0" borderId="66" xfId="0" applyFont="1" applyBorder="1" applyAlignment="1">
      <alignment horizontal="center" vertical="center"/>
    </xf>
    <xf numFmtId="0" fontId="3" fillId="3" borderId="67"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 borderId="32" xfId="0" applyFont="1" applyFill="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168" fontId="20"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3" fillId="22" borderId="0" xfId="0" applyFont="1" applyFill="1" applyAlignment="1">
      <alignment horizontal="center" vertical="center"/>
    </xf>
    <xf numFmtId="0" fontId="3" fillId="22" borderId="16" xfId="0" applyFont="1" applyFill="1" applyBorder="1" applyAlignment="1">
      <alignment horizontal="center" vertical="center"/>
    </xf>
    <xf numFmtId="14" fontId="19" fillId="0" borderId="3" xfId="0" applyNumberFormat="1" applyFont="1" applyFill="1" applyBorder="1" applyAlignment="1">
      <alignment horizontal="center" vertical="center" wrapText="1"/>
    </xf>
    <xf numFmtId="0" fontId="3" fillId="0" borderId="64" xfId="0" applyFont="1" applyFill="1" applyBorder="1" applyAlignment="1">
      <alignment horizontal="center" vertical="center"/>
    </xf>
    <xf numFmtId="2" fontId="3" fillId="3" borderId="1" xfId="0" applyNumberFormat="1" applyFont="1" applyFill="1" applyBorder="1" applyAlignment="1">
      <alignment horizontal="center" vertical="center" wrapText="1"/>
    </xf>
    <xf numFmtId="0" fontId="23" fillId="23" borderId="6" xfId="0" applyFont="1" applyFill="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3" fillId="21"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0" borderId="0" xfId="0" applyFont="1" applyBorder="1"/>
    <xf numFmtId="0" fontId="3" fillId="0" borderId="0" xfId="0" applyFont="1" applyBorder="1" applyAlignment="1">
      <alignment vertical="center"/>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36" xfId="0" applyFont="1" applyBorder="1" applyAlignment="1">
      <alignment horizontal="center" vertical="center" wrapText="1"/>
    </xf>
    <xf numFmtId="0" fontId="3" fillId="0" borderId="58" xfId="0" applyFont="1" applyBorder="1" applyAlignment="1">
      <alignment horizontal="center" vertical="center"/>
    </xf>
    <xf numFmtId="0" fontId="30" fillId="0" borderId="0" xfId="0" applyFont="1" applyAlignment="1">
      <alignment horizontal="right"/>
    </xf>
    <xf numFmtId="0" fontId="15" fillId="0" borderId="78" xfId="0" applyFont="1" applyBorder="1" applyAlignment="1">
      <alignment horizontal="center" vertical="center" wrapText="1"/>
    </xf>
    <xf numFmtId="0" fontId="3" fillId="19" borderId="3"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15" fillId="13" borderId="74" xfId="0" applyFont="1" applyFill="1" applyBorder="1" applyAlignment="1">
      <alignment horizontal="center" vertical="center" wrapText="1"/>
    </xf>
    <xf numFmtId="0" fontId="15" fillId="5" borderId="66" xfId="0" applyFont="1" applyFill="1" applyBorder="1" applyAlignment="1">
      <alignment horizontal="center" vertical="center"/>
    </xf>
    <xf numFmtId="0" fontId="17" fillId="30" borderId="29" xfId="0" applyFont="1" applyFill="1" applyBorder="1" applyAlignment="1">
      <alignment horizontal="center" vertical="center"/>
    </xf>
    <xf numFmtId="0" fontId="15" fillId="0" borderId="74" xfId="0" applyFont="1" applyBorder="1" applyAlignment="1">
      <alignment horizontal="center" vertical="center" wrapText="1"/>
    </xf>
    <xf numFmtId="0" fontId="15" fillId="0" borderId="66" xfId="0" applyFont="1" applyBorder="1" applyAlignment="1">
      <alignment horizontal="center" vertical="center" wrapText="1"/>
    </xf>
    <xf numFmtId="0" fontId="10" fillId="31" borderId="74" xfId="0" applyFont="1" applyFill="1" applyBorder="1" applyAlignment="1">
      <alignment horizontal="center" vertical="center"/>
    </xf>
    <xf numFmtId="0" fontId="10" fillId="32" borderId="78" xfId="0" applyFont="1" applyFill="1" applyBorder="1" applyAlignment="1">
      <alignment horizontal="center" vertical="center"/>
    </xf>
    <xf numFmtId="0" fontId="17" fillId="29" borderId="85" xfId="0" applyFont="1" applyFill="1" applyBorder="1" applyAlignment="1">
      <alignment horizontal="center" vertical="center"/>
    </xf>
    <xf numFmtId="0" fontId="17" fillId="30" borderId="86" xfId="0" applyFont="1" applyFill="1" applyBorder="1" applyAlignment="1">
      <alignment horizontal="center" vertical="center"/>
    </xf>
    <xf numFmtId="0" fontId="17" fillId="29" borderId="86" xfId="0" applyFont="1" applyFill="1" applyBorder="1" applyAlignment="1">
      <alignment horizontal="center" vertical="center"/>
    </xf>
    <xf numFmtId="0" fontId="11" fillId="3" borderId="8"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7" fillId="29" borderId="48" xfId="0" applyFont="1" applyFill="1" applyBorder="1" applyAlignment="1">
      <alignment horizontal="center" vertical="center"/>
    </xf>
    <xf numFmtId="0" fontId="17" fillId="29" borderId="32" xfId="0" applyFont="1" applyFill="1" applyBorder="1" applyAlignment="1">
      <alignment horizontal="center" vertical="center"/>
    </xf>
    <xf numFmtId="0" fontId="3" fillId="9" borderId="74" xfId="0" applyFont="1" applyFill="1" applyBorder="1" applyAlignment="1">
      <alignment horizontal="center" vertical="center" wrapText="1"/>
    </xf>
    <xf numFmtId="0" fontId="2" fillId="0" borderId="0" xfId="0" applyFont="1"/>
    <xf numFmtId="0" fontId="2" fillId="6" borderId="71" xfId="0" applyFont="1" applyFill="1" applyBorder="1" applyAlignment="1">
      <alignment vertical="center" wrapText="1"/>
    </xf>
    <xf numFmtId="0" fontId="2" fillId="6" borderId="15" xfId="0" applyFont="1" applyFill="1" applyBorder="1" applyAlignment="1">
      <alignment vertical="center" wrapText="1"/>
    </xf>
    <xf numFmtId="0" fontId="2" fillId="9" borderId="15" xfId="0" applyFont="1" applyFill="1" applyBorder="1" applyAlignment="1">
      <alignment vertical="center" wrapText="1"/>
    </xf>
    <xf numFmtId="0" fontId="2" fillId="27" borderId="15" xfId="0" applyFont="1" applyFill="1" applyBorder="1" applyAlignment="1">
      <alignment vertical="center" wrapText="1"/>
    </xf>
    <xf numFmtId="0" fontId="2" fillId="28" borderId="44" xfId="0" applyFont="1" applyFill="1" applyBorder="1" applyAlignment="1">
      <alignment vertical="center" wrapText="1"/>
    </xf>
    <xf numFmtId="15" fontId="2" fillId="0" borderId="6" xfId="0" applyNumberFormat="1" applyFont="1" applyBorder="1"/>
    <xf numFmtId="9" fontId="2" fillId="0" borderId="1" xfId="2" applyFont="1" applyBorder="1" applyAlignment="1">
      <alignment horizontal="center" vertical="center"/>
    </xf>
    <xf numFmtId="0" fontId="12" fillId="22" borderId="4" xfId="0" applyFont="1" applyFill="1" applyBorder="1" applyAlignment="1">
      <alignment horizontal="center" vertical="center" wrapText="1"/>
    </xf>
    <xf numFmtId="9" fontId="17" fillId="4" borderId="3" xfId="2" applyFont="1" applyFill="1" applyBorder="1" applyAlignment="1">
      <alignment horizontal="center" vertical="center"/>
    </xf>
    <xf numFmtId="9" fontId="2" fillId="0" borderId="72" xfId="2" applyFont="1" applyBorder="1" applyAlignment="1">
      <alignment horizontal="center" vertical="center"/>
    </xf>
    <xf numFmtId="9" fontId="2" fillId="0" borderId="4" xfId="2" applyFont="1" applyBorder="1" applyAlignment="1">
      <alignment horizontal="center" vertical="center"/>
    </xf>
    <xf numFmtId="0" fontId="31" fillId="0" borderId="66" xfId="0" applyFont="1" applyBorder="1" applyAlignment="1">
      <alignment horizontal="center" vertical="center"/>
    </xf>
    <xf numFmtId="0" fontId="3" fillId="3" borderId="0"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35" fillId="20" borderId="0"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17" fillId="0" borderId="68" xfId="0" applyFont="1" applyBorder="1" applyAlignment="1">
      <alignment horizontal="center" vertical="center"/>
    </xf>
    <xf numFmtId="0" fontId="17" fillId="0" borderId="0" xfId="0" applyFont="1" applyBorder="1" applyAlignment="1">
      <alignment horizontal="center" vertical="center"/>
    </xf>
    <xf numFmtId="0" fontId="1" fillId="0" borderId="0" xfId="0" applyFont="1" applyAlignment="1">
      <alignment horizontal="center" vertical="center"/>
    </xf>
    <xf numFmtId="0" fontId="17" fillId="15" borderId="6" xfId="0" applyFont="1" applyFill="1" applyBorder="1" applyAlignment="1">
      <alignment horizontal="center" vertical="center"/>
    </xf>
    <xf numFmtId="0" fontId="1" fillId="0" borderId="70" xfId="0" applyFont="1" applyBorder="1" applyAlignment="1">
      <alignment horizontal="center" vertical="center"/>
    </xf>
    <xf numFmtId="0" fontId="3" fillId="0" borderId="70" xfId="0" applyFont="1" applyBorder="1" applyAlignment="1">
      <alignment horizontal="center" vertical="center"/>
    </xf>
    <xf numFmtId="0" fontId="33" fillId="26" borderId="33" xfId="0" applyFont="1" applyFill="1" applyBorder="1" applyAlignment="1">
      <alignment horizontal="center" vertical="center"/>
    </xf>
    <xf numFmtId="0" fontId="17" fillId="29" borderId="29" xfId="0" applyFont="1" applyFill="1" applyBorder="1" applyAlignment="1">
      <alignment horizontal="center" vertical="center"/>
    </xf>
    <xf numFmtId="0" fontId="17" fillId="29" borderId="68" xfId="0" applyFont="1" applyFill="1" applyBorder="1" applyAlignment="1">
      <alignment horizontal="center" vertical="center"/>
    </xf>
    <xf numFmtId="165" fontId="15" fillId="0" borderId="3" xfId="4" applyNumberFormat="1" applyFont="1" applyFill="1" applyBorder="1" applyAlignment="1">
      <alignment horizontal="center" vertical="center"/>
    </xf>
    <xf numFmtId="0" fontId="3" fillId="0" borderId="3" xfId="4" applyFont="1" applyBorder="1" applyAlignment="1">
      <alignment horizontal="center" vertical="center"/>
    </xf>
    <xf numFmtId="165" fontId="15" fillId="0" borderId="3" xfId="4" applyNumberFormat="1" applyFont="1" applyBorder="1" applyAlignment="1">
      <alignment horizontal="center" vertical="center"/>
    </xf>
    <xf numFmtId="0" fontId="3" fillId="0" borderId="3" xfId="4"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4" xfId="0" applyFont="1" applyBorder="1" applyAlignment="1">
      <alignment horizontal="center" vertical="center"/>
    </xf>
    <xf numFmtId="0" fontId="3" fillId="0" borderId="38" xfId="0" applyFont="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xf>
    <xf numFmtId="2" fontId="3" fillId="3"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xf>
    <xf numFmtId="0" fontId="15" fillId="0" borderId="51" xfId="0" applyFont="1" applyBorder="1" applyAlignment="1">
      <alignment horizontal="center" vertical="center" wrapText="1"/>
    </xf>
    <xf numFmtId="2" fontId="3" fillId="3"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9" fillId="0" borderId="61" xfId="0" applyFont="1" applyBorder="1" applyAlignment="1">
      <alignment horizontal="center" vertical="center"/>
    </xf>
    <xf numFmtId="0" fontId="31" fillId="0" borderId="75" xfId="0" applyFont="1" applyBorder="1" applyAlignment="1">
      <alignment horizontal="center" vertical="center"/>
    </xf>
    <xf numFmtId="0" fontId="31" fillId="0" borderId="72"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61"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6" xfId="0" applyFont="1" applyBorder="1" applyAlignment="1">
      <alignment horizontal="center" vertical="center"/>
    </xf>
    <xf numFmtId="0" fontId="31" fillId="0" borderId="76" xfId="0" applyFont="1" applyBorder="1" applyAlignment="1">
      <alignment horizontal="center" vertical="center"/>
    </xf>
    <xf numFmtId="0" fontId="31" fillId="0" borderId="62" xfId="0" applyFont="1" applyBorder="1" applyAlignment="1">
      <alignment horizontal="center" vertical="center"/>
    </xf>
    <xf numFmtId="0" fontId="19" fillId="0" borderId="66" xfId="0" applyFont="1" applyBorder="1" applyAlignment="1">
      <alignment horizontal="center" vertical="center"/>
    </xf>
    <xf numFmtId="0" fontId="31" fillId="0" borderId="74" xfId="0" applyFont="1" applyBorder="1" applyAlignment="1">
      <alignment horizontal="center" vertical="center"/>
    </xf>
    <xf numFmtId="0" fontId="31" fillId="0" borderId="4" xfId="0" applyFont="1" applyBorder="1" applyAlignment="1">
      <alignment horizontal="center" vertical="center"/>
    </xf>
    <xf numFmtId="0" fontId="31" fillId="0" borderId="84" xfId="0" applyFont="1" applyBorder="1" applyAlignment="1">
      <alignment horizontal="center" vertical="center"/>
    </xf>
    <xf numFmtId="0" fontId="31" fillId="0" borderId="23" xfId="0" applyFont="1" applyBorder="1" applyAlignment="1">
      <alignment horizontal="center" vertical="center"/>
    </xf>
    <xf numFmtId="0" fontId="10" fillId="0" borderId="0" xfId="0" applyFont="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31" fillId="0" borderId="3" xfId="0" applyFont="1" applyFill="1" applyBorder="1" applyAlignment="1">
      <alignment horizontal="center" vertical="center" wrapText="1"/>
    </xf>
    <xf numFmtId="164" fontId="3" fillId="0" borderId="1" xfId="0" applyNumberFormat="1" applyFont="1" applyBorder="1" applyAlignment="1">
      <alignment horizontal="center" vertical="center"/>
    </xf>
    <xf numFmtId="0" fontId="15" fillId="0" borderId="6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0" borderId="62" xfId="0" applyFont="1" applyBorder="1" applyAlignment="1">
      <alignment horizontal="center" vertical="center" wrapText="1"/>
    </xf>
    <xf numFmtId="0" fontId="19" fillId="17" borderId="1" xfId="0" applyFont="1" applyFill="1" applyBorder="1" applyAlignment="1" applyProtection="1">
      <alignment horizontal="center" vertical="center" wrapText="1"/>
      <protection locked="0"/>
    </xf>
    <xf numFmtId="2" fontId="3" fillId="0" borderId="3" xfId="0" applyNumberFormat="1" applyFont="1" applyFill="1" applyBorder="1" applyAlignment="1">
      <alignment horizontal="center" vertical="center"/>
    </xf>
    <xf numFmtId="0" fontId="10" fillId="2" borderId="0" xfId="0" applyFont="1" applyFill="1" applyAlignment="1">
      <alignment horizontal="center" vertical="center"/>
    </xf>
    <xf numFmtId="0" fontId="3" fillId="16" borderId="0" xfId="0" applyFont="1" applyFill="1" applyAlignment="1">
      <alignment horizontal="center" vertical="center"/>
    </xf>
    <xf numFmtId="0" fontId="15" fillId="0" borderId="33" xfId="0" applyFont="1" applyBorder="1" applyAlignment="1">
      <alignment horizontal="center" vertical="center" wrapText="1"/>
    </xf>
    <xf numFmtId="0" fontId="10" fillId="0" borderId="34" xfId="0" applyFont="1" applyFill="1" applyBorder="1" applyAlignment="1">
      <alignment horizontal="center" vertical="center" wrapText="1"/>
    </xf>
    <xf numFmtId="0" fontId="1" fillId="0" borderId="18" xfId="0" applyFont="1" applyBorder="1" applyAlignment="1">
      <alignment horizontal="center" vertical="center" wrapText="1"/>
    </xf>
    <xf numFmtId="0" fontId="16"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164" fontId="3" fillId="0" borderId="0" xfId="0" applyNumberFormat="1" applyFont="1" applyBorder="1" applyAlignment="1">
      <alignment horizontal="center" vertical="center"/>
    </xf>
    <xf numFmtId="0" fontId="1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0" xfId="0" applyFont="1" applyBorder="1" applyAlignment="1">
      <alignment horizontal="center" vertical="center" wrapText="1"/>
    </xf>
    <xf numFmtId="164" fontId="10" fillId="0" borderId="0" xfId="0" applyNumberFormat="1" applyFont="1" applyBorder="1" applyAlignment="1">
      <alignment horizontal="center" vertical="center"/>
    </xf>
    <xf numFmtId="0" fontId="17" fillId="0" borderId="0" xfId="0" applyFont="1" applyFill="1" applyBorder="1" applyAlignment="1">
      <alignment horizontal="center" vertical="center"/>
    </xf>
    <xf numFmtId="15" fontId="11" fillId="10" borderId="6" xfId="0" applyNumberFormat="1" applyFont="1" applyFill="1" applyBorder="1" applyAlignment="1">
      <alignment horizontal="center" vertical="center"/>
    </xf>
    <xf numFmtId="0" fontId="3" fillId="0" borderId="0" xfId="0" applyFont="1" applyAlignment="1">
      <alignment vertical="center"/>
    </xf>
    <xf numFmtId="0" fontId="10" fillId="0" borderId="30" xfId="0" applyFont="1" applyBorder="1" applyAlignment="1">
      <alignment horizontal="center" vertical="center" wrapText="1"/>
    </xf>
    <xf numFmtId="0" fontId="3" fillId="0" borderId="61" xfId="0" applyFont="1" applyFill="1" applyBorder="1" applyAlignment="1">
      <alignment horizontal="center" vertical="center" wrapText="1"/>
    </xf>
    <xf numFmtId="0" fontId="3" fillId="17" borderId="61" xfId="0" applyFont="1" applyFill="1" applyBorder="1" applyAlignment="1">
      <alignment horizontal="center" vertical="center" wrapText="1"/>
    </xf>
    <xf numFmtId="0" fontId="19" fillId="0" borderId="3" xfId="0" applyFont="1" applyBorder="1" applyAlignment="1">
      <alignment horizontal="center" vertical="center" wrapText="1"/>
    </xf>
    <xf numFmtId="0" fontId="5"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5" fillId="0" borderId="6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 fillId="0" borderId="63" xfId="0" applyFont="1" applyBorder="1" applyAlignment="1">
      <alignment horizontal="center" vertical="center" wrapText="1"/>
    </xf>
    <xf numFmtId="0" fontId="19" fillId="0" borderId="3" xfId="4" applyFont="1" applyBorder="1" applyAlignment="1">
      <alignment horizontal="center" vertical="center" wrapText="1"/>
    </xf>
    <xf numFmtId="0" fontId="19" fillId="0" borderId="3" xfId="4" applyFont="1" applyFill="1" applyBorder="1" applyAlignment="1">
      <alignment horizontal="center" vertical="center" wrapText="1"/>
    </xf>
    <xf numFmtId="0" fontId="13" fillId="0" borderId="61" xfId="0" applyFont="1" applyFill="1" applyBorder="1" applyAlignment="1">
      <alignment horizontal="center" vertical="center" wrapText="1"/>
    </xf>
    <xf numFmtId="165" fontId="15"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20" fillId="18" borderId="3" xfId="0" applyFont="1" applyFill="1" applyBorder="1" applyAlignment="1">
      <alignment horizontal="center" vertical="center" wrapText="1"/>
    </xf>
    <xf numFmtId="0" fontId="3" fillId="0" borderId="0" xfId="0" applyFont="1" applyFill="1" applyAlignment="1">
      <alignment vertical="center"/>
    </xf>
    <xf numFmtId="0" fontId="28" fillId="0" borderId="3" xfId="0" applyFont="1" applyFill="1" applyBorder="1" applyAlignment="1">
      <alignment horizontal="center" vertical="center" wrapText="1"/>
    </xf>
    <xf numFmtId="0" fontId="19" fillId="17" borderId="3" xfId="0" applyFont="1" applyFill="1" applyBorder="1" applyAlignment="1">
      <alignment horizontal="center" vertical="center" wrapText="1"/>
    </xf>
    <xf numFmtId="0" fontId="29" fillId="17" borderId="3" xfId="0" applyFont="1" applyFill="1" applyBorder="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xf>
    <xf numFmtId="0" fontId="3" fillId="13" borderId="15" xfId="0" applyFont="1" applyFill="1" applyBorder="1" applyAlignment="1">
      <alignment horizontal="center" vertical="center"/>
    </xf>
    <xf numFmtId="0" fontId="3" fillId="13" borderId="28"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28"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3" fillId="0" borderId="0" xfId="0" applyFont="1" applyFill="1" applyBorder="1" applyAlignment="1">
      <alignment vertical="center"/>
    </xf>
    <xf numFmtId="0" fontId="1" fillId="0" borderId="15" xfId="0" applyFont="1" applyBorder="1" applyAlignment="1">
      <alignment horizontal="center" vertical="center" wrapText="1"/>
    </xf>
    <xf numFmtId="0" fontId="16" fillId="0" borderId="15" xfId="0" applyFont="1" applyBorder="1" applyAlignment="1">
      <alignment horizontal="center" vertical="center"/>
    </xf>
    <xf numFmtId="0" fontId="1" fillId="0" borderId="21" xfId="0" applyFont="1" applyBorder="1" applyAlignment="1">
      <alignment horizontal="center" vertical="center" wrapText="1"/>
    </xf>
    <xf numFmtId="164" fontId="3" fillId="0" borderId="69" xfId="0" applyNumberFormat="1" applyFont="1" applyBorder="1" applyAlignment="1">
      <alignment horizontal="center" vertical="center"/>
    </xf>
    <xf numFmtId="0" fontId="3" fillId="0" borderId="69" xfId="0" applyFont="1" applyBorder="1" applyAlignment="1">
      <alignment horizontal="center" vertical="center"/>
    </xf>
    <xf numFmtId="0" fontId="16" fillId="0" borderId="0" xfId="0" applyFont="1" applyFill="1" applyBorder="1" applyAlignment="1">
      <alignment horizontal="center" vertical="center"/>
    </xf>
    <xf numFmtId="0" fontId="11" fillId="0" borderId="33" xfId="0" applyFont="1" applyBorder="1" applyAlignment="1">
      <alignment horizontal="center" vertical="center"/>
    </xf>
    <xf numFmtId="167" fontId="3" fillId="0" borderId="0" xfId="1" applyNumberFormat="1"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1"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3" xfId="0" applyFont="1" applyBorder="1" applyAlignment="1">
      <alignment horizontal="center" vertical="center"/>
    </xf>
    <xf numFmtId="2" fontId="3" fillId="3" borderId="3" xfId="0" applyNumberFormat="1" applyFont="1" applyFill="1" applyBorder="1" applyAlignment="1">
      <alignment horizontal="center" vertical="center"/>
    </xf>
    <xf numFmtId="2" fontId="3" fillId="3" borderId="3" xfId="0" applyNumberFormat="1" applyFont="1" applyFill="1" applyBorder="1" applyAlignment="1">
      <alignment horizontal="center" vertical="center" wrapText="1"/>
    </xf>
    <xf numFmtId="0" fontId="13" fillId="0" borderId="3" xfId="0" applyFont="1" applyBorder="1" applyAlignment="1">
      <alignment horizontal="center" vertical="center"/>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3" xfId="0" applyFont="1" applyBorder="1" applyAlignment="1">
      <alignment horizontal="center" vertical="center"/>
    </xf>
    <xf numFmtId="0" fontId="13" fillId="0" borderId="5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xf>
    <xf numFmtId="2" fontId="3" fillId="3" borderId="3"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22" fillId="0" borderId="35" xfId="0" applyFont="1" applyBorder="1" applyAlignment="1">
      <alignment horizontal="center" vertical="center" wrapText="1"/>
    </xf>
    <xf numFmtId="0" fontId="3" fillId="0" borderId="3" xfId="0" applyFont="1" applyBorder="1" applyAlignment="1">
      <alignment vertical="center"/>
    </xf>
    <xf numFmtId="0" fontId="3" fillId="0" borderId="5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justify" vertical="center" wrapText="1"/>
    </xf>
    <xf numFmtId="0" fontId="11" fillId="0" borderId="39" xfId="0" applyFont="1" applyBorder="1" applyAlignment="1">
      <alignment horizontal="center" vertical="center"/>
    </xf>
    <xf numFmtId="0" fontId="11" fillId="0" borderId="21" xfId="0" applyFont="1" applyBorder="1" applyAlignment="1">
      <alignment horizontal="center" vertical="center"/>
    </xf>
    <xf numFmtId="0" fontId="17" fillId="0" borderId="3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1" fillId="0" borderId="0" xfId="0" applyFont="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164" fontId="10" fillId="0" borderId="1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0" fontId="6" fillId="0" borderId="39" xfId="0" applyFont="1" applyBorder="1" applyAlignment="1">
      <alignment horizontal="center" vertical="center"/>
    </xf>
    <xf numFmtId="0" fontId="6" fillId="0" borderId="12" xfId="0" applyFont="1" applyBorder="1" applyAlignment="1">
      <alignment horizontal="center" vertical="center"/>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17" borderId="2" xfId="0" applyFont="1" applyFill="1" applyBorder="1" applyAlignment="1">
      <alignment horizontal="center" vertical="center" wrapText="1"/>
    </xf>
    <xf numFmtId="0" fontId="3" fillId="17" borderId="51"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0" borderId="5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 xfId="0" applyFont="1" applyBorder="1" applyAlignment="1">
      <alignment horizontal="center" vertical="center" wrapText="1"/>
    </xf>
    <xf numFmtId="0" fontId="10" fillId="15" borderId="10" xfId="0" applyFont="1" applyFill="1" applyBorder="1" applyAlignment="1">
      <alignment horizontal="center" vertical="center"/>
    </xf>
    <xf numFmtId="0" fontId="10" fillId="15" borderId="49" xfId="0" applyFont="1" applyFill="1" applyBorder="1" applyAlignment="1">
      <alignment horizontal="center" vertical="center"/>
    </xf>
    <xf numFmtId="0" fontId="10" fillId="15" borderId="50"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 xfId="0" applyFont="1" applyBorder="1" applyAlignment="1">
      <alignment horizontal="center" vertical="center" wrapText="1"/>
    </xf>
    <xf numFmtId="0" fontId="3" fillId="18" borderId="52" xfId="0" applyFont="1" applyFill="1" applyBorder="1" applyAlignment="1">
      <alignment horizontal="center" vertical="center"/>
    </xf>
    <xf numFmtId="0" fontId="3" fillId="18" borderId="56" xfId="0" applyFont="1" applyFill="1" applyBorder="1" applyAlignment="1">
      <alignment horizontal="center" vertical="center"/>
    </xf>
    <xf numFmtId="0" fontId="3" fillId="18" borderId="53" xfId="0" applyFont="1" applyFill="1" applyBorder="1" applyAlignment="1">
      <alignment horizontal="center" vertical="center"/>
    </xf>
    <xf numFmtId="164" fontId="10" fillId="21" borderId="57" xfId="0" applyNumberFormat="1" applyFont="1" applyFill="1" applyBorder="1" applyAlignment="1">
      <alignment horizontal="center" vertical="center" wrapText="1"/>
    </xf>
    <xf numFmtId="164" fontId="10" fillId="21" borderId="58" xfId="0" applyNumberFormat="1"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1" fillId="24" borderId="35" xfId="0" applyFont="1" applyFill="1" applyBorder="1" applyAlignment="1">
      <alignment horizontal="center" vertical="center"/>
    </xf>
    <xf numFmtId="0" fontId="11" fillId="24" borderId="36" xfId="0" applyFont="1" applyFill="1" applyBorder="1" applyAlignment="1">
      <alignment horizontal="center" vertical="center"/>
    </xf>
    <xf numFmtId="0" fontId="13" fillId="0" borderId="1" xfId="0" applyFont="1" applyBorder="1" applyAlignment="1">
      <alignment horizontal="center" vertical="center" wrapText="1"/>
    </xf>
    <xf numFmtId="0" fontId="3" fillId="0" borderId="64" xfId="0" applyFont="1" applyBorder="1" applyAlignment="1">
      <alignment horizontal="center" vertical="center"/>
    </xf>
    <xf numFmtId="0" fontId="3" fillId="0" borderId="38" xfId="0" applyFont="1" applyBorder="1" applyAlignment="1">
      <alignment horizontal="center" vertical="center"/>
    </xf>
    <xf numFmtId="0" fontId="19" fillId="17" borderId="1" xfId="0" applyFont="1" applyFill="1" applyBorder="1" applyAlignment="1" applyProtection="1">
      <alignment horizontal="center" vertical="center" wrapText="1"/>
      <protection locked="0"/>
    </xf>
    <xf numFmtId="0" fontId="19" fillId="17" borderId="51" xfId="0" applyFont="1" applyFill="1" applyBorder="1" applyAlignment="1" applyProtection="1">
      <alignment horizontal="center" vertical="center" wrapText="1"/>
      <protection locked="0"/>
    </xf>
    <xf numFmtId="0" fontId="19" fillId="17" borderId="3"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0" borderId="10" xfId="0" applyFont="1" applyBorder="1" applyAlignment="1">
      <alignment horizontal="center" vertical="center"/>
    </xf>
    <xf numFmtId="0" fontId="10" fillId="0" borderId="54" xfId="0" applyFont="1" applyBorder="1" applyAlignment="1">
      <alignment horizontal="center" vertical="center"/>
    </xf>
    <xf numFmtId="0" fontId="10" fillId="0" borderId="50" xfId="0" applyFont="1" applyBorder="1" applyAlignment="1">
      <alignment horizontal="center" vertical="center"/>
    </xf>
    <xf numFmtId="0" fontId="11" fillId="0" borderId="0" xfId="0" applyFont="1" applyAlignment="1">
      <alignment horizontal="center" vertical="center"/>
    </xf>
    <xf numFmtId="0" fontId="10" fillId="2" borderId="10" xfId="0" applyFont="1" applyFill="1" applyBorder="1" applyAlignment="1">
      <alignment horizontal="center" vertical="center"/>
    </xf>
    <xf numFmtId="0" fontId="10" fillId="2" borderId="50" xfId="0" applyFont="1" applyFill="1" applyBorder="1" applyAlignment="1">
      <alignment horizontal="center" vertical="center"/>
    </xf>
    <xf numFmtId="2" fontId="3" fillId="3" borderId="2"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6" fillId="0" borderId="11" xfId="0" applyFont="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wrapText="1"/>
    </xf>
    <xf numFmtId="2" fontId="3" fillId="3"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0" fontId="3" fillId="0" borderId="65" xfId="0" applyFont="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13" fillId="0" borderId="51" xfId="0" applyFont="1" applyBorder="1" applyAlignment="1">
      <alignment horizontal="center" vertical="center"/>
    </xf>
    <xf numFmtId="0" fontId="13" fillId="0" borderId="3" xfId="0" applyFont="1" applyBorder="1" applyAlignment="1">
      <alignment horizontal="center" vertical="center"/>
    </xf>
    <xf numFmtId="2" fontId="3" fillId="3" borderId="51" xfId="0" applyNumberFormat="1" applyFont="1" applyFill="1" applyBorder="1" applyAlignment="1">
      <alignment horizontal="center" vertical="center" wrapText="1"/>
    </xf>
    <xf numFmtId="0" fontId="10" fillId="0" borderId="0" xfId="0" applyFont="1" applyAlignment="1">
      <alignment horizontal="center" vertical="center"/>
    </xf>
    <xf numFmtId="0" fontId="11" fillId="0" borderId="49" xfId="0" applyFont="1" applyBorder="1" applyAlignment="1">
      <alignment horizontal="center" vertical="center"/>
    </xf>
    <xf numFmtId="0" fontId="11" fillId="0" borderId="11" xfId="0" applyFont="1" applyBorder="1" applyAlignment="1">
      <alignment horizontal="center" vertical="center"/>
    </xf>
    <xf numFmtId="0" fontId="33" fillId="27" borderId="73" xfId="0" applyFont="1" applyFill="1" applyBorder="1" applyAlignment="1">
      <alignment horizontal="center" vertical="center"/>
    </xf>
    <xf numFmtId="0" fontId="33" fillId="27" borderId="77" xfId="0" applyFont="1" applyFill="1" applyBorder="1" applyAlignment="1">
      <alignment horizontal="center" vertical="center"/>
    </xf>
    <xf numFmtId="0" fontId="33" fillId="27" borderId="73" xfId="0" applyFont="1" applyFill="1" applyBorder="1" applyAlignment="1">
      <alignment horizontal="center" vertical="center" wrapText="1"/>
    </xf>
    <xf numFmtId="0" fontId="33" fillId="27" borderId="77" xfId="0" applyFont="1" applyFill="1" applyBorder="1" applyAlignment="1">
      <alignment horizontal="center" vertical="center" wrapText="1"/>
    </xf>
    <xf numFmtId="0" fontId="34" fillId="0" borderId="52" xfId="0" applyFont="1" applyBorder="1" applyAlignment="1">
      <alignment horizontal="center"/>
    </xf>
    <xf numFmtId="0" fontId="34" fillId="0" borderId="56" xfId="0" applyFont="1" applyBorder="1" applyAlignment="1">
      <alignment horizontal="center"/>
    </xf>
    <xf numFmtId="0" fontId="34" fillId="0" borderId="53" xfId="0" applyFont="1" applyBorder="1" applyAlignment="1">
      <alignment horizontal="center"/>
    </xf>
    <xf numFmtId="0" fontId="17" fillId="10" borderId="49" xfId="0" applyFont="1" applyFill="1" applyBorder="1" applyAlignment="1">
      <alignment horizontal="center" vertical="center" wrapText="1"/>
    </xf>
    <xf numFmtId="0" fontId="17" fillId="10" borderId="50" xfId="0" applyFont="1" applyFill="1" applyBorder="1" applyAlignment="1">
      <alignment horizontal="center" vertical="center" wrapText="1"/>
    </xf>
    <xf numFmtId="164" fontId="6" fillId="25" borderId="79" xfId="0" applyNumberFormat="1" applyFont="1" applyFill="1" applyBorder="1" applyAlignment="1">
      <alignment horizontal="center" vertical="center" wrapText="1"/>
    </xf>
    <xf numFmtId="164" fontId="6" fillId="25" borderId="80" xfId="0" applyNumberFormat="1" applyFont="1" applyFill="1" applyBorder="1" applyAlignment="1">
      <alignment horizontal="center" vertical="center" wrapText="1"/>
    </xf>
    <xf numFmtId="0" fontId="30" fillId="3" borderId="10" xfId="0" applyFont="1" applyFill="1" applyBorder="1" applyAlignment="1">
      <alignment horizontal="center" vertical="center"/>
    </xf>
    <xf numFmtId="0" fontId="30" fillId="3" borderId="21" xfId="0" applyFont="1" applyFill="1" applyBorder="1" applyAlignment="1">
      <alignment horizontal="center" vertical="center"/>
    </xf>
    <xf numFmtId="0" fontId="33" fillId="27" borderId="49" xfId="0" applyFont="1" applyFill="1" applyBorder="1" applyAlignment="1">
      <alignment horizontal="center" vertical="center"/>
    </xf>
  </cellXfs>
  <cellStyles count="5">
    <cellStyle name="Millares" xfId="1" builtinId="3"/>
    <cellStyle name="Normal" xfId="0" builtinId="0"/>
    <cellStyle name="Normal 2" xfId="3"/>
    <cellStyle name="Normal 3" xfId="4"/>
    <cellStyle name="Porcentaje" xfId="2" builtinId="5"/>
  </cellStyles>
  <dxfs count="541">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4"/>
  <sheetViews>
    <sheetView workbookViewId="0">
      <selection activeCell="A30" sqref="A30"/>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4" t="s">
        <v>8</v>
      </c>
      <c r="B1" s="4" t="s">
        <v>42</v>
      </c>
      <c r="C1" s="4" t="s">
        <v>44</v>
      </c>
      <c r="D1" s="4" t="s">
        <v>31</v>
      </c>
      <c r="E1" s="5" t="s">
        <v>45</v>
      </c>
    </row>
    <row r="2" spans="1:5" x14ac:dyDescent="0.25">
      <c r="A2" s="1" t="s">
        <v>46</v>
      </c>
      <c r="B2" s="6" t="s">
        <v>28</v>
      </c>
      <c r="C2" s="1" t="s">
        <v>47</v>
      </c>
      <c r="D2" s="1" t="s">
        <v>48</v>
      </c>
      <c r="E2" s="1" t="s">
        <v>332</v>
      </c>
    </row>
    <row r="3" spans="1:5" x14ac:dyDescent="0.25">
      <c r="A3" s="180" t="s">
        <v>9</v>
      </c>
      <c r="B3" s="8" t="s">
        <v>50</v>
      </c>
      <c r="C3" s="1" t="s">
        <v>51</v>
      </c>
      <c r="D3" s="1" t="s">
        <v>52</v>
      </c>
      <c r="E3" s="1" t="s">
        <v>49</v>
      </c>
    </row>
    <row r="4" spans="1:5" ht="30" x14ac:dyDescent="0.25">
      <c r="A4" s="181" t="s">
        <v>333</v>
      </c>
      <c r="B4" s="7" t="s">
        <v>3</v>
      </c>
      <c r="C4" s="1" t="s">
        <v>54</v>
      </c>
      <c r="E4" s="1" t="s">
        <v>53</v>
      </c>
    </row>
    <row r="5" spans="1:5" x14ac:dyDescent="0.25">
      <c r="A5" s="1" t="s">
        <v>2</v>
      </c>
      <c r="E5" s="1" t="s">
        <v>55</v>
      </c>
    </row>
    <row r="6" spans="1:5" x14ac:dyDescent="0.25">
      <c r="A6" s="180" t="s">
        <v>21</v>
      </c>
      <c r="E6" s="180" t="s">
        <v>493</v>
      </c>
    </row>
    <row r="7" spans="1:5" x14ac:dyDescent="0.25">
      <c r="A7" s="1" t="s">
        <v>34</v>
      </c>
      <c r="E7" s="1" t="s">
        <v>56</v>
      </c>
    </row>
    <row r="8" spans="1:5" x14ac:dyDescent="0.25">
      <c r="A8" s="180" t="s">
        <v>33</v>
      </c>
      <c r="E8" s="1" t="s">
        <v>494</v>
      </c>
    </row>
    <row r="9" spans="1:5" x14ac:dyDescent="0.25">
      <c r="A9" s="1" t="s">
        <v>263</v>
      </c>
      <c r="E9" s="1" t="s">
        <v>159</v>
      </c>
    </row>
    <row r="10" spans="1:5" ht="30" x14ac:dyDescent="0.25">
      <c r="A10" s="7" t="s">
        <v>59</v>
      </c>
      <c r="E10" s="1" t="s">
        <v>190</v>
      </c>
    </row>
    <row r="11" spans="1:5" x14ac:dyDescent="0.25">
      <c r="A11" s="1" t="s">
        <v>60</v>
      </c>
    </row>
    <row r="12" spans="1:5" x14ac:dyDescent="0.25">
      <c r="A12" s="1" t="s">
        <v>331</v>
      </c>
    </row>
    <row r="13" spans="1:5" x14ac:dyDescent="0.25">
      <c r="A13" s="1" t="s">
        <v>58</v>
      </c>
    </row>
    <row r="14" spans="1:5" x14ac:dyDescent="0.25">
      <c r="A14" s="1" t="s">
        <v>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17" customWidth="1"/>
    <col min="2" max="2" width="23.28515625" style="16" customWidth="1"/>
    <col min="3" max="3" width="25.140625" style="40" customWidth="1"/>
    <col min="4" max="4" width="11.28515625" style="40" customWidth="1"/>
    <col min="5" max="5" width="12.7109375" style="40" customWidth="1"/>
    <col min="6" max="6" width="11.85546875" style="41" customWidth="1"/>
    <col min="7" max="7" width="33.42578125" style="16" customWidth="1"/>
    <col min="8" max="8" width="11.42578125" style="16" customWidth="1"/>
    <col min="9" max="9" width="11.7109375" style="17" customWidth="1"/>
    <col min="10" max="10" width="12" style="17" customWidth="1"/>
    <col min="11" max="11" width="16" style="17" customWidth="1"/>
    <col min="12" max="12" width="34.7109375" style="17" customWidth="1"/>
    <col min="13" max="13" width="36.28515625" style="42" customWidth="1"/>
    <col min="14" max="14" width="10.28515625" style="17" customWidth="1"/>
    <col min="15" max="15" width="11.85546875" style="17" customWidth="1"/>
    <col min="16" max="16" width="20.42578125" style="16" customWidth="1"/>
    <col min="17" max="17" width="15.5703125" style="16" customWidth="1"/>
    <col min="18" max="18" width="17.28515625" style="16" customWidth="1"/>
    <col min="19" max="16384" width="11.42578125" style="16"/>
  </cols>
  <sheetData>
    <row r="1" spans="1:18" ht="16.5" thickBot="1" x14ac:dyDescent="0.25">
      <c r="A1" s="9"/>
      <c r="B1" s="10" t="s">
        <v>63</v>
      </c>
      <c r="C1" s="11" t="s">
        <v>64</v>
      </c>
      <c r="D1" s="12"/>
      <c r="E1" s="12"/>
      <c r="F1" s="13"/>
      <c r="G1" s="14"/>
      <c r="H1" s="14"/>
      <c r="I1" s="15"/>
      <c r="J1" s="15"/>
      <c r="K1" s="15"/>
      <c r="L1" s="16"/>
      <c r="M1" s="14"/>
      <c r="O1" s="16"/>
    </row>
    <row r="2" spans="1:18" ht="3.75" customHeight="1" thickBot="1" x14ac:dyDescent="0.25">
      <c r="B2" s="14"/>
      <c r="C2" s="18"/>
      <c r="D2" s="18"/>
      <c r="E2" s="18"/>
      <c r="F2" s="13"/>
      <c r="G2" s="14"/>
      <c r="H2" s="14"/>
      <c r="I2" s="15"/>
      <c r="J2" s="15"/>
      <c r="K2" s="15"/>
      <c r="L2" s="15"/>
      <c r="M2" s="14"/>
      <c r="O2" s="15"/>
    </row>
    <row r="3" spans="1:18" ht="60" thickBot="1" x14ac:dyDescent="0.25">
      <c r="A3" s="19" t="s">
        <v>65</v>
      </c>
      <c r="B3" s="20" t="s">
        <v>0</v>
      </c>
      <c r="C3" s="20" t="s">
        <v>1</v>
      </c>
      <c r="D3" s="21" t="s">
        <v>39</v>
      </c>
      <c r="E3" s="21" t="s">
        <v>66</v>
      </c>
      <c r="F3" s="22" t="s">
        <v>67</v>
      </c>
      <c r="G3" s="23" t="s">
        <v>68</v>
      </c>
      <c r="H3" s="24" t="s">
        <v>42</v>
      </c>
      <c r="I3" s="25" t="s">
        <v>69</v>
      </c>
      <c r="J3" s="21" t="s">
        <v>70</v>
      </c>
      <c r="K3" s="24" t="s">
        <v>44</v>
      </c>
      <c r="L3" s="24" t="s">
        <v>30</v>
      </c>
      <c r="M3" s="24" t="s">
        <v>29</v>
      </c>
      <c r="N3" s="20" t="s">
        <v>31</v>
      </c>
      <c r="O3" s="24" t="s">
        <v>71</v>
      </c>
      <c r="P3" s="24" t="s">
        <v>72</v>
      </c>
      <c r="Q3" s="21" t="s">
        <v>73</v>
      </c>
      <c r="R3" s="26" t="s">
        <v>74</v>
      </c>
    </row>
    <row r="4" spans="1:18" ht="26.25" thickTop="1" x14ac:dyDescent="0.2">
      <c r="A4" s="27">
        <v>1</v>
      </c>
      <c r="B4" s="28" t="s">
        <v>33</v>
      </c>
      <c r="C4" s="29"/>
      <c r="D4" s="2" t="s">
        <v>40</v>
      </c>
      <c r="E4" s="30"/>
      <c r="F4" s="31"/>
      <c r="G4" s="32"/>
      <c r="H4" s="33" t="s">
        <v>75</v>
      </c>
      <c r="I4" s="34" t="s">
        <v>76</v>
      </c>
      <c r="J4" s="31"/>
      <c r="K4" s="2"/>
      <c r="L4" s="2"/>
      <c r="M4" s="27"/>
      <c r="N4" s="27" t="s">
        <v>52</v>
      </c>
      <c r="O4" s="31"/>
      <c r="P4" s="27"/>
      <c r="Q4" s="35">
        <f>DAYS360(F4,J4,0)+1</f>
        <v>1</v>
      </c>
      <c r="R4" s="35">
        <f>IFERROR((DAYS360(J4,O4,0)+1),1)</f>
        <v>1</v>
      </c>
    </row>
    <row r="5" spans="1:18" ht="14.25" x14ac:dyDescent="0.2">
      <c r="A5" s="27">
        <v>2</v>
      </c>
      <c r="B5" s="28"/>
      <c r="C5" s="29"/>
      <c r="D5" s="2"/>
      <c r="E5" s="2"/>
      <c r="F5" s="31"/>
      <c r="G5" s="32"/>
      <c r="H5" s="33"/>
      <c r="I5" s="34"/>
      <c r="J5" s="31"/>
      <c r="K5" s="2"/>
      <c r="L5" s="2"/>
      <c r="M5" s="27"/>
      <c r="N5" s="27"/>
      <c r="O5" s="31"/>
      <c r="P5" s="27"/>
      <c r="Q5" s="35">
        <f t="shared" ref="Q5:Q68" si="0">DAYS360(F5,J5,0)+1</f>
        <v>1</v>
      </c>
      <c r="R5" s="35">
        <f t="shared" ref="R5:R68" si="1">IFERROR((DAYS360(J5,O5,0)+1),1)</f>
        <v>1</v>
      </c>
    </row>
    <row r="6" spans="1:18" ht="14.25" x14ac:dyDescent="0.2">
      <c r="A6" s="27">
        <v>3</v>
      </c>
      <c r="B6" s="28"/>
      <c r="C6" s="29"/>
      <c r="D6" s="2"/>
      <c r="E6" s="2"/>
      <c r="F6" s="31"/>
      <c r="G6" s="32"/>
      <c r="H6" s="33"/>
      <c r="I6" s="34"/>
      <c r="J6" s="31"/>
      <c r="K6" s="2"/>
      <c r="L6" s="2"/>
      <c r="M6" s="27"/>
      <c r="N6" s="27"/>
      <c r="O6" s="31"/>
      <c r="P6" s="27"/>
      <c r="Q6" s="35">
        <f t="shared" si="0"/>
        <v>1</v>
      </c>
      <c r="R6" s="35">
        <f t="shared" si="1"/>
        <v>1</v>
      </c>
    </row>
    <row r="7" spans="1:18" ht="14.25" x14ac:dyDescent="0.2">
      <c r="A7" s="27">
        <v>4</v>
      </c>
      <c r="B7" s="28" t="s">
        <v>46</v>
      </c>
      <c r="C7" s="29"/>
      <c r="D7" s="2" t="s">
        <v>40</v>
      </c>
      <c r="E7" s="2"/>
      <c r="F7" s="31"/>
      <c r="G7" s="32"/>
      <c r="H7" s="33" t="s">
        <v>75</v>
      </c>
      <c r="I7" s="34" t="s">
        <v>77</v>
      </c>
      <c r="J7" s="31"/>
      <c r="K7" s="2"/>
      <c r="L7" s="2"/>
      <c r="M7" s="27"/>
      <c r="N7" s="27" t="s">
        <v>48</v>
      </c>
      <c r="O7" s="31"/>
      <c r="P7" s="27"/>
      <c r="Q7" s="35">
        <f t="shared" si="0"/>
        <v>1</v>
      </c>
      <c r="R7" s="35">
        <f t="shared" si="1"/>
        <v>1</v>
      </c>
    </row>
    <row r="8" spans="1:18" ht="14.25" x14ac:dyDescent="0.2">
      <c r="A8" s="27">
        <v>5</v>
      </c>
      <c r="B8" s="28"/>
      <c r="C8" s="29"/>
      <c r="D8" s="2"/>
      <c r="E8" s="2"/>
      <c r="F8" s="31"/>
      <c r="G8" s="32"/>
      <c r="H8" s="33"/>
      <c r="I8" s="34"/>
      <c r="J8" s="31"/>
      <c r="K8" s="2"/>
      <c r="L8" s="2"/>
      <c r="M8" s="27"/>
      <c r="N8" s="27"/>
      <c r="O8" s="31"/>
      <c r="P8" s="27"/>
      <c r="Q8" s="35">
        <f t="shared" si="0"/>
        <v>1</v>
      </c>
      <c r="R8" s="35">
        <f t="shared" si="1"/>
        <v>1</v>
      </c>
    </row>
    <row r="9" spans="1:18" ht="14.25" x14ac:dyDescent="0.2">
      <c r="A9" s="27">
        <v>6</v>
      </c>
      <c r="B9" s="28"/>
      <c r="C9" s="29"/>
      <c r="D9" s="2"/>
      <c r="E9" s="2"/>
      <c r="F9" s="31"/>
      <c r="G9" s="32"/>
      <c r="H9" s="33"/>
      <c r="I9" s="34"/>
      <c r="J9" s="31"/>
      <c r="K9" s="2"/>
      <c r="L9" s="2"/>
      <c r="M9" s="27"/>
      <c r="N9" s="27"/>
      <c r="O9" s="31"/>
      <c r="P9" s="27"/>
      <c r="Q9" s="35">
        <f t="shared" si="0"/>
        <v>1</v>
      </c>
      <c r="R9" s="35">
        <f t="shared" si="1"/>
        <v>1</v>
      </c>
    </row>
    <row r="10" spans="1:18" ht="25.5" x14ac:dyDescent="0.2">
      <c r="A10" s="27">
        <v>7</v>
      </c>
      <c r="B10" s="28" t="s">
        <v>33</v>
      </c>
      <c r="C10" s="29"/>
      <c r="D10" s="2" t="s">
        <v>40</v>
      </c>
      <c r="E10" s="2"/>
      <c r="F10" s="31"/>
      <c r="G10" s="32"/>
      <c r="H10" s="33" t="s">
        <v>50</v>
      </c>
      <c r="I10" s="34" t="s">
        <v>76</v>
      </c>
      <c r="J10" s="31"/>
      <c r="K10" s="2"/>
      <c r="L10" s="2"/>
      <c r="M10" s="27"/>
      <c r="N10" s="27" t="s">
        <v>48</v>
      </c>
      <c r="O10" s="31"/>
      <c r="P10" s="27"/>
      <c r="Q10" s="35">
        <f t="shared" si="0"/>
        <v>1</v>
      </c>
      <c r="R10" s="35">
        <f t="shared" si="1"/>
        <v>1</v>
      </c>
    </row>
    <row r="11" spans="1:18" ht="14.25" x14ac:dyDescent="0.2">
      <c r="A11" s="27">
        <v>8</v>
      </c>
      <c r="B11" s="28"/>
      <c r="C11" s="29"/>
      <c r="D11" s="2"/>
      <c r="E11" s="2"/>
      <c r="F11" s="31"/>
      <c r="G11" s="32"/>
      <c r="H11" s="33"/>
      <c r="I11" s="34"/>
      <c r="J11" s="31"/>
      <c r="K11" s="2"/>
      <c r="L11" s="2"/>
      <c r="M11" s="27"/>
      <c r="N11" s="27"/>
      <c r="O11" s="31"/>
      <c r="P11" s="27"/>
      <c r="Q11" s="35">
        <f t="shared" si="0"/>
        <v>1</v>
      </c>
      <c r="R11" s="35">
        <f t="shared" si="1"/>
        <v>1</v>
      </c>
    </row>
    <row r="12" spans="1:18" ht="14.25" x14ac:dyDescent="0.2">
      <c r="A12" s="27">
        <v>9</v>
      </c>
      <c r="B12" s="28"/>
      <c r="C12" s="29"/>
      <c r="D12" s="2"/>
      <c r="E12" s="2"/>
      <c r="F12" s="31"/>
      <c r="G12" s="32"/>
      <c r="H12" s="33"/>
      <c r="I12" s="34"/>
      <c r="J12" s="31"/>
      <c r="K12" s="2"/>
      <c r="L12" s="2"/>
      <c r="M12" s="27"/>
      <c r="N12" s="27"/>
      <c r="O12" s="31"/>
      <c r="P12" s="27"/>
      <c r="Q12" s="35">
        <f t="shared" si="0"/>
        <v>1</v>
      </c>
      <c r="R12" s="35">
        <f t="shared" si="1"/>
        <v>1</v>
      </c>
    </row>
    <row r="13" spans="1:18" ht="14.25" x14ac:dyDescent="0.2">
      <c r="A13" s="27">
        <v>10</v>
      </c>
      <c r="B13" s="28" t="s">
        <v>21</v>
      </c>
      <c r="C13" s="29"/>
      <c r="D13" s="2" t="s">
        <v>40</v>
      </c>
      <c r="E13" s="2"/>
      <c r="F13" s="31"/>
      <c r="G13" s="32"/>
      <c r="H13" s="33" t="s">
        <v>75</v>
      </c>
      <c r="I13" s="34" t="s">
        <v>76</v>
      </c>
      <c r="J13" s="31"/>
      <c r="K13" s="2"/>
      <c r="L13" s="2"/>
      <c r="M13" s="27"/>
      <c r="N13" s="27" t="s">
        <v>48</v>
      </c>
      <c r="O13" s="31"/>
      <c r="P13" s="27"/>
      <c r="Q13" s="35">
        <f t="shared" si="0"/>
        <v>1</v>
      </c>
      <c r="R13" s="35">
        <f t="shared" si="1"/>
        <v>1</v>
      </c>
    </row>
    <row r="14" spans="1:18" ht="14.25" x14ac:dyDescent="0.2">
      <c r="A14" s="27">
        <v>11</v>
      </c>
      <c r="B14" s="28"/>
      <c r="C14" s="29"/>
      <c r="D14" s="2"/>
      <c r="E14" s="2"/>
      <c r="F14" s="31"/>
      <c r="G14" s="32"/>
      <c r="H14" s="33"/>
      <c r="I14" s="34"/>
      <c r="J14" s="31"/>
      <c r="K14" s="2"/>
      <c r="L14" s="2"/>
      <c r="M14" s="27"/>
      <c r="N14" s="27"/>
      <c r="O14" s="31"/>
      <c r="P14" s="27"/>
      <c r="Q14" s="35">
        <f t="shared" si="0"/>
        <v>1</v>
      </c>
      <c r="R14" s="35">
        <f t="shared" si="1"/>
        <v>1</v>
      </c>
    </row>
    <row r="15" spans="1:18" ht="14.25" x14ac:dyDescent="0.2">
      <c r="A15" s="27">
        <v>12</v>
      </c>
      <c r="B15" s="28" t="s">
        <v>34</v>
      </c>
      <c r="C15" s="29"/>
      <c r="D15" s="2" t="s">
        <v>40</v>
      </c>
      <c r="E15" s="2"/>
      <c r="F15" s="31"/>
      <c r="G15" s="32"/>
      <c r="H15" s="33" t="s">
        <v>75</v>
      </c>
      <c r="I15" s="34" t="s">
        <v>76</v>
      </c>
      <c r="J15" s="31"/>
      <c r="K15" s="2"/>
      <c r="L15" s="2"/>
      <c r="M15" s="27"/>
      <c r="N15" s="27" t="s">
        <v>52</v>
      </c>
      <c r="O15" s="31"/>
      <c r="P15" s="27"/>
      <c r="Q15" s="35">
        <f t="shared" si="0"/>
        <v>1</v>
      </c>
      <c r="R15" s="35">
        <f t="shared" si="1"/>
        <v>1</v>
      </c>
    </row>
    <row r="16" spans="1:18" ht="14.25" x14ac:dyDescent="0.2">
      <c r="A16" s="27">
        <v>13</v>
      </c>
      <c r="B16" s="28"/>
      <c r="C16" s="29"/>
      <c r="D16" s="2"/>
      <c r="E16" s="2"/>
      <c r="F16" s="31"/>
      <c r="G16" s="32"/>
      <c r="H16" s="33"/>
      <c r="I16" s="34"/>
      <c r="J16" s="31"/>
      <c r="K16" s="2"/>
      <c r="L16" s="2"/>
      <c r="M16" s="27"/>
      <c r="N16" s="27"/>
      <c r="O16" s="31"/>
      <c r="P16" s="27"/>
      <c r="Q16" s="35">
        <f t="shared" si="0"/>
        <v>1</v>
      </c>
      <c r="R16" s="35">
        <f t="shared" si="1"/>
        <v>1</v>
      </c>
    </row>
    <row r="17" spans="1:18" ht="14.25" x14ac:dyDescent="0.2">
      <c r="A17" s="27">
        <v>14</v>
      </c>
      <c r="B17" s="28"/>
      <c r="C17" s="29"/>
      <c r="D17" s="2"/>
      <c r="E17" s="2"/>
      <c r="F17" s="31"/>
      <c r="G17" s="32"/>
      <c r="H17" s="33"/>
      <c r="I17" s="34"/>
      <c r="J17" s="31"/>
      <c r="K17" s="2"/>
      <c r="L17" s="2"/>
      <c r="M17" s="27"/>
      <c r="N17" s="27"/>
      <c r="O17" s="31"/>
      <c r="P17" s="27"/>
      <c r="Q17" s="35">
        <f t="shared" si="0"/>
        <v>1</v>
      </c>
      <c r="R17" s="35">
        <f t="shared" si="1"/>
        <v>1</v>
      </c>
    </row>
    <row r="18" spans="1:18" ht="14.25" x14ac:dyDescent="0.2">
      <c r="A18" s="27">
        <v>15</v>
      </c>
      <c r="B18" s="28"/>
      <c r="C18" s="29"/>
      <c r="D18" s="2"/>
      <c r="E18" s="2"/>
      <c r="F18" s="31"/>
      <c r="G18" s="32"/>
      <c r="H18" s="33"/>
      <c r="I18" s="34"/>
      <c r="J18" s="31"/>
      <c r="K18" s="2"/>
      <c r="L18" s="2"/>
      <c r="M18" s="27"/>
      <c r="N18" s="27"/>
      <c r="O18" s="31"/>
      <c r="P18" s="27"/>
      <c r="Q18" s="35">
        <f t="shared" si="0"/>
        <v>1</v>
      </c>
      <c r="R18" s="35">
        <f t="shared" si="1"/>
        <v>1</v>
      </c>
    </row>
    <row r="19" spans="1:18" ht="14.25" x14ac:dyDescent="0.2">
      <c r="A19" s="27">
        <v>16</v>
      </c>
      <c r="B19" s="28"/>
      <c r="C19" s="29"/>
      <c r="D19" s="2"/>
      <c r="E19" s="2"/>
      <c r="F19" s="31"/>
      <c r="G19" s="32"/>
      <c r="H19" s="33"/>
      <c r="I19" s="34"/>
      <c r="J19" s="31"/>
      <c r="K19" s="2"/>
      <c r="L19" s="2"/>
      <c r="M19" s="27"/>
      <c r="N19" s="27"/>
      <c r="O19" s="31"/>
      <c r="P19" s="27"/>
      <c r="Q19" s="35">
        <f t="shared" si="0"/>
        <v>1</v>
      </c>
      <c r="R19" s="35">
        <f t="shared" si="1"/>
        <v>1</v>
      </c>
    </row>
    <row r="20" spans="1:18" ht="14.25" x14ac:dyDescent="0.2">
      <c r="A20" s="27">
        <v>17</v>
      </c>
      <c r="B20" s="28"/>
      <c r="C20" s="29"/>
      <c r="D20" s="2"/>
      <c r="E20" s="2"/>
      <c r="F20" s="31"/>
      <c r="G20" s="32"/>
      <c r="H20" s="33"/>
      <c r="I20" s="34"/>
      <c r="J20" s="31"/>
      <c r="K20" s="2"/>
      <c r="L20" s="2"/>
      <c r="M20" s="27"/>
      <c r="N20" s="27"/>
      <c r="O20" s="31"/>
      <c r="P20" s="27"/>
      <c r="Q20" s="35">
        <f t="shared" si="0"/>
        <v>1</v>
      </c>
      <c r="R20" s="35">
        <f t="shared" si="1"/>
        <v>1</v>
      </c>
    </row>
    <row r="21" spans="1:18" ht="14.25" x14ac:dyDescent="0.2">
      <c r="A21" s="27">
        <v>18</v>
      </c>
      <c r="B21" s="28"/>
      <c r="C21" s="29"/>
      <c r="D21" s="2"/>
      <c r="E21" s="2"/>
      <c r="F21" s="31"/>
      <c r="G21" s="32"/>
      <c r="H21" s="33"/>
      <c r="I21" s="34"/>
      <c r="J21" s="31"/>
      <c r="K21" s="2"/>
      <c r="L21" s="2"/>
      <c r="M21" s="27"/>
      <c r="N21" s="27"/>
      <c r="O21" s="31"/>
      <c r="P21" s="27"/>
      <c r="Q21" s="35">
        <f t="shared" si="0"/>
        <v>1</v>
      </c>
      <c r="R21" s="35">
        <f t="shared" si="1"/>
        <v>1</v>
      </c>
    </row>
    <row r="22" spans="1:18" ht="14.25" x14ac:dyDescent="0.2">
      <c r="A22" s="27">
        <v>19</v>
      </c>
      <c r="B22" s="28"/>
      <c r="C22" s="29"/>
      <c r="D22" s="2"/>
      <c r="E22" s="2"/>
      <c r="F22" s="31"/>
      <c r="G22" s="32"/>
      <c r="H22" s="33"/>
      <c r="I22" s="34"/>
      <c r="J22" s="31"/>
      <c r="K22" s="2"/>
      <c r="L22" s="2"/>
      <c r="M22" s="27"/>
      <c r="N22" s="27"/>
      <c r="O22" s="31"/>
      <c r="P22" s="27"/>
      <c r="Q22" s="35">
        <f t="shared" si="0"/>
        <v>1</v>
      </c>
      <c r="R22" s="35">
        <f t="shared" si="1"/>
        <v>1</v>
      </c>
    </row>
    <row r="23" spans="1:18" ht="14.25" x14ac:dyDescent="0.2">
      <c r="A23" s="27">
        <v>20</v>
      </c>
      <c r="B23" s="28"/>
      <c r="C23" s="29"/>
      <c r="D23" s="2"/>
      <c r="E23" s="2"/>
      <c r="F23" s="31"/>
      <c r="G23" s="32"/>
      <c r="H23" s="33"/>
      <c r="I23" s="34"/>
      <c r="J23" s="31"/>
      <c r="K23" s="2"/>
      <c r="L23" s="2"/>
      <c r="M23" s="27"/>
      <c r="N23" s="27"/>
      <c r="O23" s="31"/>
      <c r="P23" s="27"/>
      <c r="Q23" s="35">
        <f t="shared" si="0"/>
        <v>1</v>
      </c>
      <c r="R23" s="35">
        <f t="shared" si="1"/>
        <v>1</v>
      </c>
    </row>
    <row r="24" spans="1:18" ht="14.25" x14ac:dyDescent="0.2">
      <c r="A24" s="27">
        <v>21</v>
      </c>
      <c r="B24" s="28"/>
      <c r="C24" s="29"/>
      <c r="D24" s="2"/>
      <c r="E24" s="2"/>
      <c r="F24" s="31"/>
      <c r="G24" s="32"/>
      <c r="H24" s="33"/>
      <c r="I24" s="34"/>
      <c r="J24" s="31"/>
      <c r="K24" s="2"/>
      <c r="L24" s="2"/>
      <c r="M24" s="27"/>
      <c r="N24" s="27"/>
      <c r="O24" s="31"/>
      <c r="P24" s="27"/>
      <c r="Q24" s="35">
        <f t="shared" si="0"/>
        <v>1</v>
      </c>
      <c r="R24" s="35">
        <f t="shared" si="1"/>
        <v>1</v>
      </c>
    </row>
    <row r="25" spans="1:18" ht="14.25" x14ac:dyDescent="0.2">
      <c r="A25" s="27">
        <v>22</v>
      </c>
      <c r="B25" s="28"/>
      <c r="C25" s="29"/>
      <c r="D25" s="2"/>
      <c r="E25" s="2"/>
      <c r="F25" s="31"/>
      <c r="G25" s="32"/>
      <c r="H25" s="33"/>
      <c r="I25" s="34"/>
      <c r="J25" s="31"/>
      <c r="K25" s="2"/>
      <c r="L25" s="2"/>
      <c r="M25" s="27"/>
      <c r="N25" s="27"/>
      <c r="O25" s="31"/>
      <c r="P25" s="27"/>
      <c r="Q25" s="35">
        <f t="shared" si="0"/>
        <v>1</v>
      </c>
      <c r="R25" s="35">
        <f t="shared" si="1"/>
        <v>1</v>
      </c>
    </row>
    <row r="26" spans="1:18" ht="14.25" x14ac:dyDescent="0.2">
      <c r="A26" s="27">
        <v>23</v>
      </c>
      <c r="B26" s="28"/>
      <c r="C26" s="29"/>
      <c r="D26" s="2"/>
      <c r="E26" s="2"/>
      <c r="F26" s="31"/>
      <c r="G26" s="32"/>
      <c r="H26" s="33"/>
      <c r="I26" s="34"/>
      <c r="J26" s="31"/>
      <c r="K26" s="2"/>
      <c r="L26" s="2"/>
      <c r="M26" s="27"/>
      <c r="N26" s="27"/>
      <c r="O26" s="31"/>
      <c r="P26" s="27"/>
      <c r="Q26" s="35">
        <f t="shared" si="0"/>
        <v>1</v>
      </c>
      <c r="R26" s="35">
        <f t="shared" si="1"/>
        <v>1</v>
      </c>
    </row>
    <row r="27" spans="1:18" ht="14.25" x14ac:dyDescent="0.2">
      <c r="A27" s="27">
        <v>24</v>
      </c>
      <c r="B27" s="28"/>
      <c r="C27" s="29"/>
      <c r="D27" s="2"/>
      <c r="E27" s="2"/>
      <c r="F27" s="31"/>
      <c r="G27" s="32"/>
      <c r="H27" s="33"/>
      <c r="I27" s="34"/>
      <c r="J27" s="31"/>
      <c r="K27" s="2"/>
      <c r="L27" s="2"/>
      <c r="M27" s="27"/>
      <c r="N27" s="27"/>
      <c r="O27" s="31"/>
      <c r="P27" s="27"/>
      <c r="Q27" s="35">
        <f t="shared" si="0"/>
        <v>1</v>
      </c>
      <c r="R27" s="35">
        <f t="shared" si="1"/>
        <v>1</v>
      </c>
    </row>
    <row r="28" spans="1:18" ht="14.25" x14ac:dyDescent="0.2">
      <c r="A28" s="27">
        <v>25</v>
      </c>
      <c r="B28" s="28"/>
      <c r="C28" s="29"/>
      <c r="D28" s="2"/>
      <c r="E28" s="2"/>
      <c r="F28" s="31"/>
      <c r="G28" s="32"/>
      <c r="H28" s="33"/>
      <c r="I28" s="34"/>
      <c r="J28" s="31"/>
      <c r="K28" s="2"/>
      <c r="L28" s="2"/>
      <c r="M28" s="27"/>
      <c r="N28" s="27"/>
      <c r="O28" s="31"/>
      <c r="P28" s="27"/>
      <c r="Q28" s="35">
        <f t="shared" si="0"/>
        <v>1</v>
      </c>
      <c r="R28" s="35">
        <f t="shared" si="1"/>
        <v>1</v>
      </c>
    </row>
    <row r="29" spans="1:18" ht="14.25" x14ac:dyDescent="0.2">
      <c r="A29" s="27">
        <v>26</v>
      </c>
      <c r="B29" s="28"/>
      <c r="C29" s="29"/>
      <c r="D29" s="2"/>
      <c r="E29" s="2"/>
      <c r="F29" s="31"/>
      <c r="G29" s="32"/>
      <c r="H29" s="33"/>
      <c r="I29" s="34"/>
      <c r="J29" s="31"/>
      <c r="K29" s="2"/>
      <c r="L29" s="2"/>
      <c r="M29" s="27"/>
      <c r="N29" s="27"/>
      <c r="O29" s="31"/>
      <c r="P29" s="27"/>
      <c r="Q29" s="35">
        <f t="shared" si="0"/>
        <v>1</v>
      </c>
      <c r="R29" s="35">
        <f t="shared" si="1"/>
        <v>1</v>
      </c>
    </row>
    <row r="30" spans="1:18" ht="14.25" x14ac:dyDescent="0.2">
      <c r="A30" s="27">
        <v>27</v>
      </c>
      <c r="B30" s="28"/>
      <c r="C30" s="29"/>
      <c r="D30" s="2"/>
      <c r="E30" s="2"/>
      <c r="F30" s="31"/>
      <c r="G30" s="32"/>
      <c r="H30" s="33"/>
      <c r="I30" s="34"/>
      <c r="J30" s="31"/>
      <c r="K30" s="2"/>
      <c r="L30" s="2"/>
      <c r="M30" s="27"/>
      <c r="N30" s="27"/>
      <c r="O30" s="31"/>
      <c r="P30" s="27"/>
      <c r="Q30" s="35">
        <f t="shared" si="0"/>
        <v>1</v>
      </c>
      <c r="R30" s="35">
        <f t="shared" si="1"/>
        <v>1</v>
      </c>
    </row>
    <row r="31" spans="1:18" ht="14.25" x14ac:dyDescent="0.2">
      <c r="A31" s="27">
        <v>28</v>
      </c>
      <c r="B31" s="28"/>
      <c r="C31" s="29"/>
      <c r="D31" s="2"/>
      <c r="E31" s="2"/>
      <c r="F31" s="31"/>
      <c r="G31" s="32"/>
      <c r="H31" s="33"/>
      <c r="I31" s="34"/>
      <c r="J31" s="31"/>
      <c r="K31" s="2"/>
      <c r="L31" s="2"/>
      <c r="M31" s="27"/>
      <c r="N31" s="27"/>
      <c r="O31" s="31"/>
      <c r="P31" s="27"/>
      <c r="Q31" s="35">
        <f t="shared" si="0"/>
        <v>1</v>
      </c>
      <c r="R31" s="35">
        <f t="shared" si="1"/>
        <v>1</v>
      </c>
    </row>
    <row r="32" spans="1:18" ht="14.25" x14ac:dyDescent="0.2">
      <c r="A32" s="27">
        <v>29</v>
      </c>
      <c r="B32" s="28"/>
      <c r="C32" s="29"/>
      <c r="D32" s="2"/>
      <c r="E32" s="2"/>
      <c r="F32" s="31"/>
      <c r="G32" s="32"/>
      <c r="H32" s="33"/>
      <c r="I32" s="34"/>
      <c r="J32" s="31"/>
      <c r="K32" s="2"/>
      <c r="L32" s="2"/>
      <c r="M32" s="27"/>
      <c r="N32" s="27"/>
      <c r="O32" s="31"/>
      <c r="P32" s="27"/>
      <c r="Q32" s="35">
        <f t="shared" si="0"/>
        <v>1</v>
      </c>
      <c r="R32" s="35">
        <f t="shared" si="1"/>
        <v>1</v>
      </c>
    </row>
    <row r="33" spans="1:18" ht="14.25" x14ac:dyDescent="0.2">
      <c r="A33" s="27">
        <v>30</v>
      </c>
      <c r="B33" s="28"/>
      <c r="C33" s="29"/>
      <c r="D33" s="2"/>
      <c r="E33" s="2"/>
      <c r="F33" s="31"/>
      <c r="G33" s="32"/>
      <c r="H33" s="33"/>
      <c r="I33" s="34"/>
      <c r="J33" s="31"/>
      <c r="K33" s="2"/>
      <c r="L33" s="2"/>
      <c r="M33" s="27"/>
      <c r="N33" s="27"/>
      <c r="O33" s="31"/>
      <c r="P33" s="27"/>
      <c r="Q33" s="35">
        <f t="shared" si="0"/>
        <v>1</v>
      </c>
      <c r="R33" s="35">
        <f t="shared" si="1"/>
        <v>1</v>
      </c>
    </row>
    <row r="34" spans="1:18" ht="14.25" x14ac:dyDescent="0.2">
      <c r="A34" s="27">
        <v>31</v>
      </c>
      <c r="B34" s="28"/>
      <c r="C34" s="29"/>
      <c r="D34" s="2"/>
      <c r="E34" s="2"/>
      <c r="F34" s="31"/>
      <c r="G34" s="32"/>
      <c r="H34" s="33"/>
      <c r="I34" s="34"/>
      <c r="J34" s="31"/>
      <c r="K34" s="2"/>
      <c r="L34" s="2"/>
      <c r="M34" s="27"/>
      <c r="N34" s="27"/>
      <c r="O34" s="31"/>
      <c r="P34" s="27"/>
      <c r="Q34" s="35">
        <f t="shared" si="0"/>
        <v>1</v>
      </c>
      <c r="R34" s="35">
        <f t="shared" si="1"/>
        <v>1</v>
      </c>
    </row>
    <row r="35" spans="1:18" ht="14.25" x14ac:dyDescent="0.2">
      <c r="A35" s="27">
        <v>32</v>
      </c>
      <c r="B35" s="28"/>
      <c r="C35" s="29"/>
      <c r="D35" s="2"/>
      <c r="E35" s="2"/>
      <c r="F35" s="31"/>
      <c r="G35" s="32"/>
      <c r="H35" s="33"/>
      <c r="I35" s="34"/>
      <c r="J35" s="31"/>
      <c r="K35" s="2"/>
      <c r="L35" s="2"/>
      <c r="M35" s="27"/>
      <c r="N35" s="27"/>
      <c r="O35" s="31"/>
      <c r="P35" s="27"/>
      <c r="Q35" s="35">
        <f t="shared" si="0"/>
        <v>1</v>
      </c>
      <c r="R35" s="35">
        <f t="shared" si="1"/>
        <v>1</v>
      </c>
    </row>
    <row r="36" spans="1:18" ht="14.25" x14ac:dyDescent="0.2">
      <c r="A36" s="27">
        <v>33</v>
      </c>
      <c r="B36" s="28"/>
      <c r="C36" s="29"/>
      <c r="D36" s="2"/>
      <c r="E36" s="2"/>
      <c r="F36" s="31"/>
      <c r="G36" s="32"/>
      <c r="H36" s="33"/>
      <c r="I36" s="34"/>
      <c r="J36" s="31"/>
      <c r="K36" s="2"/>
      <c r="L36" s="2"/>
      <c r="M36" s="27"/>
      <c r="N36" s="27"/>
      <c r="O36" s="31"/>
      <c r="P36" s="27"/>
      <c r="Q36" s="35">
        <f t="shared" si="0"/>
        <v>1</v>
      </c>
      <c r="R36" s="35">
        <f t="shared" si="1"/>
        <v>1</v>
      </c>
    </row>
    <row r="37" spans="1:18" ht="14.25" x14ac:dyDescent="0.2">
      <c r="A37" s="27">
        <v>34</v>
      </c>
      <c r="B37" s="28"/>
      <c r="C37" s="29"/>
      <c r="D37" s="2"/>
      <c r="E37" s="2"/>
      <c r="F37" s="31"/>
      <c r="G37" s="32"/>
      <c r="H37" s="33"/>
      <c r="I37" s="34"/>
      <c r="J37" s="31"/>
      <c r="K37" s="2"/>
      <c r="L37" s="2"/>
      <c r="M37" s="27"/>
      <c r="N37" s="27"/>
      <c r="O37" s="31"/>
      <c r="P37" s="27"/>
      <c r="Q37" s="35">
        <f t="shared" si="0"/>
        <v>1</v>
      </c>
      <c r="R37" s="35">
        <f t="shared" si="1"/>
        <v>1</v>
      </c>
    </row>
    <row r="38" spans="1:18" ht="14.25" x14ac:dyDescent="0.2">
      <c r="A38" s="27">
        <v>35</v>
      </c>
      <c r="B38" s="28"/>
      <c r="C38" s="29"/>
      <c r="D38" s="2"/>
      <c r="E38" s="2"/>
      <c r="F38" s="31"/>
      <c r="G38" s="32"/>
      <c r="H38" s="33"/>
      <c r="I38" s="34"/>
      <c r="J38" s="31"/>
      <c r="K38" s="2"/>
      <c r="L38" s="2"/>
      <c r="M38" s="27"/>
      <c r="N38" s="27"/>
      <c r="O38" s="31"/>
      <c r="P38" s="27"/>
      <c r="Q38" s="35">
        <f t="shared" si="0"/>
        <v>1</v>
      </c>
      <c r="R38" s="35">
        <f t="shared" si="1"/>
        <v>1</v>
      </c>
    </row>
    <row r="39" spans="1:18" ht="14.25" x14ac:dyDescent="0.2">
      <c r="A39" s="27">
        <v>36</v>
      </c>
      <c r="B39" s="28"/>
      <c r="C39" s="29"/>
      <c r="D39" s="2"/>
      <c r="E39" s="2"/>
      <c r="F39" s="31"/>
      <c r="G39" s="32"/>
      <c r="H39" s="33"/>
      <c r="I39" s="34"/>
      <c r="J39" s="31"/>
      <c r="K39" s="2"/>
      <c r="L39" s="2"/>
      <c r="M39" s="27"/>
      <c r="N39" s="27"/>
      <c r="O39" s="31"/>
      <c r="P39" s="27"/>
      <c r="Q39" s="35">
        <f t="shared" si="0"/>
        <v>1</v>
      </c>
      <c r="R39" s="35">
        <f t="shared" si="1"/>
        <v>1</v>
      </c>
    </row>
    <row r="40" spans="1:18" ht="14.25" x14ac:dyDescent="0.2">
      <c r="A40" s="27">
        <v>37</v>
      </c>
      <c r="B40" s="28"/>
      <c r="C40" s="29"/>
      <c r="D40" s="2"/>
      <c r="E40" s="2"/>
      <c r="F40" s="31"/>
      <c r="G40" s="32"/>
      <c r="H40" s="33"/>
      <c r="I40" s="34"/>
      <c r="J40" s="31"/>
      <c r="K40" s="2"/>
      <c r="L40" s="2"/>
      <c r="M40" s="27"/>
      <c r="N40" s="27"/>
      <c r="O40" s="31"/>
      <c r="P40" s="27"/>
      <c r="Q40" s="35">
        <f t="shared" si="0"/>
        <v>1</v>
      </c>
      <c r="R40" s="35">
        <f t="shared" si="1"/>
        <v>1</v>
      </c>
    </row>
    <row r="41" spans="1:18" ht="14.25" x14ac:dyDescent="0.2">
      <c r="A41" s="27">
        <v>38</v>
      </c>
      <c r="B41" s="28"/>
      <c r="C41" s="29"/>
      <c r="D41" s="2"/>
      <c r="E41" s="2"/>
      <c r="F41" s="31"/>
      <c r="G41" s="32"/>
      <c r="H41" s="33"/>
      <c r="I41" s="34"/>
      <c r="J41" s="31"/>
      <c r="K41" s="2"/>
      <c r="L41" s="2"/>
      <c r="M41" s="27"/>
      <c r="N41" s="27"/>
      <c r="O41" s="31"/>
      <c r="P41" s="27"/>
      <c r="Q41" s="35">
        <f t="shared" si="0"/>
        <v>1</v>
      </c>
      <c r="R41" s="35">
        <f t="shared" si="1"/>
        <v>1</v>
      </c>
    </row>
    <row r="42" spans="1:18" ht="14.25" x14ac:dyDescent="0.2">
      <c r="A42" s="27">
        <v>39</v>
      </c>
      <c r="B42" s="28"/>
      <c r="C42" s="29"/>
      <c r="D42" s="2"/>
      <c r="E42" s="2"/>
      <c r="F42" s="31"/>
      <c r="G42" s="32"/>
      <c r="H42" s="33"/>
      <c r="I42" s="34"/>
      <c r="J42" s="31"/>
      <c r="K42" s="2"/>
      <c r="L42" s="2"/>
      <c r="M42" s="27"/>
      <c r="N42" s="27"/>
      <c r="O42" s="31"/>
      <c r="P42" s="27"/>
      <c r="Q42" s="35">
        <f t="shared" si="0"/>
        <v>1</v>
      </c>
      <c r="R42" s="35">
        <f t="shared" si="1"/>
        <v>1</v>
      </c>
    </row>
    <row r="43" spans="1:18" ht="14.25" x14ac:dyDescent="0.2">
      <c r="A43" s="27">
        <v>40</v>
      </c>
      <c r="B43" s="28"/>
      <c r="C43" s="29"/>
      <c r="D43" s="2"/>
      <c r="E43" s="2"/>
      <c r="F43" s="31"/>
      <c r="G43" s="32"/>
      <c r="H43" s="33"/>
      <c r="I43" s="34"/>
      <c r="J43" s="31"/>
      <c r="K43" s="2"/>
      <c r="L43" s="2"/>
      <c r="M43" s="27"/>
      <c r="N43" s="27"/>
      <c r="O43" s="31"/>
      <c r="P43" s="27"/>
      <c r="Q43" s="35">
        <f t="shared" si="0"/>
        <v>1</v>
      </c>
      <c r="R43" s="35">
        <f t="shared" si="1"/>
        <v>1</v>
      </c>
    </row>
    <row r="44" spans="1:18" ht="14.25" x14ac:dyDescent="0.2">
      <c r="A44" s="27">
        <v>41</v>
      </c>
      <c r="B44" s="28"/>
      <c r="C44" s="29"/>
      <c r="D44" s="2"/>
      <c r="E44" s="2"/>
      <c r="F44" s="31"/>
      <c r="G44" s="32"/>
      <c r="H44" s="33"/>
      <c r="I44" s="34"/>
      <c r="J44" s="31"/>
      <c r="K44" s="2"/>
      <c r="L44" s="2"/>
      <c r="M44" s="27"/>
      <c r="N44" s="27"/>
      <c r="O44" s="31"/>
      <c r="P44" s="27"/>
      <c r="Q44" s="35">
        <f t="shared" si="0"/>
        <v>1</v>
      </c>
      <c r="R44" s="35">
        <f t="shared" si="1"/>
        <v>1</v>
      </c>
    </row>
    <row r="45" spans="1:18" ht="14.25" x14ac:dyDescent="0.2">
      <c r="A45" s="27">
        <v>42</v>
      </c>
      <c r="B45" s="28"/>
      <c r="C45" s="29"/>
      <c r="D45" s="2"/>
      <c r="E45" s="2"/>
      <c r="F45" s="31"/>
      <c r="G45" s="32"/>
      <c r="H45" s="33"/>
      <c r="I45" s="34"/>
      <c r="J45" s="31"/>
      <c r="K45" s="2"/>
      <c r="L45" s="2"/>
      <c r="M45" s="27"/>
      <c r="N45" s="27"/>
      <c r="O45" s="31"/>
      <c r="P45" s="27"/>
      <c r="Q45" s="35">
        <f t="shared" si="0"/>
        <v>1</v>
      </c>
      <c r="R45" s="35">
        <f t="shared" si="1"/>
        <v>1</v>
      </c>
    </row>
    <row r="46" spans="1:18" ht="14.25" x14ac:dyDescent="0.2">
      <c r="A46" s="27">
        <v>43</v>
      </c>
      <c r="B46" s="28"/>
      <c r="C46" s="29"/>
      <c r="D46" s="2"/>
      <c r="E46" s="2"/>
      <c r="F46" s="31"/>
      <c r="G46" s="32"/>
      <c r="H46" s="33"/>
      <c r="I46" s="34"/>
      <c r="J46" s="31"/>
      <c r="K46" s="2"/>
      <c r="L46" s="2"/>
      <c r="M46" s="27"/>
      <c r="N46" s="27"/>
      <c r="O46" s="31"/>
      <c r="P46" s="27"/>
      <c r="Q46" s="35">
        <f t="shared" si="0"/>
        <v>1</v>
      </c>
      <c r="R46" s="35">
        <f t="shared" si="1"/>
        <v>1</v>
      </c>
    </row>
    <row r="47" spans="1:18" ht="14.25" x14ac:dyDescent="0.2">
      <c r="A47" s="27">
        <v>44</v>
      </c>
      <c r="B47" s="28"/>
      <c r="C47" s="29"/>
      <c r="D47" s="2"/>
      <c r="E47" s="2"/>
      <c r="F47" s="31"/>
      <c r="G47" s="32"/>
      <c r="H47" s="33"/>
      <c r="I47" s="34"/>
      <c r="J47" s="31"/>
      <c r="K47" s="2"/>
      <c r="L47" s="2"/>
      <c r="M47" s="27"/>
      <c r="N47" s="27"/>
      <c r="O47" s="31"/>
      <c r="P47" s="27"/>
      <c r="Q47" s="35">
        <f t="shared" si="0"/>
        <v>1</v>
      </c>
      <c r="R47" s="35">
        <f t="shared" si="1"/>
        <v>1</v>
      </c>
    </row>
    <row r="48" spans="1:18" ht="14.25" x14ac:dyDescent="0.2">
      <c r="A48" s="27">
        <v>45</v>
      </c>
      <c r="B48" s="28"/>
      <c r="C48" s="29"/>
      <c r="D48" s="2"/>
      <c r="E48" s="2"/>
      <c r="F48" s="31"/>
      <c r="G48" s="32"/>
      <c r="H48" s="33"/>
      <c r="I48" s="34"/>
      <c r="J48" s="31"/>
      <c r="K48" s="2"/>
      <c r="L48" s="2"/>
      <c r="M48" s="27"/>
      <c r="N48" s="27"/>
      <c r="O48" s="31"/>
      <c r="P48" s="27"/>
      <c r="Q48" s="35">
        <f t="shared" si="0"/>
        <v>1</v>
      </c>
      <c r="R48" s="35">
        <f t="shared" si="1"/>
        <v>1</v>
      </c>
    </row>
    <row r="49" spans="1:18" ht="14.25" x14ac:dyDescent="0.2">
      <c r="A49" s="27">
        <v>46</v>
      </c>
      <c r="B49" s="28"/>
      <c r="C49" s="29"/>
      <c r="D49" s="2"/>
      <c r="E49" s="2"/>
      <c r="F49" s="31"/>
      <c r="G49" s="32"/>
      <c r="H49" s="33"/>
      <c r="I49" s="34"/>
      <c r="J49" s="31"/>
      <c r="K49" s="2"/>
      <c r="L49" s="2"/>
      <c r="M49" s="27"/>
      <c r="N49" s="27"/>
      <c r="O49" s="31"/>
      <c r="P49" s="27"/>
      <c r="Q49" s="35">
        <f t="shared" si="0"/>
        <v>1</v>
      </c>
      <c r="R49" s="35">
        <f t="shared" si="1"/>
        <v>1</v>
      </c>
    </row>
    <row r="50" spans="1:18" ht="14.25" x14ac:dyDescent="0.2">
      <c r="A50" s="27">
        <v>47</v>
      </c>
      <c r="B50" s="28"/>
      <c r="C50" s="29"/>
      <c r="D50" s="2"/>
      <c r="E50" s="2"/>
      <c r="F50" s="31"/>
      <c r="G50" s="32"/>
      <c r="H50" s="33"/>
      <c r="I50" s="34"/>
      <c r="J50" s="31"/>
      <c r="K50" s="2"/>
      <c r="L50" s="2"/>
      <c r="M50" s="27"/>
      <c r="N50" s="27"/>
      <c r="O50" s="31"/>
      <c r="P50" s="27"/>
      <c r="Q50" s="35">
        <f t="shared" si="0"/>
        <v>1</v>
      </c>
      <c r="R50" s="35">
        <f t="shared" si="1"/>
        <v>1</v>
      </c>
    </row>
    <row r="51" spans="1:18" ht="14.25" x14ac:dyDescent="0.2">
      <c r="A51" s="27">
        <v>48</v>
      </c>
      <c r="B51" s="28"/>
      <c r="C51" s="29"/>
      <c r="D51" s="2"/>
      <c r="E51" s="2"/>
      <c r="F51" s="31"/>
      <c r="G51" s="32"/>
      <c r="H51" s="33"/>
      <c r="I51" s="34"/>
      <c r="J51" s="31"/>
      <c r="K51" s="2"/>
      <c r="L51" s="2"/>
      <c r="M51" s="27"/>
      <c r="N51" s="27"/>
      <c r="O51" s="31"/>
      <c r="P51" s="27"/>
      <c r="Q51" s="35">
        <f t="shared" si="0"/>
        <v>1</v>
      </c>
      <c r="R51" s="35">
        <f t="shared" si="1"/>
        <v>1</v>
      </c>
    </row>
    <row r="52" spans="1:18" ht="14.25" x14ac:dyDescent="0.2">
      <c r="A52" s="27">
        <v>49</v>
      </c>
      <c r="B52" s="28"/>
      <c r="C52" s="29"/>
      <c r="D52" s="2"/>
      <c r="E52" s="2"/>
      <c r="F52" s="31"/>
      <c r="G52" s="32"/>
      <c r="H52" s="33"/>
      <c r="I52" s="34"/>
      <c r="J52" s="31"/>
      <c r="K52" s="2"/>
      <c r="L52" s="2"/>
      <c r="M52" s="27"/>
      <c r="N52" s="27"/>
      <c r="O52" s="31"/>
      <c r="P52" s="27"/>
      <c r="Q52" s="35">
        <f t="shared" si="0"/>
        <v>1</v>
      </c>
      <c r="R52" s="35">
        <f t="shared" si="1"/>
        <v>1</v>
      </c>
    </row>
    <row r="53" spans="1:18" ht="14.25" x14ac:dyDescent="0.2">
      <c r="A53" s="27">
        <v>50</v>
      </c>
      <c r="B53" s="28"/>
      <c r="C53" s="29"/>
      <c r="D53" s="2"/>
      <c r="E53" s="2"/>
      <c r="F53" s="31"/>
      <c r="G53" s="32"/>
      <c r="H53" s="33"/>
      <c r="I53" s="34"/>
      <c r="J53" s="31"/>
      <c r="K53" s="2"/>
      <c r="L53" s="2"/>
      <c r="M53" s="27"/>
      <c r="N53" s="27"/>
      <c r="O53" s="31"/>
      <c r="P53" s="27"/>
      <c r="Q53" s="35">
        <f t="shared" si="0"/>
        <v>1</v>
      </c>
      <c r="R53" s="35">
        <f t="shared" si="1"/>
        <v>1</v>
      </c>
    </row>
    <row r="54" spans="1:18" ht="14.25" x14ac:dyDescent="0.2">
      <c r="A54" s="27">
        <v>51</v>
      </c>
      <c r="B54" s="28"/>
      <c r="C54" s="29"/>
      <c r="D54" s="2"/>
      <c r="E54" s="2"/>
      <c r="F54" s="31"/>
      <c r="G54" s="32"/>
      <c r="H54" s="33"/>
      <c r="I54" s="34"/>
      <c r="J54" s="31"/>
      <c r="K54" s="2"/>
      <c r="L54" s="2"/>
      <c r="M54" s="27"/>
      <c r="N54" s="27"/>
      <c r="O54" s="31"/>
      <c r="P54" s="27"/>
      <c r="Q54" s="35">
        <f t="shared" si="0"/>
        <v>1</v>
      </c>
      <c r="R54" s="35">
        <f t="shared" si="1"/>
        <v>1</v>
      </c>
    </row>
    <row r="55" spans="1:18" ht="14.25" x14ac:dyDescent="0.2">
      <c r="A55" s="27">
        <v>52</v>
      </c>
      <c r="B55" s="28"/>
      <c r="C55" s="29"/>
      <c r="D55" s="2"/>
      <c r="E55" s="2"/>
      <c r="F55" s="31"/>
      <c r="G55" s="32"/>
      <c r="H55" s="33"/>
      <c r="I55" s="34"/>
      <c r="J55" s="31"/>
      <c r="K55" s="2"/>
      <c r="L55" s="2"/>
      <c r="M55" s="27"/>
      <c r="N55" s="27"/>
      <c r="O55" s="31"/>
      <c r="P55" s="27"/>
      <c r="Q55" s="35">
        <f t="shared" si="0"/>
        <v>1</v>
      </c>
      <c r="R55" s="35">
        <f t="shared" si="1"/>
        <v>1</v>
      </c>
    </row>
    <row r="56" spans="1:18" ht="14.25" x14ac:dyDescent="0.2">
      <c r="A56" s="27">
        <v>53</v>
      </c>
      <c r="B56" s="28"/>
      <c r="C56" s="29"/>
      <c r="D56" s="2"/>
      <c r="E56" s="2"/>
      <c r="F56" s="31"/>
      <c r="G56" s="32"/>
      <c r="H56" s="33"/>
      <c r="I56" s="34"/>
      <c r="J56" s="31"/>
      <c r="K56" s="2"/>
      <c r="L56" s="2"/>
      <c r="M56" s="27"/>
      <c r="N56" s="27"/>
      <c r="O56" s="31"/>
      <c r="P56" s="27"/>
      <c r="Q56" s="35">
        <f t="shared" si="0"/>
        <v>1</v>
      </c>
      <c r="R56" s="35">
        <f t="shared" si="1"/>
        <v>1</v>
      </c>
    </row>
    <row r="57" spans="1:18" ht="14.25" x14ac:dyDescent="0.2">
      <c r="A57" s="27">
        <v>54</v>
      </c>
      <c r="B57" s="28"/>
      <c r="C57" s="29"/>
      <c r="D57" s="2"/>
      <c r="E57" s="2"/>
      <c r="F57" s="31"/>
      <c r="G57" s="32"/>
      <c r="H57" s="33"/>
      <c r="I57" s="34"/>
      <c r="J57" s="31"/>
      <c r="K57" s="2"/>
      <c r="L57" s="2"/>
      <c r="M57" s="27"/>
      <c r="N57" s="27"/>
      <c r="O57" s="31"/>
      <c r="P57" s="27"/>
      <c r="Q57" s="35">
        <f t="shared" si="0"/>
        <v>1</v>
      </c>
      <c r="R57" s="35">
        <f t="shared" si="1"/>
        <v>1</v>
      </c>
    </row>
    <row r="58" spans="1:18" ht="14.25" x14ac:dyDescent="0.2">
      <c r="A58" s="27">
        <v>55</v>
      </c>
      <c r="B58" s="28"/>
      <c r="C58" s="29"/>
      <c r="D58" s="2"/>
      <c r="E58" s="2"/>
      <c r="F58" s="31"/>
      <c r="G58" s="32"/>
      <c r="H58" s="33"/>
      <c r="I58" s="34"/>
      <c r="J58" s="31"/>
      <c r="K58" s="2"/>
      <c r="L58" s="2"/>
      <c r="M58" s="27"/>
      <c r="N58" s="27"/>
      <c r="O58" s="31"/>
      <c r="P58" s="27"/>
      <c r="Q58" s="35">
        <f t="shared" si="0"/>
        <v>1</v>
      </c>
      <c r="R58" s="35">
        <f t="shared" si="1"/>
        <v>1</v>
      </c>
    </row>
    <row r="59" spans="1:18" ht="14.25" x14ac:dyDescent="0.2">
      <c r="A59" s="27">
        <v>56</v>
      </c>
      <c r="B59" s="28"/>
      <c r="C59" s="29"/>
      <c r="D59" s="2"/>
      <c r="E59" s="2"/>
      <c r="F59" s="31"/>
      <c r="G59" s="32"/>
      <c r="H59" s="33"/>
      <c r="I59" s="34"/>
      <c r="J59" s="31"/>
      <c r="K59" s="2"/>
      <c r="L59" s="2"/>
      <c r="M59" s="27"/>
      <c r="N59" s="27"/>
      <c r="O59" s="31"/>
      <c r="P59" s="27"/>
      <c r="Q59" s="35">
        <f t="shared" si="0"/>
        <v>1</v>
      </c>
      <c r="R59" s="35">
        <f t="shared" si="1"/>
        <v>1</v>
      </c>
    </row>
    <row r="60" spans="1:18" ht="14.25" x14ac:dyDescent="0.2">
      <c r="A60" s="27">
        <v>57</v>
      </c>
      <c r="B60" s="28"/>
      <c r="C60" s="29"/>
      <c r="D60" s="2"/>
      <c r="E60" s="2"/>
      <c r="F60" s="31"/>
      <c r="G60" s="32"/>
      <c r="H60" s="33"/>
      <c r="I60" s="34"/>
      <c r="J60" s="31"/>
      <c r="K60" s="2"/>
      <c r="L60" s="2"/>
      <c r="M60" s="27"/>
      <c r="N60" s="27"/>
      <c r="O60" s="31"/>
      <c r="P60" s="27"/>
      <c r="Q60" s="35">
        <f t="shared" si="0"/>
        <v>1</v>
      </c>
      <c r="R60" s="35">
        <f t="shared" si="1"/>
        <v>1</v>
      </c>
    </row>
    <row r="61" spans="1:18" ht="14.25" x14ac:dyDescent="0.2">
      <c r="A61" s="27">
        <v>58</v>
      </c>
      <c r="B61" s="28"/>
      <c r="C61" s="29"/>
      <c r="D61" s="2"/>
      <c r="E61" s="2"/>
      <c r="F61" s="31"/>
      <c r="G61" s="32"/>
      <c r="H61" s="33"/>
      <c r="I61" s="34"/>
      <c r="J61" s="31"/>
      <c r="K61" s="2"/>
      <c r="L61" s="2"/>
      <c r="M61" s="27"/>
      <c r="N61" s="27"/>
      <c r="O61" s="31"/>
      <c r="P61" s="27"/>
      <c r="Q61" s="35">
        <f t="shared" si="0"/>
        <v>1</v>
      </c>
      <c r="R61" s="35">
        <f t="shared" si="1"/>
        <v>1</v>
      </c>
    </row>
    <row r="62" spans="1:18" ht="14.25" x14ac:dyDescent="0.2">
      <c r="A62" s="27">
        <v>59</v>
      </c>
      <c r="B62" s="28"/>
      <c r="C62" s="29"/>
      <c r="D62" s="2"/>
      <c r="E62" s="2"/>
      <c r="F62" s="31"/>
      <c r="G62" s="32"/>
      <c r="H62" s="33"/>
      <c r="I62" s="34"/>
      <c r="J62" s="31"/>
      <c r="K62" s="2"/>
      <c r="L62" s="2"/>
      <c r="M62" s="27"/>
      <c r="N62" s="27"/>
      <c r="O62" s="31"/>
      <c r="P62" s="27"/>
      <c r="Q62" s="35">
        <f t="shared" si="0"/>
        <v>1</v>
      </c>
      <c r="R62" s="35">
        <f t="shared" si="1"/>
        <v>1</v>
      </c>
    </row>
    <row r="63" spans="1:18" ht="14.25" x14ac:dyDescent="0.2">
      <c r="A63" s="27">
        <v>60</v>
      </c>
      <c r="B63" s="28"/>
      <c r="C63" s="29"/>
      <c r="D63" s="2"/>
      <c r="E63" s="2"/>
      <c r="F63" s="31"/>
      <c r="G63" s="32"/>
      <c r="H63" s="33"/>
      <c r="I63" s="34"/>
      <c r="J63" s="31"/>
      <c r="K63" s="2"/>
      <c r="L63" s="2"/>
      <c r="M63" s="27"/>
      <c r="N63" s="27"/>
      <c r="O63" s="31"/>
      <c r="P63" s="27"/>
      <c r="Q63" s="35">
        <f t="shared" si="0"/>
        <v>1</v>
      </c>
      <c r="R63" s="35">
        <f t="shared" si="1"/>
        <v>1</v>
      </c>
    </row>
    <row r="64" spans="1:18" ht="14.25" x14ac:dyDescent="0.2">
      <c r="A64" s="27">
        <v>61</v>
      </c>
      <c r="B64" s="28"/>
      <c r="C64" s="29"/>
      <c r="D64" s="2"/>
      <c r="E64" s="2"/>
      <c r="F64" s="31"/>
      <c r="G64" s="32"/>
      <c r="H64" s="33"/>
      <c r="I64" s="34"/>
      <c r="J64" s="31"/>
      <c r="K64" s="2"/>
      <c r="L64" s="2"/>
      <c r="M64" s="27"/>
      <c r="N64" s="27"/>
      <c r="O64" s="31"/>
      <c r="P64" s="27"/>
      <c r="Q64" s="35">
        <f t="shared" si="0"/>
        <v>1</v>
      </c>
      <c r="R64" s="35">
        <f t="shared" si="1"/>
        <v>1</v>
      </c>
    </row>
    <row r="65" spans="1:18" ht="14.25" x14ac:dyDescent="0.2">
      <c r="A65" s="27">
        <v>62</v>
      </c>
      <c r="B65" s="28"/>
      <c r="C65" s="29"/>
      <c r="D65" s="2"/>
      <c r="E65" s="2"/>
      <c r="F65" s="31"/>
      <c r="G65" s="32"/>
      <c r="H65" s="33"/>
      <c r="I65" s="34"/>
      <c r="J65" s="31"/>
      <c r="K65" s="2"/>
      <c r="L65" s="2"/>
      <c r="M65" s="27"/>
      <c r="N65" s="27"/>
      <c r="O65" s="31"/>
      <c r="P65" s="27"/>
      <c r="Q65" s="35">
        <f t="shared" si="0"/>
        <v>1</v>
      </c>
      <c r="R65" s="35">
        <f t="shared" si="1"/>
        <v>1</v>
      </c>
    </row>
    <row r="66" spans="1:18" ht="14.25" x14ac:dyDescent="0.2">
      <c r="A66" s="27">
        <v>63</v>
      </c>
      <c r="B66" s="28"/>
      <c r="C66" s="29"/>
      <c r="D66" s="2"/>
      <c r="E66" s="2"/>
      <c r="F66" s="31"/>
      <c r="G66" s="32"/>
      <c r="H66" s="33"/>
      <c r="I66" s="34"/>
      <c r="J66" s="31"/>
      <c r="K66" s="2"/>
      <c r="L66" s="2"/>
      <c r="M66" s="27"/>
      <c r="N66" s="27"/>
      <c r="O66" s="31"/>
      <c r="P66" s="27"/>
      <c r="Q66" s="35">
        <f t="shared" si="0"/>
        <v>1</v>
      </c>
      <c r="R66" s="35">
        <f t="shared" si="1"/>
        <v>1</v>
      </c>
    </row>
    <row r="67" spans="1:18" ht="14.25" x14ac:dyDescent="0.2">
      <c r="A67" s="27">
        <v>64</v>
      </c>
      <c r="B67" s="28"/>
      <c r="C67" s="29"/>
      <c r="D67" s="2"/>
      <c r="E67" s="2"/>
      <c r="F67" s="31"/>
      <c r="G67" s="32"/>
      <c r="H67" s="33"/>
      <c r="I67" s="34"/>
      <c r="J67" s="31"/>
      <c r="K67" s="2"/>
      <c r="L67" s="2"/>
      <c r="M67" s="27"/>
      <c r="N67" s="27"/>
      <c r="O67" s="31"/>
      <c r="P67" s="27"/>
      <c r="Q67" s="35">
        <f t="shared" si="0"/>
        <v>1</v>
      </c>
      <c r="R67" s="35">
        <f t="shared" si="1"/>
        <v>1</v>
      </c>
    </row>
    <row r="68" spans="1:18" ht="14.25" x14ac:dyDescent="0.2">
      <c r="A68" s="27">
        <v>65</v>
      </c>
      <c r="B68" s="28"/>
      <c r="C68" s="29"/>
      <c r="D68" s="2"/>
      <c r="E68" s="2"/>
      <c r="F68" s="31"/>
      <c r="G68" s="32"/>
      <c r="H68" s="33"/>
      <c r="I68" s="34"/>
      <c r="J68" s="31"/>
      <c r="K68" s="2"/>
      <c r="L68" s="2"/>
      <c r="M68" s="27"/>
      <c r="N68" s="27"/>
      <c r="O68" s="31"/>
      <c r="P68" s="27"/>
      <c r="Q68" s="35">
        <f t="shared" si="0"/>
        <v>1</v>
      </c>
      <c r="R68" s="35">
        <f t="shared" si="1"/>
        <v>1</v>
      </c>
    </row>
    <row r="69" spans="1:18" ht="14.25" x14ac:dyDescent="0.2">
      <c r="A69" s="27">
        <v>66</v>
      </c>
      <c r="B69" s="28"/>
      <c r="C69" s="29"/>
      <c r="D69" s="2"/>
      <c r="E69" s="2"/>
      <c r="F69" s="31"/>
      <c r="G69" s="32"/>
      <c r="H69" s="33"/>
      <c r="I69" s="34"/>
      <c r="J69" s="31"/>
      <c r="K69" s="2"/>
      <c r="L69" s="2"/>
      <c r="M69" s="27"/>
      <c r="N69" s="27"/>
      <c r="O69" s="31"/>
      <c r="P69" s="27"/>
      <c r="Q69" s="35">
        <f t="shared" ref="Q69:Q103" si="2">DAYS360(F69,J69,0)+1</f>
        <v>1</v>
      </c>
      <c r="R69" s="35">
        <f t="shared" ref="R69:R103" si="3">IFERROR((DAYS360(J69,O69,0)+1),1)</f>
        <v>1</v>
      </c>
    </row>
    <row r="70" spans="1:18" ht="14.25" x14ac:dyDescent="0.2">
      <c r="A70" s="27">
        <v>67</v>
      </c>
      <c r="B70" s="28"/>
      <c r="C70" s="29"/>
      <c r="D70" s="2"/>
      <c r="E70" s="2"/>
      <c r="F70" s="31"/>
      <c r="G70" s="32"/>
      <c r="H70" s="33"/>
      <c r="I70" s="34"/>
      <c r="J70" s="31"/>
      <c r="K70" s="2"/>
      <c r="L70" s="2"/>
      <c r="M70" s="27"/>
      <c r="N70" s="27"/>
      <c r="O70" s="31"/>
      <c r="P70" s="27"/>
      <c r="Q70" s="35">
        <f t="shared" si="2"/>
        <v>1</v>
      </c>
      <c r="R70" s="35">
        <f t="shared" si="3"/>
        <v>1</v>
      </c>
    </row>
    <row r="71" spans="1:18" ht="14.25" x14ac:dyDescent="0.2">
      <c r="A71" s="27">
        <v>68</v>
      </c>
      <c r="B71" s="28"/>
      <c r="C71" s="29"/>
      <c r="D71" s="2"/>
      <c r="E71" s="2"/>
      <c r="F71" s="31"/>
      <c r="G71" s="32"/>
      <c r="H71" s="33"/>
      <c r="I71" s="34"/>
      <c r="J71" s="31"/>
      <c r="K71" s="2"/>
      <c r="L71" s="2"/>
      <c r="M71" s="27"/>
      <c r="N71" s="27"/>
      <c r="O71" s="31"/>
      <c r="P71" s="27"/>
      <c r="Q71" s="35">
        <f t="shared" si="2"/>
        <v>1</v>
      </c>
      <c r="R71" s="35">
        <f t="shared" si="3"/>
        <v>1</v>
      </c>
    </row>
    <row r="72" spans="1:18" ht="14.25" x14ac:dyDescent="0.2">
      <c r="A72" s="27">
        <v>69</v>
      </c>
      <c r="B72" s="28"/>
      <c r="C72" s="29"/>
      <c r="D72" s="2"/>
      <c r="E72" s="2"/>
      <c r="F72" s="31"/>
      <c r="G72" s="32"/>
      <c r="H72" s="33"/>
      <c r="I72" s="34"/>
      <c r="J72" s="31"/>
      <c r="K72" s="2"/>
      <c r="L72" s="2"/>
      <c r="M72" s="27"/>
      <c r="N72" s="27"/>
      <c r="O72" s="31"/>
      <c r="P72" s="27"/>
      <c r="Q72" s="35">
        <f t="shared" si="2"/>
        <v>1</v>
      </c>
      <c r="R72" s="35">
        <f t="shared" si="3"/>
        <v>1</v>
      </c>
    </row>
    <row r="73" spans="1:18" ht="14.25" x14ac:dyDescent="0.2">
      <c r="A73" s="27">
        <v>70</v>
      </c>
      <c r="B73" s="28"/>
      <c r="C73" s="29"/>
      <c r="D73" s="2"/>
      <c r="E73" s="2"/>
      <c r="F73" s="31"/>
      <c r="G73" s="32"/>
      <c r="H73" s="33"/>
      <c r="I73" s="34"/>
      <c r="J73" s="31"/>
      <c r="K73" s="2"/>
      <c r="L73" s="2"/>
      <c r="M73" s="27"/>
      <c r="N73" s="27"/>
      <c r="O73" s="31"/>
      <c r="P73" s="27"/>
      <c r="Q73" s="35">
        <f t="shared" si="2"/>
        <v>1</v>
      </c>
      <c r="R73" s="35">
        <f t="shared" si="3"/>
        <v>1</v>
      </c>
    </row>
    <row r="74" spans="1:18" ht="14.25" x14ac:dyDescent="0.2">
      <c r="A74" s="27">
        <v>71</v>
      </c>
      <c r="B74" s="28"/>
      <c r="C74" s="29"/>
      <c r="D74" s="2"/>
      <c r="E74" s="2"/>
      <c r="F74" s="31"/>
      <c r="G74" s="32"/>
      <c r="H74" s="33"/>
      <c r="I74" s="34"/>
      <c r="J74" s="31"/>
      <c r="K74" s="2"/>
      <c r="L74" s="2"/>
      <c r="M74" s="27"/>
      <c r="N74" s="27"/>
      <c r="O74" s="31"/>
      <c r="P74" s="27"/>
      <c r="Q74" s="35">
        <f t="shared" si="2"/>
        <v>1</v>
      </c>
      <c r="R74" s="35">
        <f t="shared" si="3"/>
        <v>1</v>
      </c>
    </row>
    <row r="75" spans="1:18" ht="14.25" x14ac:dyDescent="0.2">
      <c r="A75" s="27">
        <v>72</v>
      </c>
      <c r="B75" s="28"/>
      <c r="C75" s="29"/>
      <c r="D75" s="2"/>
      <c r="E75" s="2"/>
      <c r="F75" s="31"/>
      <c r="G75" s="32"/>
      <c r="H75" s="33"/>
      <c r="I75" s="34"/>
      <c r="J75" s="31"/>
      <c r="K75" s="2"/>
      <c r="L75" s="2"/>
      <c r="M75" s="27"/>
      <c r="N75" s="27"/>
      <c r="O75" s="31"/>
      <c r="P75" s="27"/>
      <c r="Q75" s="35">
        <f t="shared" si="2"/>
        <v>1</v>
      </c>
      <c r="R75" s="35">
        <f t="shared" si="3"/>
        <v>1</v>
      </c>
    </row>
    <row r="76" spans="1:18" ht="14.25" x14ac:dyDescent="0.2">
      <c r="A76" s="27">
        <v>73</v>
      </c>
      <c r="B76" s="28"/>
      <c r="C76" s="29"/>
      <c r="D76" s="2"/>
      <c r="E76" s="2"/>
      <c r="F76" s="31"/>
      <c r="G76" s="32"/>
      <c r="H76" s="33"/>
      <c r="I76" s="34"/>
      <c r="J76" s="31"/>
      <c r="K76" s="2"/>
      <c r="L76" s="2"/>
      <c r="M76" s="27"/>
      <c r="N76" s="27"/>
      <c r="O76" s="31"/>
      <c r="P76" s="27"/>
      <c r="Q76" s="35">
        <f t="shared" si="2"/>
        <v>1</v>
      </c>
      <c r="R76" s="35">
        <f t="shared" si="3"/>
        <v>1</v>
      </c>
    </row>
    <row r="77" spans="1:18" ht="14.25" x14ac:dyDescent="0.2">
      <c r="A77" s="27">
        <v>74</v>
      </c>
      <c r="B77" s="28"/>
      <c r="C77" s="29"/>
      <c r="D77" s="2"/>
      <c r="E77" s="2"/>
      <c r="F77" s="31"/>
      <c r="G77" s="32"/>
      <c r="H77" s="33"/>
      <c r="I77" s="34"/>
      <c r="J77" s="31"/>
      <c r="K77" s="2"/>
      <c r="L77" s="2"/>
      <c r="M77" s="27"/>
      <c r="N77" s="27"/>
      <c r="O77" s="31"/>
      <c r="P77" s="27"/>
      <c r="Q77" s="35">
        <f t="shared" si="2"/>
        <v>1</v>
      </c>
      <c r="R77" s="35">
        <f t="shared" si="3"/>
        <v>1</v>
      </c>
    </row>
    <row r="78" spans="1:18" ht="14.25" x14ac:dyDescent="0.2">
      <c r="A78" s="27">
        <v>75</v>
      </c>
      <c r="B78" s="28"/>
      <c r="C78" s="29"/>
      <c r="D78" s="2"/>
      <c r="E78" s="2"/>
      <c r="F78" s="31"/>
      <c r="G78" s="32"/>
      <c r="H78" s="33"/>
      <c r="I78" s="34"/>
      <c r="J78" s="31"/>
      <c r="K78" s="2"/>
      <c r="L78" s="2"/>
      <c r="M78" s="27"/>
      <c r="N78" s="27"/>
      <c r="O78" s="31"/>
      <c r="P78" s="27"/>
      <c r="Q78" s="35">
        <f t="shared" si="2"/>
        <v>1</v>
      </c>
      <c r="R78" s="35">
        <f t="shared" si="3"/>
        <v>1</v>
      </c>
    </row>
    <row r="79" spans="1:18" ht="14.25" x14ac:dyDescent="0.2">
      <c r="A79" s="27">
        <v>76</v>
      </c>
      <c r="B79" s="28"/>
      <c r="C79" s="29"/>
      <c r="D79" s="2"/>
      <c r="E79" s="2"/>
      <c r="F79" s="31"/>
      <c r="G79" s="32"/>
      <c r="H79" s="33"/>
      <c r="I79" s="34"/>
      <c r="J79" s="31"/>
      <c r="K79" s="2"/>
      <c r="L79" s="2"/>
      <c r="M79" s="27"/>
      <c r="N79" s="27"/>
      <c r="O79" s="31"/>
      <c r="P79" s="27"/>
      <c r="Q79" s="35">
        <f t="shared" si="2"/>
        <v>1</v>
      </c>
      <c r="R79" s="35">
        <f t="shared" si="3"/>
        <v>1</v>
      </c>
    </row>
    <row r="80" spans="1:18" ht="14.25" x14ac:dyDescent="0.2">
      <c r="A80" s="27">
        <v>77</v>
      </c>
      <c r="B80" s="28"/>
      <c r="C80" s="29"/>
      <c r="D80" s="2"/>
      <c r="E80" s="2"/>
      <c r="F80" s="31"/>
      <c r="G80" s="32"/>
      <c r="H80" s="33"/>
      <c r="I80" s="34"/>
      <c r="J80" s="31"/>
      <c r="K80" s="2"/>
      <c r="L80" s="2"/>
      <c r="M80" s="27"/>
      <c r="N80" s="27"/>
      <c r="O80" s="31"/>
      <c r="P80" s="27"/>
      <c r="Q80" s="35">
        <f t="shared" si="2"/>
        <v>1</v>
      </c>
      <c r="R80" s="35">
        <f t="shared" si="3"/>
        <v>1</v>
      </c>
    </row>
    <row r="81" spans="1:18" ht="14.25" x14ac:dyDescent="0.2">
      <c r="A81" s="27">
        <v>78</v>
      </c>
      <c r="B81" s="28"/>
      <c r="C81" s="29"/>
      <c r="D81" s="2"/>
      <c r="E81" s="2"/>
      <c r="F81" s="31"/>
      <c r="G81" s="32"/>
      <c r="H81" s="33"/>
      <c r="I81" s="34"/>
      <c r="J81" s="31"/>
      <c r="K81" s="2"/>
      <c r="L81" s="2"/>
      <c r="M81" s="27"/>
      <c r="N81" s="27"/>
      <c r="O81" s="31"/>
      <c r="P81" s="27"/>
      <c r="Q81" s="35">
        <f t="shared" si="2"/>
        <v>1</v>
      </c>
      <c r="R81" s="35">
        <f t="shared" si="3"/>
        <v>1</v>
      </c>
    </row>
    <row r="82" spans="1:18" ht="14.25" x14ac:dyDescent="0.2">
      <c r="A82" s="27">
        <v>79</v>
      </c>
      <c r="B82" s="28"/>
      <c r="C82" s="29"/>
      <c r="D82" s="2"/>
      <c r="E82" s="2"/>
      <c r="F82" s="31"/>
      <c r="G82" s="32"/>
      <c r="H82" s="33"/>
      <c r="I82" s="34"/>
      <c r="J82" s="31"/>
      <c r="K82" s="2"/>
      <c r="L82" s="2"/>
      <c r="M82" s="27"/>
      <c r="N82" s="27"/>
      <c r="O82" s="31"/>
      <c r="P82" s="27"/>
      <c r="Q82" s="35">
        <f t="shared" si="2"/>
        <v>1</v>
      </c>
      <c r="R82" s="35">
        <f t="shared" si="3"/>
        <v>1</v>
      </c>
    </row>
    <row r="83" spans="1:18" ht="14.25" x14ac:dyDescent="0.2">
      <c r="A83" s="27">
        <v>80</v>
      </c>
      <c r="B83" s="28"/>
      <c r="C83" s="29"/>
      <c r="D83" s="2"/>
      <c r="E83" s="2"/>
      <c r="F83" s="31"/>
      <c r="G83" s="32"/>
      <c r="H83" s="33"/>
      <c r="I83" s="34"/>
      <c r="J83" s="31"/>
      <c r="K83" s="2"/>
      <c r="L83" s="2"/>
      <c r="M83" s="27"/>
      <c r="N83" s="27"/>
      <c r="O83" s="31"/>
      <c r="P83" s="27"/>
      <c r="Q83" s="35">
        <f t="shared" si="2"/>
        <v>1</v>
      </c>
      <c r="R83" s="35">
        <f t="shared" si="3"/>
        <v>1</v>
      </c>
    </row>
    <row r="84" spans="1:18" ht="14.25" x14ac:dyDescent="0.2">
      <c r="A84" s="27">
        <v>81</v>
      </c>
      <c r="B84" s="28"/>
      <c r="C84" s="29"/>
      <c r="D84" s="2"/>
      <c r="E84" s="2"/>
      <c r="F84" s="31"/>
      <c r="G84" s="32"/>
      <c r="H84" s="33"/>
      <c r="I84" s="34"/>
      <c r="J84" s="31"/>
      <c r="K84" s="2"/>
      <c r="L84" s="2"/>
      <c r="M84" s="27"/>
      <c r="N84" s="27"/>
      <c r="O84" s="31"/>
      <c r="P84" s="27"/>
      <c r="Q84" s="35">
        <f t="shared" si="2"/>
        <v>1</v>
      </c>
      <c r="R84" s="35">
        <f t="shared" si="3"/>
        <v>1</v>
      </c>
    </row>
    <row r="85" spans="1:18" ht="14.25" x14ac:dyDescent="0.2">
      <c r="A85" s="27">
        <v>82</v>
      </c>
      <c r="B85" s="28"/>
      <c r="C85" s="29"/>
      <c r="D85" s="2"/>
      <c r="E85" s="2"/>
      <c r="F85" s="31"/>
      <c r="G85" s="32"/>
      <c r="H85" s="33"/>
      <c r="I85" s="34"/>
      <c r="J85" s="31"/>
      <c r="K85" s="2"/>
      <c r="L85" s="2"/>
      <c r="M85" s="27"/>
      <c r="N85" s="27"/>
      <c r="O85" s="31"/>
      <c r="P85" s="27"/>
      <c r="Q85" s="35">
        <f t="shared" si="2"/>
        <v>1</v>
      </c>
      <c r="R85" s="35">
        <f t="shared" si="3"/>
        <v>1</v>
      </c>
    </row>
    <row r="86" spans="1:18" ht="14.25" x14ac:dyDescent="0.2">
      <c r="A86" s="27">
        <v>83</v>
      </c>
      <c r="B86" s="28"/>
      <c r="C86" s="29"/>
      <c r="D86" s="2"/>
      <c r="E86" s="2"/>
      <c r="F86" s="31"/>
      <c r="G86" s="32"/>
      <c r="H86" s="33"/>
      <c r="I86" s="34"/>
      <c r="J86" s="31"/>
      <c r="K86" s="2"/>
      <c r="L86" s="2"/>
      <c r="M86" s="27"/>
      <c r="N86" s="27"/>
      <c r="O86" s="31"/>
      <c r="P86" s="27"/>
      <c r="Q86" s="35">
        <f t="shared" si="2"/>
        <v>1</v>
      </c>
      <c r="R86" s="35">
        <f t="shared" si="3"/>
        <v>1</v>
      </c>
    </row>
    <row r="87" spans="1:18" ht="14.25" x14ac:dyDescent="0.2">
      <c r="A87" s="27">
        <v>84</v>
      </c>
      <c r="B87" s="28"/>
      <c r="C87" s="29"/>
      <c r="D87" s="2"/>
      <c r="E87" s="2"/>
      <c r="F87" s="31"/>
      <c r="G87" s="32"/>
      <c r="H87" s="33"/>
      <c r="I87" s="34"/>
      <c r="J87" s="31"/>
      <c r="K87" s="2"/>
      <c r="L87" s="2"/>
      <c r="M87" s="27"/>
      <c r="N87" s="27"/>
      <c r="O87" s="31"/>
      <c r="P87" s="27"/>
      <c r="Q87" s="35">
        <f t="shared" si="2"/>
        <v>1</v>
      </c>
      <c r="R87" s="35">
        <f t="shared" si="3"/>
        <v>1</v>
      </c>
    </row>
    <row r="88" spans="1:18" ht="14.25" x14ac:dyDescent="0.2">
      <c r="A88" s="27">
        <v>85</v>
      </c>
      <c r="B88" s="28"/>
      <c r="C88" s="29"/>
      <c r="D88" s="2"/>
      <c r="E88" s="2"/>
      <c r="F88" s="31"/>
      <c r="G88" s="32"/>
      <c r="H88" s="33"/>
      <c r="I88" s="34"/>
      <c r="J88" s="31"/>
      <c r="K88" s="2"/>
      <c r="L88" s="2"/>
      <c r="M88" s="27"/>
      <c r="N88" s="27"/>
      <c r="O88" s="31"/>
      <c r="P88" s="27"/>
      <c r="Q88" s="35">
        <f t="shared" si="2"/>
        <v>1</v>
      </c>
      <c r="R88" s="35">
        <f t="shared" si="3"/>
        <v>1</v>
      </c>
    </row>
    <row r="89" spans="1:18" ht="14.25" x14ac:dyDescent="0.2">
      <c r="A89" s="27">
        <v>86</v>
      </c>
      <c r="B89" s="28"/>
      <c r="C89" s="29"/>
      <c r="D89" s="2"/>
      <c r="E89" s="2"/>
      <c r="F89" s="31"/>
      <c r="G89" s="32"/>
      <c r="H89" s="33"/>
      <c r="I89" s="34"/>
      <c r="J89" s="31"/>
      <c r="K89" s="2"/>
      <c r="L89" s="2"/>
      <c r="M89" s="27"/>
      <c r="N89" s="27"/>
      <c r="O89" s="31"/>
      <c r="P89" s="27"/>
      <c r="Q89" s="35">
        <f t="shared" si="2"/>
        <v>1</v>
      </c>
      <c r="R89" s="35">
        <f t="shared" si="3"/>
        <v>1</v>
      </c>
    </row>
    <row r="90" spans="1:18" ht="14.25" x14ac:dyDescent="0.2">
      <c r="A90" s="27">
        <v>87</v>
      </c>
      <c r="B90" s="28"/>
      <c r="C90" s="29"/>
      <c r="D90" s="2"/>
      <c r="E90" s="2"/>
      <c r="F90" s="31"/>
      <c r="G90" s="32"/>
      <c r="H90" s="33"/>
      <c r="I90" s="34"/>
      <c r="J90" s="31"/>
      <c r="K90" s="2"/>
      <c r="L90" s="2"/>
      <c r="M90" s="27"/>
      <c r="N90" s="27"/>
      <c r="O90" s="31"/>
      <c r="P90" s="27"/>
      <c r="Q90" s="35">
        <f t="shared" si="2"/>
        <v>1</v>
      </c>
      <c r="R90" s="35">
        <f t="shared" si="3"/>
        <v>1</v>
      </c>
    </row>
    <row r="91" spans="1:18" ht="14.25" x14ac:dyDescent="0.2">
      <c r="A91" s="27">
        <v>88</v>
      </c>
      <c r="B91" s="28"/>
      <c r="C91" s="29"/>
      <c r="D91" s="2"/>
      <c r="E91" s="2"/>
      <c r="F91" s="31"/>
      <c r="G91" s="32"/>
      <c r="H91" s="33"/>
      <c r="I91" s="34"/>
      <c r="J91" s="31"/>
      <c r="K91" s="2"/>
      <c r="L91" s="2"/>
      <c r="M91" s="27"/>
      <c r="N91" s="27"/>
      <c r="O91" s="31"/>
      <c r="P91" s="27"/>
      <c r="Q91" s="35">
        <f t="shared" si="2"/>
        <v>1</v>
      </c>
      <c r="R91" s="35">
        <f t="shared" si="3"/>
        <v>1</v>
      </c>
    </row>
    <row r="92" spans="1:18" ht="14.25" x14ac:dyDescent="0.2">
      <c r="A92" s="27">
        <v>89</v>
      </c>
      <c r="B92" s="28"/>
      <c r="C92" s="29"/>
      <c r="D92" s="2"/>
      <c r="E92" s="2"/>
      <c r="F92" s="31"/>
      <c r="G92" s="32"/>
      <c r="H92" s="33"/>
      <c r="I92" s="34"/>
      <c r="J92" s="31"/>
      <c r="K92" s="2"/>
      <c r="L92" s="2"/>
      <c r="M92" s="27"/>
      <c r="N92" s="27"/>
      <c r="O92" s="31"/>
      <c r="P92" s="27"/>
      <c r="Q92" s="35">
        <f t="shared" si="2"/>
        <v>1</v>
      </c>
      <c r="R92" s="35">
        <f t="shared" si="3"/>
        <v>1</v>
      </c>
    </row>
    <row r="93" spans="1:18" ht="14.25" x14ac:dyDescent="0.2">
      <c r="A93" s="27">
        <v>90</v>
      </c>
      <c r="B93" s="28"/>
      <c r="C93" s="29"/>
      <c r="D93" s="2"/>
      <c r="E93" s="2"/>
      <c r="F93" s="31"/>
      <c r="G93" s="32"/>
      <c r="H93" s="33"/>
      <c r="I93" s="34"/>
      <c r="J93" s="31"/>
      <c r="K93" s="2"/>
      <c r="L93" s="2"/>
      <c r="M93" s="27"/>
      <c r="N93" s="27"/>
      <c r="O93" s="31"/>
      <c r="P93" s="27"/>
      <c r="Q93" s="35">
        <f t="shared" si="2"/>
        <v>1</v>
      </c>
      <c r="R93" s="35">
        <f t="shared" si="3"/>
        <v>1</v>
      </c>
    </row>
    <row r="94" spans="1:18" ht="14.25" x14ac:dyDescent="0.2">
      <c r="A94" s="27">
        <v>91</v>
      </c>
      <c r="B94" s="28"/>
      <c r="C94" s="29"/>
      <c r="D94" s="2"/>
      <c r="E94" s="2"/>
      <c r="F94" s="31"/>
      <c r="G94" s="32"/>
      <c r="H94" s="33"/>
      <c r="I94" s="34"/>
      <c r="J94" s="31"/>
      <c r="K94" s="2"/>
      <c r="L94" s="2"/>
      <c r="M94" s="27"/>
      <c r="N94" s="27"/>
      <c r="O94" s="31"/>
      <c r="P94" s="27"/>
      <c r="Q94" s="35">
        <f t="shared" si="2"/>
        <v>1</v>
      </c>
      <c r="R94" s="35">
        <f t="shared" si="3"/>
        <v>1</v>
      </c>
    </row>
    <row r="95" spans="1:18" ht="14.25" x14ac:dyDescent="0.2">
      <c r="A95" s="27">
        <v>92</v>
      </c>
      <c r="B95" s="28"/>
      <c r="C95" s="29"/>
      <c r="D95" s="2"/>
      <c r="E95" s="2"/>
      <c r="F95" s="31"/>
      <c r="G95" s="32"/>
      <c r="H95" s="33"/>
      <c r="I95" s="34"/>
      <c r="J95" s="31"/>
      <c r="K95" s="2"/>
      <c r="L95" s="2"/>
      <c r="M95" s="27"/>
      <c r="N95" s="27"/>
      <c r="O95" s="31"/>
      <c r="P95" s="27"/>
      <c r="Q95" s="35">
        <f t="shared" si="2"/>
        <v>1</v>
      </c>
      <c r="R95" s="35">
        <f t="shared" si="3"/>
        <v>1</v>
      </c>
    </row>
    <row r="96" spans="1:18" ht="14.25" x14ac:dyDescent="0.2">
      <c r="A96" s="27">
        <v>93</v>
      </c>
      <c r="B96" s="28"/>
      <c r="C96" s="29"/>
      <c r="D96" s="2"/>
      <c r="E96" s="2"/>
      <c r="F96" s="31"/>
      <c r="G96" s="32"/>
      <c r="H96" s="33"/>
      <c r="I96" s="34"/>
      <c r="J96" s="31"/>
      <c r="K96" s="2"/>
      <c r="L96" s="2"/>
      <c r="M96" s="27"/>
      <c r="N96" s="27"/>
      <c r="O96" s="31"/>
      <c r="P96" s="27"/>
      <c r="Q96" s="35">
        <f t="shared" si="2"/>
        <v>1</v>
      </c>
      <c r="R96" s="35">
        <f t="shared" si="3"/>
        <v>1</v>
      </c>
    </row>
    <row r="97" spans="1:19" ht="14.25" x14ac:dyDescent="0.2">
      <c r="A97" s="27">
        <v>94</v>
      </c>
      <c r="B97" s="28"/>
      <c r="C97" s="29"/>
      <c r="D97" s="2"/>
      <c r="E97" s="2"/>
      <c r="F97" s="31"/>
      <c r="G97" s="32"/>
      <c r="H97" s="33"/>
      <c r="I97" s="34"/>
      <c r="J97" s="31"/>
      <c r="K97" s="2"/>
      <c r="L97" s="2"/>
      <c r="M97" s="27"/>
      <c r="N97" s="27"/>
      <c r="O97" s="31"/>
      <c r="P97" s="27"/>
      <c r="Q97" s="35">
        <f t="shared" si="2"/>
        <v>1</v>
      </c>
      <c r="R97" s="35">
        <f t="shared" si="3"/>
        <v>1</v>
      </c>
    </row>
    <row r="98" spans="1:19" ht="14.25" x14ac:dyDescent="0.2">
      <c r="A98" s="27">
        <v>95</v>
      </c>
      <c r="B98" s="28"/>
      <c r="C98" s="29"/>
      <c r="D98" s="2"/>
      <c r="E98" s="2"/>
      <c r="F98" s="31"/>
      <c r="G98" s="32"/>
      <c r="H98" s="33"/>
      <c r="I98" s="34"/>
      <c r="J98" s="31"/>
      <c r="K98" s="2"/>
      <c r="L98" s="2"/>
      <c r="M98" s="27"/>
      <c r="N98" s="27"/>
      <c r="O98" s="31"/>
      <c r="P98" s="27"/>
      <c r="Q98" s="35">
        <f t="shared" si="2"/>
        <v>1</v>
      </c>
      <c r="R98" s="35">
        <f t="shared" si="3"/>
        <v>1</v>
      </c>
    </row>
    <row r="99" spans="1:19" ht="14.25" x14ac:dyDescent="0.2">
      <c r="A99" s="27">
        <v>96</v>
      </c>
      <c r="B99" s="28"/>
      <c r="C99" s="29"/>
      <c r="D99" s="2"/>
      <c r="E99" s="2"/>
      <c r="F99" s="31"/>
      <c r="G99" s="32"/>
      <c r="H99" s="33"/>
      <c r="I99" s="34"/>
      <c r="J99" s="31"/>
      <c r="K99" s="2"/>
      <c r="L99" s="2"/>
      <c r="M99" s="27"/>
      <c r="N99" s="27"/>
      <c r="O99" s="31"/>
      <c r="P99" s="27"/>
      <c r="Q99" s="35">
        <f t="shared" si="2"/>
        <v>1</v>
      </c>
      <c r="R99" s="35">
        <f t="shared" si="3"/>
        <v>1</v>
      </c>
    </row>
    <row r="100" spans="1:19" ht="14.25" x14ac:dyDescent="0.2">
      <c r="A100" s="27">
        <v>97</v>
      </c>
      <c r="B100" s="28"/>
      <c r="C100" s="29"/>
      <c r="D100" s="2"/>
      <c r="E100" s="2"/>
      <c r="F100" s="31"/>
      <c r="G100" s="32"/>
      <c r="H100" s="33"/>
      <c r="I100" s="34"/>
      <c r="J100" s="31"/>
      <c r="K100" s="2"/>
      <c r="L100" s="2"/>
      <c r="M100" s="27"/>
      <c r="N100" s="27"/>
      <c r="O100" s="31"/>
      <c r="P100" s="27"/>
      <c r="Q100" s="35">
        <f t="shared" si="2"/>
        <v>1</v>
      </c>
      <c r="R100" s="35">
        <f t="shared" si="3"/>
        <v>1</v>
      </c>
    </row>
    <row r="101" spans="1:19" ht="25.5" x14ac:dyDescent="0.2">
      <c r="A101" s="27">
        <v>98</v>
      </c>
      <c r="B101" s="28" t="s">
        <v>33</v>
      </c>
      <c r="C101" s="29"/>
      <c r="D101" s="2" t="s">
        <v>41</v>
      </c>
      <c r="E101" s="2"/>
      <c r="F101" s="31"/>
      <c r="G101" s="32"/>
      <c r="H101" s="33" t="s">
        <v>50</v>
      </c>
      <c r="I101" s="34" t="s">
        <v>77</v>
      </c>
      <c r="J101" s="31"/>
      <c r="K101" s="2"/>
      <c r="L101" s="2"/>
      <c r="M101" s="27"/>
      <c r="N101" s="27" t="s">
        <v>48</v>
      </c>
      <c r="O101" s="31"/>
      <c r="P101" s="27"/>
      <c r="Q101" s="35">
        <f t="shared" si="2"/>
        <v>1</v>
      </c>
      <c r="R101" s="35">
        <f t="shared" si="3"/>
        <v>1</v>
      </c>
    </row>
    <row r="102" spans="1:19" ht="14.25" x14ac:dyDescent="0.2">
      <c r="A102" s="27">
        <v>99</v>
      </c>
      <c r="B102" s="28" t="s">
        <v>46</v>
      </c>
      <c r="C102" s="29"/>
      <c r="D102" s="2" t="s">
        <v>43</v>
      </c>
      <c r="E102" s="2"/>
      <c r="F102" s="31"/>
      <c r="G102" s="32"/>
      <c r="H102" s="33" t="s">
        <v>50</v>
      </c>
      <c r="I102" s="34" t="s">
        <v>76</v>
      </c>
      <c r="J102" s="31"/>
      <c r="K102" s="2"/>
      <c r="L102" s="2"/>
      <c r="M102" s="27"/>
      <c r="N102" s="27" t="s">
        <v>52</v>
      </c>
      <c r="O102" s="31"/>
      <c r="P102" s="27"/>
      <c r="Q102" s="35">
        <f t="shared" si="2"/>
        <v>1</v>
      </c>
      <c r="R102" s="35">
        <f t="shared" si="3"/>
        <v>1</v>
      </c>
    </row>
    <row r="103" spans="1:19" ht="14.25" x14ac:dyDescent="0.2">
      <c r="A103" s="27">
        <v>100</v>
      </c>
      <c r="B103" s="36"/>
      <c r="C103" s="37"/>
      <c r="D103" s="38"/>
      <c r="E103" s="2"/>
      <c r="F103" s="31"/>
      <c r="G103" s="32"/>
      <c r="H103" s="33"/>
      <c r="I103" s="34"/>
      <c r="J103" s="31"/>
      <c r="K103" s="2"/>
      <c r="L103" s="2"/>
      <c r="M103" s="27"/>
      <c r="N103" s="27"/>
      <c r="O103" s="31"/>
      <c r="P103" s="27"/>
      <c r="Q103" s="35">
        <f t="shared" si="2"/>
        <v>1</v>
      </c>
      <c r="R103" s="35">
        <f t="shared" si="3"/>
        <v>1</v>
      </c>
    </row>
    <row r="104" spans="1:19" x14ac:dyDescent="0.2">
      <c r="B104" s="39" t="s">
        <v>78</v>
      </c>
    </row>
    <row r="105" spans="1:19" x14ac:dyDescent="0.2">
      <c r="B105" s="43"/>
    </row>
    <row r="106" spans="1:19" ht="16.5" thickBot="1" x14ac:dyDescent="0.3">
      <c r="C106" s="426" t="s">
        <v>79</v>
      </c>
      <c r="D106" s="426"/>
      <c r="E106" s="426"/>
      <c r="F106" s="426"/>
      <c r="G106" s="426"/>
      <c r="H106" s="426"/>
      <c r="I106" s="426"/>
      <c r="J106" s="426"/>
      <c r="M106" s="426" t="s">
        <v>79</v>
      </c>
      <c r="N106" s="426"/>
      <c r="O106" s="426"/>
      <c r="P106" s="426"/>
      <c r="Q106" s="426"/>
      <c r="R106" s="426"/>
    </row>
    <row r="107" spans="1:19" ht="16.5" thickBot="1" x14ac:dyDescent="0.3">
      <c r="C107" s="427" t="s">
        <v>80</v>
      </c>
      <c r="D107" s="428"/>
      <c r="E107" s="429" t="s">
        <v>3</v>
      </c>
      <c r="F107" s="430"/>
      <c r="G107" s="44" t="s">
        <v>81</v>
      </c>
      <c r="H107" s="45" t="s">
        <v>40</v>
      </c>
      <c r="I107" s="45" t="s">
        <v>41</v>
      </c>
      <c r="J107" s="46" t="s">
        <v>43</v>
      </c>
      <c r="M107" s="47" t="s">
        <v>82</v>
      </c>
      <c r="N107" s="48" t="s">
        <v>83</v>
      </c>
      <c r="O107" s="49" t="s">
        <v>40</v>
      </c>
      <c r="P107" s="50" t="s">
        <v>41</v>
      </c>
      <c r="Q107" s="51" t="s">
        <v>43</v>
      </c>
      <c r="R107" s="52" t="s">
        <v>84</v>
      </c>
      <c r="S107" s="53"/>
    </row>
    <row r="108" spans="1:19" ht="13.5" thickTop="1" x14ac:dyDescent="0.2">
      <c r="C108" s="54" t="s">
        <v>75</v>
      </c>
      <c r="D108" s="34">
        <f>COUNTIF($H$4:H104,"No Conformidad")</f>
        <v>4</v>
      </c>
      <c r="E108" s="55" t="s">
        <v>76</v>
      </c>
      <c r="F108" s="56">
        <f>COUNTIF($I$4:I104,"Si")</f>
        <v>5</v>
      </c>
      <c r="G108" s="57" t="s">
        <v>75</v>
      </c>
      <c r="H108" s="34">
        <f>COUNTIFS($H$4:H104,"No Conformidad",$D$4:D104,"Auditoria")</f>
        <v>4</v>
      </c>
      <c r="I108" s="34">
        <f>COUNTIFS($H$4:H104,"No Conformidad",$D$4:D104,"Especial")</f>
        <v>0</v>
      </c>
      <c r="J108" s="56">
        <f>COUNTIFS($H$4:H104,"No Conformidad",$D$4:D104,"Informes")</f>
        <v>0</v>
      </c>
      <c r="M108" s="58" t="s">
        <v>48</v>
      </c>
      <c r="N108" s="59">
        <f>COUNTIF($N$4:$N104,"Abierta")</f>
        <v>4</v>
      </c>
      <c r="O108" s="27">
        <f>COUNTIFS($N$4:$N104,"Abierta",$D$4:$D104,"Auditoria")</f>
        <v>3</v>
      </c>
      <c r="P108" s="27">
        <f>COUNTIFS($N$4:$N104,"Abierta",$D$4:$D104,"Especial")</f>
        <v>1</v>
      </c>
      <c r="Q108" s="60">
        <f>COUNTIFS($N$4:$N104,"Abierta",$D$4:$D104,"Informes")</f>
        <v>0</v>
      </c>
      <c r="R108" s="61">
        <f>SUM(O108:Q108)</f>
        <v>4</v>
      </c>
    </row>
    <row r="109" spans="1:19" ht="13.5" thickBot="1" x14ac:dyDescent="0.25">
      <c r="C109" s="62" t="s">
        <v>50</v>
      </c>
      <c r="D109" s="63">
        <f>COUNTIF($H$4:H104,"Recomendación")</f>
        <v>3</v>
      </c>
      <c r="E109" s="64" t="s">
        <v>77</v>
      </c>
      <c r="F109" s="65">
        <f>COUNTIF($I$4:I104,"No")</f>
        <v>2</v>
      </c>
      <c r="G109" s="66" t="s">
        <v>50</v>
      </c>
      <c r="H109" s="63">
        <f>COUNTIFS($H$4:H104,"Recomendación",$D$4:D104,"Auditoria")</f>
        <v>1</v>
      </c>
      <c r="I109" s="63">
        <f>COUNTIFS($H$4:H104,"Recomendación",$D$4:D104,"Especial")</f>
        <v>1</v>
      </c>
      <c r="J109" s="65">
        <f>COUNTIFS($H$4:H104,"Recomendación",$D$4:D104,"Informes")</f>
        <v>1</v>
      </c>
      <c r="M109" s="67" t="s">
        <v>52</v>
      </c>
      <c r="N109" s="68">
        <f>COUNTIF($N$4:$N104,"Cerrada")</f>
        <v>3</v>
      </c>
      <c r="O109" s="69">
        <f>COUNTIFS($N$4:$N104,"Cerrada",$D$4:$D104,"Auditoria")</f>
        <v>2</v>
      </c>
      <c r="P109" s="69">
        <f>COUNTIFS($N$4:$N104,"Cerrada",$D$4:$D104,"Especial")</f>
        <v>0</v>
      </c>
      <c r="Q109" s="70">
        <f>COUNTIFS($N$4:N104,"Cerrada",$D$4:D104,"Informes")</f>
        <v>1</v>
      </c>
      <c r="R109" s="71">
        <f>SUM(O109:Q109)</f>
        <v>3</v>
      </c>
    </row>
    <row r="110" spans="1:19" ht="14.25" thickTop="1" thickBot="1" x14ac:dyDescent="0.25">
      <c r="C110" s="72" t="s">
        <v>83</v>
      </c>
      <c r="D110" s="73">
        <f>SUM(D108:D109)</f>
        <v>7</v>
      </c>
      <c r="E110" s="74" t="s">
        <v>83</v>
      </c>
      <c r="F110" s="75">
        <f>SUM(F108:F109)</f>
        <v>7</v>
      </c>
      <c r="G110" s="76" t="s">
        <v>83</v>
      </c>
      <c r="H110" s="77">
        <f>SUM(H108:H109)</f>
        <v>5</v>
      </c>
      <c r="I110" s="78">
        <f>SUM(I108:I109)</f>
        <v>1</v>
      </c>
      <c r="J110" s="79">
        <f>SUM(J108:J109)</f>
        <v>1</v>
      </c>
      <c r="N110" s="80">
        <f>SUM(N108:N109)</f>
        <v>7</v>
      </c>
      <c r="R110" s="81">
        <f>SUM(R108:R109)</f>
        <v>7</v>
      </c>
    </row>
    <row r="111" spans="1:19" ht="11.25" customHeight="1" thickBot="1" x14ac:dyDescent="0.25">
      <c r="G111" s="82" t="s">
        <v>85</v>
      </c>
      <c r="H111" s="83">
        <f>SUM(H110:J110)</f>
        <v>7</v>
      </c>
      <c r="I111" s="84"/>
      <c r="J111" s="84"/>
      <c r="M111" s="85" t="s">
        <v>52</v>
      </c>
    </row>
    <row r="112" spans="1:19" ht="13.5" thickBot="1" x14ac:dyDescent="0.25">
      <c r="B112" s="16" t="s">
        <v>86</v>
      </c>
      <c r="F112" s="86"/>
      <c r="G112" s="87"/>
      <c r="H112" s="88"/>
      <c r="I112" s="84"/>
      <c r="J112" s="84"/>
      <c r="K112" s="84"/>
      <c r="M112" s="89" t="s">
        <v>87</v>
      </c>
      <c r="N112" s="90" t="s">
        <v>40</v>
      </c>
      <c r="O112" s="50" t="s">
        <v>41</v>
      </c>
      <c r="P112" s="51" t="s">
        <v>43</v>
      </c>
    </row>
    <row r="113" spans="2:20" ht="16.5" thickTop="1" thickBot="1" x14ac:dyDescent="0.3">
      <c r="B113" s="91" t="s">
        <v>88</v>
      </c>
      <c r="C113" s="92" t="str">
        <f>C1</f>
        <v>AÑO</v>
      </c>
      <c r="F113" s="86"/>
      <c r="M113" s="93" t="s">
        <v>89</v>
      </c>
      <c r="N113" s="94">
        <f>COUNTIFS($N$4:$N104,"Cerrada",$H$4:$H104,"No conformidad",$D$4:$D104,"Auditoria")</f>
        <v>2</v>
      </c>
      <c r="O113" s="27">
        <f>COUNTIFS($N$4:$N104,"Cerrada",$H$4:$H104,"No conformidad",$D$4:$D104,"Especial")</f>
        <v>0</v>
      </c>
      <c r="P113" s="27">
        <f>COUNTIFS($N$4:$N104,"Cerrada",$H$4:$H104,"No conformidad",$D$4:$D104,"Informes")</f>
        <v>0</v>
      </c>
    </row>
    <row r="114" spans="2:20" ht="14.25" customHeight="1" thickBot="1" x14ac:dyDescent="0.25">
      <c r="B114" s="421" t="s">
        <v>0</v>
      </c>
      <c r="C114" s="431" t="s">
        <v>90</v>
      </c>
      <c r="D114" s="431"/>
      <c r="E114" s="431"/>
      <c r="F114" s="432" t="s">
        <v>91</v>
      </c>
      <c r="H114" s="434" t="s">
        <v>92</v>
      </c>
      <c r="I114" s="435"/>
      <c r="J114" s="436" t="s">
        <v>93</v>
      </c>
      <c r="K114" s="437"/>
      <c r="M114" s="95" t="s">
        <v>94</v>
      </c>
      <c r="N114" s="96">
        <f>COUNTIFS($N$4:$N104,"Cerrada",$H$4:$H104,"Recomendación",$D$4:$D104,"Auditoria")</f>
        <v>0</v>
      </c>
      <c r="O114" s="63">
        <f>COUNTIFS($N$4:$N104,"Cerrada",$H$4:$H104,"Recomendación",$D$4:$D104,"Especial")</f>
        <v>0</v>
      </c>
      <c r="P114" s="63">
        <f>COUNTIFS($N$4:$N104,"Cerrada",$H$4:$H104,"Recomendación",$D$4:$D104,"Informes")</f>
        <v>1</v>
      </c>
    </row>
    <row r="115" spans="2:20" ht="22.5" customHeight="1" thickBot="1" x14ac:dyDescent="0.25">
      <c r="B115" s="422"/>
      <c r="C115" s="97" t="s">
        <v>40</v>
      </c>
      <c r="D115" s="97" t="s">
        <v>41</v>
      </c>
      <c r="E115" s="97" t="s">
        <v>43</v>
      </c>
      <c r="F115" s="433"/>
      <c r="H115" s="98" t="s">
        <v>75</v>
      </c>
      <c r="I115" s="99" t="s">
        <v>50</v>
      </c>
      <c r="J115" s="100" t="s">
        <v>76</v>
      </c>
      <c r="K115" s="101" t="s">
        <v>77</v>
      </c>
      <c r="M115" s="91" t="s">
        <v>83</v>
      </c>
      <c r="N115" s="102">
        <f>SUM(N113:N114)</f>
        <v>2</v>
      </c>
      <c r="O115" s="103">
        <f t="shared" ref="O115:P115" si="4">SUM(O113:O114)</f>
        <v>0</v>
      </c>
      <c r="P115" s="104">
        <f t="shared" si="4"/>
        <v>1</v>
      </c>
    </row>
    <row r="116" spans="2:20" ht="15.75" customHeight="1" thickTop="1" thickBot="1" x14ac:dyDescent="0.3">
      <c r="B116" s="105" t="s">
        <v>46</v>
      </c>
      <c r="C116" s="27">
        <f>COUNTIFS($D$4:$D104,"Auditoria",$B$4:$B104,$B116)</f>
        <v>1</v>
      </c>
      <c r="D116" s="27">
        <f>COUNTIFS($D$4:$D104,"Especial",$B$4:$B104,$B116)</f>
        <v>0</v>
      </c>
      <c r="E116" s="27">
        <f>COUNTIFS($D$4:$D104,"Especial",$B$4:$B104,$B116)</f>
        <v>0</v>
      </c>
      <c r="F116" s="27">
        <f>COUNTIF($B$4:B104,$B116)</f>
        <v>2</v>
      </c>
      <c r="H116" s="106">
        <f>COUNTIFS($H$4:$H104,"No Conformidad",$B$4:$B104,$B116)</f>
        <v>1</v>
      </c>
      <c r="I116" s="27">
        <f>COUNTIFS($H$4:$H104,"Recomendación",$B$4:$B104,$B116)</f>
        <v>1</v>
      </c>
      <c r="J116" s="27">
        <f>COUNTIFS($I$4:I104,"Si",$B$4:B104,$B116)</f>
        <v>1</v>
      </c>
      <c r="K116" s="60">
        <f>COUNTIFS($I$4:I104,"No",$B$4:B104,$B116)</f>
        <v>1</v>
      </c>
      <c r="M116" s="91" t="s">
        <v>85</v>
      </c>
      <c r="N116" s="107">
        <f>SUM(N115:P115)</f>
        <v>3</v>
      </c>
    </row>
    <row r="117" spans="2:20" ht="45.75" thickBot="1" x14ac:dyDescent="0.3">
      <c r="B117" s="108" t="s">
        <v>32</v>
      </c>
      <c r="C117" s="27">
        <f>COUNTIFS($D$4:$D104,"Auditoria",$B$4:$B104,$B117)</f>
        <v>0</v>
      </c>
      <c r="D117" s="27">
        <f>COUNTIFS($D$4:$D104,"Especial",$B$4:$B104,$B117)</f>
        <v>0</v>
      </c>
      <c r="E117" s="27">
        <f>COUNTIFS($D$4:$D104,"Especial",$B$4:$B104,$B117)</f>
        <v>0</v>
      </c>
      <c r="F117" s="27">
        <f>COUNTIF($B$4:B104,$B117)</f>
        <v>0</v>
      </c>
      <c r="H117" s="109">
        <f>COUNTIFS($H$4:$H104,"No Conformidad",$B$4:$B104,$B117)</f>
        <v>0</v>
      </c>
      <c r="I117" s="34">
        <f>COUNTIFS($H$4:$H104,"Recomendación",$B$4:$B104,$B117)</f>
        <v>0</v>
      </c>
      <c r="J117" s="34">
        <f>COUNTIFS($I$4:$I104,"Si",$B$4:$B104,$B117)</f>
        <v>0</v>
      </c>
      <c r="K117" s="56">
        <f>COUNTIFS($I$4:$I104,"No",$B$4:$B104,$B117)</f>
        <v>0</v>
      </c>
      <c r="T117" s="17"/>
    </row>
    <row r="118" spans="2:20" ht="15.75" thickBot="1" x14ac:dyDescent="0.3">
      <c r="B118" s="110" t="s">
        <v>9</v>
      </c>
      <c r="C118" s="27">
        <f>COUNTIFS($D$4:$D104,"Auditoria",$B$4:$B104,$B118)</f>
        <v>0</v>
      </c>
      <c r="D118" s="27">
        <f>COUNTIFS($D$4:$D104,"Especial",$B$4:$B104,$B118)</f>
        <v>0</v>
      </c>
      <c r="E118" s="27">
        <f>COUNTIFS($D$4:$D104,"Especial",$B$4:$B104,$B118)</f>
        <v>0</v>
      </c>
      <c r="F118" s="27">
        <f>COUNTIF($B$4:B104,$B118)</f>
        <v>0</v>
      </c>
      <c r="H118" s="109">
        <f>COUNTIFS($H$4:$H104,"No Conformidad",$B$4:$B104,$B118)</f>
        <v>0</v>
      </c>
      <c r="I118" s="34">
        <f>COUNTIFS($H$4:$H104,"Recomendación",$B$4:$B104,$B118)</f>
        <v>0</v>
      </c>
      <c r="J118" s="34">
        <f>COUNTIFS($I$4:$I104,"Si",$B$4:$B104,$B118)</f>
        <v>0</v>
      </c>
      <c r="K118" s="56">
        <f>COUNTIFS($I$4:$I104,"No",$B$4:$B104,$B118)</f>
        <v>0</v>
      </c>
      <c r="M118" s="111" t="s">
        <v>48</v>
      </c>
    </row>
    <row r="119" spans="2:20" ht="15.75" thickBot="1" x14ac:dyDescent="0.3">
      <c r="B119" s="110" t="s">
        <v>2</v>
      </c>
      <c r="C119" s="27">
        <f>COUNTIFS($D$4:$D104,"Auditoria",$B$4:$B104,$B119)</f>
        <v>0</v>
      </c>
      <c r="D119" s="27">
        <f>COUNTIFS($D$4:$D104,"Especial",$B$4:$B104,$B119)</f>
        <v>0</v>
      </c>
      <c r="E119" s="27">
        <f>COUNTIFS($D$4:$D104,"Especial",$B$4:$B104,$B119)</f>
        <v>0</v>
      </c>
      <c r="F119" s="27">
        <f>COUNTIF($B$4:B104,$B119)</f>
        <v>0</v>
      </c>
      <c r="H119" s="109">
        <f>COUNTIFS($H$4:$H104,"No Conformidad",$B$4:$B104,$B119)</f>
        <v>0</v>
      </c>
      <c r="I119" s="34">
        <f>COUNTIFS($H$4:$H104,"Recomendación",$B$4:$B104,$B119)</f>
        <v>0</v>
      </c>
      <c r="J119" s="34">
        <f>COUNTIFS($I$4:$I104,"Si",$B$4:$B104,$B119)</f>
        <v>0</v>
      </c>
      <c r="K119" s="56">
        <f>COUNTIFS($I$4:$I104,"No",$B$4:$B104,$B119)</f>
        <v>0</v>
      </c>
      <c r="M119" s="112" t="s">
        <v>95</v>
      </c>
      <c r="N119" s="113" t="s">
        <v>40</v>
      </c>
      <c r="O119" s="50" t="s">
        <v>41</v>
      </c>
      <c r="P119" s="51" t="s">
        <v>43</v>
      </c>
    </row>
    <row r="120" spans="2:20" ht="15.75" thickTop="1" x14ac:dyDescent="0.25">
      <c r="B120" s="110" t="s">
        <v>33</v>
      </c>
      <c r="C120" s="27">
        <f>COUNTIFS($D$4:$D104,"Auditoria",$B$4:$B104,$B120)</f>
        <v>2</v>
      </c>
      <c r="D120" s="27">
        <f>COUNTIFS($D$4:$D104,"Especial",$B$4:$B104,$B120)</f>
        <v>1</v>
      </c>
      <c r="E120" s="27">
        <f>COUNTIFS($D$4:$D104,"Especial",$B$4:$B104,$B120)</f>
        <v>1</v>
      </c>
      <c r="F120" s="27">
        <f>COUNTIF($B$4:B104,$B120)</f>
        <v>3</v>
      </c>
      <c r="H120" s="109">
        <f>COUNTIFS($H$4:$H104,"No Conformidad",$B$4:$B104,$B120)</f>
        <v>1</v>
      </c>
      <c r="I120" s="34">
        <f>COUNTIFS($H$4:$H104,"Recomendación",$B$4:$B104,$B120)</f>
        <v>2</v>
      </c>
      <c r="J120" s="34">
        <f>COUNTIFS($I$4:$I104,"Si",$B$4:$B104,$B120)</f>
        <v>2</v>
      </c>
      <c r="K120" s="56">
        <f>COUNTIFS($I$4:$I104,"No",$B$4:$B104,$B120)</f>
        <v>1</v>
      </c>
      <c r="M120" s="114" t="s">
        <v>96</v>
      </c>
      <c r="N120" s="106">
        <f>COUNTIFS($N$4:$N104,"Abierta",$H$4:$H104,"No conformidad",$D$4:$D104,"Auditoria")</f>
        <v>2</v>
      </c>
      <c r="O120" s="27">
        <f>COUNTIFS($N$4:$N104,"Abierta",$H$4:$H104,"No conformidad",$D$4:$D104,"Especial")</f>
        <v>0</v>
      </c>
      <c r="P120" s="60">
        <f>COUNTIFS($N$4:$N104,"Abierta",$H$4:$H104,"No conformidad",$D$4:$D104,"Informes")</f>
        <v>0</v>
      </c>
    </row>
    <row r="121" spans="2:20" ht="15.75" thickBot="1" x14ac:dyDescent="0.3">
      <c r="B121" s="110" t="s">
        <v>34</v>
      </c>
      <c r="C121" s="27">
        <f>COUNTIFS($D$4:$D104,"Auditoria",$B$4:$B104,$B121)</f>
        <v>1</v>
      </c>
      <c r="D121" s="27">
        <f>COUNTIFS($D$4:$D104,"Especial",$B$4:$B104,$B121)</f>
        <v>0</v>
      </c>
      <c r="E121" s="27">
        <f>COUNTIFS($D$4:$D104,"Especial",$B$4:$B104,$B121)</f>
        <v>0</v>
      </c>
      <c r="F121" s="27">
        <f>COUNTIF($B$4:B104,$B121)</f>
        <v>1</v>
      </c>
      <c r="H121" s="109">
        <f>COUNTIFS($H$4:$H104,"No Conformidad",$B$4:$B104,$B121)</f>
        <v>1</v>
      </c>
      <c r="I121" s="34">
        <f>COUNTIFS($H$4:$H104,"Recomendación",$B$4:$B104,$B121)</f>
        <v>0</v>
      </c>
      <c r="J121" s="34">
        <f>COUNTIFS($I$4:$I104,"Si",$B$4:$B104,$B121)</f>
        <v>1</v>
      </c>
      <c r="K121" s="56">
        <f>COUNTIFS($I$4:$I104,"No",$B$4:$B104,$B121)</f>
        <v>0</v>
      </c>
      <c r="M121" s="115" t="s">
        <v>97</v>
      </c>
      <c r="N121" s="116">
        <f>COUNTIFS($N$4:$N104,"Abierta",$H$4:$H104,"Recomendación",$D$4:$D104,"Auditoria")</f>
        <v>1</v>
      </c>
      <c r="O121" s="63">
        <f>COUNTIFS($N$4:$N104,"Abierta",$H$4:$H104,"Recomendación",$D$4:$D104,"Especial")</f>
        <v>1</v>
      </c>
      <c r="P121" s="65">
        <f>COUNTIFS($N$4:$N104,"Abierta",$H$4:$H104,"Recomendación",$D$4:$D104,"Informes")</f>
        <v>0</v>
      </c>
    </row>
    <row r="122" spans="2:20" ht="15.75" thickBot="1" x14ac:dyDescent="0.3">
      <c r="B122" s="110" t="s">
        <v>21</v>
      </c>
      <c r="C122" s="27">
        <f>COUNTIFS($D$4:$D104,"Auditoria",$B$4:$B104,$B122)</f>
        <v>1</v>
      </c>
      <c r="D122" s="27">
        <f>COUNTIFS($D$4:$D104,"Especial",$B$4:$B104,$B122)</f>
        <v>0</v>
      </c>
      <c r="E122" s="27">
        <f>COUNTIFS($D$4:$D104,"Especial",$B$4:$B104,$B122)</f>
        <v>0</v>
      </c>
      <c r="F122" s="27">
        <f>COUNTIF($B$4:B104,$B122)</f>
        <v>1</v>
      </c>
      <c r="H122" s="109">
        <f>COUNTIFS($H$4:$H104,"No Conformidad",$B$4:$B104,$B122)</f>
        <v>1</v>
      </c>
      <c r="I122" s="34">
        <f>COUNTIFS($H$4:$H104,"Recomendación",$B$4:$B104,$B122)</f>
        <v>0</v>
      </c>
      <c r="J122" s="34">
        <f>COUNTIFS($I$4:$I104,"Si",$B$4:$B104,$B122)</f>
        <v>1</v>
      </c>
      <c r="K122" s="56">
        <f>COUNTIFS($I$4:$I104,"No",$B$4:$B104,$B122)</f>
        <v>0</v>
      </c>
      <c r="M122" s="91" t="s">
        <v>83</v>
      </c>
      <c r="N122" s="117">
        <f>SUM(N120:N121)</f>
        <v>3</v>
      </c>
      <c r="O122" s="69">
        <f t="shared" ref="O122:P122" si="5">SUM(O120:O121)</f>
        <v>1</v>
      </c>
      <c r="P122" s="70">
        <f t="shared" si="5"/>
        <v>0</v>
      </c>
    </row>
    <row r="123" spans="2:20" ht="15.75" thickBot="1" x14ac:dyDescent="0.3">
      <c r="B123" s="110" t="s">
        <v>58</v>
      </c>
      <c r="C123" s="27">
        <f>COUNTIFS($D$4:$D104,"Auditoria",$B$4:$B104,$B123)</f>
        <v>0</v>
      </c>
      <c r="D123" s="27">
        <f>COUNTIFS($D$4:$D104,"Especial",$B$4:$B104,$B123)</f>
        <v>0</v>
      </c>
      <c r="E123" s="27">
        <f>COUNTIFS($D$4:$D104,"Especial",$B$4:$B104,$B123)</f>
        <v>0</v>
      </c>
      <c r="F123" s="27">
        <f>COUNTIF($B$4:B104,$B123)</f>
        <v>0</v>
      </c>
      <c r="H123" s="109">
        <f>COUNTIFS($H$4:$H104,"No Conformidad",$B$4:$B104,$B123)</f>
        <v>0</v>
      </c>
      <c r="I123" s="34">
        <f>COUNTIFS($H$4:$H104,"Recomendación",$B$4:$B104,$B123)</f>
        <v>0</v>
      </c>
      <c r="J123" s="34">
        <f>COUNTIFS($I$4:$I104,"Si",$B$4:$B104,$B123)</f>
        <v>0</v>
      </c>
      <c r="K123" s="56">
        <f>COUNTIFS($I$4:$I104,"No",$B$4:$B104,$B123)</f>
        <v>0</v>
      </c>
      <c r="M123" s="91" t="s">
        <v>85</v>
      </c>
      <c r="N123" s="118">
        <f>SUM(N122:P122)</f>
        <v>4</v>
      </c>
    </row>
    <row r="124" spans="2:20" ht="30" x14ac:dyDescent="0.25">
      <c r="B124" s="108" t="s">
        <v>59</v>
      </c>
      <c r="C124" s="27">
        <f>COUNTIFS($D$4:$D104,"Auditoria",$B$4:$B104,$B124)</f>
        <v>0</v>
      </c>
      <c r="D124" s="27">
        <f>COUNTIFS($D$4:$D104,"Especial",$B$4:$B104,$B124)</f>
        <v>0</v>
      </c>
      <c r="E124" s="27">
        <f>COUNTIFS($D$4:$D104,"Especial",$B$4:$B104,$B124)</f>
        <v>0</v>
      </c>
      <c r="F124" s="27">
        <f>COUNTIF($B$4:B104,$B124)</f>
        <v>0</v>
      </c>
      <c r="H124" s="109">
        <f>COUNTIFS($H$4:$H104,"No Conformidad",$B$4:$B104,$B124)</f>
        <v>0</v>
      </c>
      <c r="I124" s="34">
        <f>COUNTIFS($H$4:$H104,"Recomendación",$B$4:$B104,$B124)</f>
        <v>0</v>
      </c>
      <c r="J124" s="34">
        <f>COUNTIFS($I$4:$I104,"Si",$B$4:$B104,$B124)</f>
        <v>0</v>
      </c>
      <c r="K124" s="56">
        <f>COUNTIFS($I$4:$I104,"No",$B$4:$B104,$B124)</f>
        <v>0</v>
      </c>
      <c r="L124" s="84"/>
    </row>
    <row r="125" spans="2:20" ht="15" x14ac:dyDescent="0.25">
      <c r="B125" s="110" t="s">
        <v>60</v>
      </c>
      <c r="C125" s="27">
        <f>COUNTIFS($D$4:$D104,"Auditoria",$B$4:$B104,$B125)</f>
        <v>0</v>
      </c>
      <c r="D125" s="27">
        <f>COUNTIFS($D$4:$D104,"Especial",$B$4:$B104,$B125)</f>
        <v>0</v>
      </c>
      <c r="E125" s="27">
        <f>COUNTIFS($D$4:$D104,"Especial",$B$4:$B104,$B125)</f>
        <v>0</v>
      </c>
      <c r="F125" s="27">
        <f>COUNTIF($B$4:B104,$B125)</f>
        <v>0</v>
      </c>
      <c r="H125" s="109">
        <f>COUNTIFS($H$4:$H104,"No Conformidad",$B$4:$B104,$B125)</f>
        <v>0</v>
      </c>
      <c r="I125" s="34">
        <f>COUNTIFS($H$4:$H104,"Recomendación",$B$4:$B104,$B125)</f>
        <v>0</v>
      </c>
      <c r="J125" s="34">
        <f>COUNTIFS($I$4:$I104,"Si",$B$4:$B104,$B125)</f>
        <v>0</v>
      </c>
      <c r="K125" s="56">
        <f>COUNTIFS($I$4:$I104,"No",$B$4:$B104,$B125)</f>
        <v>0</v>
      </c>
      <c r="L125" s="84"/>
    </row>
    <row r="126" spans="2:20" ht="15" x14ac:dyDescent="0.25">
      <c r="B126" s="110" t="s">
        <v>61</v>
      </c>
      <c r="C126" s="27">
        <f>COUNTIFS($D$4:$D104,"Auditoria",$B$4:$B104,$B126)</f>
        <v>0</v>
      </c>
      <c r="D126" s="27">
        <f>COUNTIFS($D$4:$D104,"Especial",$B$4:$B104,$B126)</f>
        <v>0</v>
      </c>
      <c r="E126" s="27">
        <f>COUNTIFS($D$4:$D104,"Especial",$B$4:$B104,$B126)</f>
        <v>0</v>
      </c>
      <c r="F126" s="27">
        <f>COUNTIF($B$4:B104,$B126)</f>
        <v>0</v>
      </c>
      <c r="H126" s="109">
        <f>COUNTIFS($H$4:$H104,"No Conformidad",$B$4:$B104,$B126)</f>
        <v>0</v>
      </c>
      <c r="I126" s="34">
        <f>COUNTIFS($H$4:$H104,"Recomendación",$B$4:$B104,$B126)</f>
        <v>0</v>
      </c>
      <c r="J126" s="34">
        <f>COUNTIFS($I$4:$I104,"Si",$B$4:$B104,$B126)</f>
        <v>0</v>
      </c>
      <c r="K126" s="56">
        <f>COUNTIFS($I$4:$I104,"No",$B$4:$B104,$B126)</f>
        <v>0</v>
      </c>
      <c r="L126" s="84"/>
    </row>
    <row r="127" spans="2:20" ht="15.75" thickBot="1" x14ac:dyDescent="0.3">
      <c r="B127" s="119" t="s">
        <v>62</v>
      </c>
      <c r="C127" s="27">
        <f>COUNTIFS($D$4:$D104,"Auditoria",$B$4:$B104,$B127)</f>
        <v>0</v>
      </c>
      <c r="D127" s="27">
        <f>COUNTIFS($D$4:$D104,"Especial",$B$4:$B104,$B127)</f>
        <v>0</v>
      </c>
      <c r="E127" s="27">
        <f>COUNTIFS($D$4:$D104,"Especial",$B$4:$B104,$B127)</f>
        <v>0</v>
      </c>
      <c r="F127" s="27">
        <f>COUNTIF($B$4:B104,$B127)</f>
        <v>0</v>
      </c>
      <c r="H127" s="116">
        <f>COUNTIFS($H$4:$H104,"No Conformidad",$B$4:$B104,$B127)</f>
        <v>0</v>
      </c>
      <c r="I127" s="63">
        <f>COUNTIFS($H$4:$H104,"Recomendación",$B$4:$B104,$B127)</f>
        <v>0</v>
      </c>
      <c r="J127" s="63">
        <f>COUNTIFS($I$4:$I104,"Si",$B$4:$B104,$B127)</f>
        <v>0</v>
      </c>
      <c r="K127" s="65">
        <f>COUNTIFS($I$4:$I104,"No",$B$4:$B104,$B127)</f>
        <v>0</v>
      </c>
      <c r="L127" s="84"/>
    </row>
    <row r="128" spans="2:20" ht="17.25" thickTop="1" thickBot="1" x14ac:dyDescent="0.3">
      <c r="B128" s="120" t="s">
        <v>83</v>
      </c>
      <c r="C128" s="102">
        <f>SUBTOTAL(9,C116:C127)</f>
        <v>5</v>
      </c>
      <c r="D128" s="103">
        <f t="shared" ref="D128:E128" si="6">SUBTOTAL(9,D116:D127)</f>
        <v>1</v>
      </c>
      <c r="E128" s="103">
        <f t="shared" si="6"/>
        <v>1</v>
      </c>
      <c r="F128" s="121">
        <f>SUM(F116:F127)</f>
        <v>7</v>
      </c>
      <c r="G128" s="120" t="s">
        <v>83</v>
      </c>
      <c r="H128" s="77">
        <f>SUM(H116:H127)</f>
        <v>4</v>
      </c>
      <c r="I128" s="78">
        <f t="shared" ref="I128:K128" si="7">SUM(I116:I127)</f>
        <v>3</v>
      </c>
      <c r="J128" s="78">
        <f t="shared" si="7"/>
        <v>5</v>
      </c>
      <c r="K128" s="79">
        <f t="shared" si="7"/>
        <v>2</v>
      </c>
      <c r="L128" s="84"/>
    </row>
    <row r="129" spans="2:12" ht="13.5" thickBot="1" x14ac:dyDescent="0.25">
      <c r="F129" s="122">
        <f>SUM(C128:E128)</f>
        <v>7</v>
      </c>
      <c r="H129" s="17"/>
      <c r="L129" s="84"/>
    </row>
    <row r="130" spans="2:12" ht="6.75" customHeight="1" thickBot="1" x14ac:dyDescent="0.25">
      <c r="F130" s="123"/>
      <c r="H130" s="17"/>
    </row>
    <row r="131" spans="2:12" ht="15" x14ac:dyDescent="0.2">
      <c r="B131" s="421" t="s">
        <v>0</v>
      </c>
      <c r="C131" s="423" t="s">
        <v>48</v>
      </c>
      <c r="D131" s="424"/>
      <c r="E131" s="424"/>
      <c r="F131" s="425"/>
      <c r="H131" s="423" t="s">
        <v>52</v>
      </c>
      <c r="I131" s="424"/>
      <c r="J131" s="424"/>
      <c r="K131" s="425"/>
    </row>
    <row r="132" spans="2:12" ht="16.5" thickBot="1" x14ac:dyDescent="0.25">
      <c r="B132" s="422"/>
      <c r="C132" s="124" t="s">
        <v>83</v>
      </c>
      <c r="D132" s="125" t="s">
        <v>75</v>
      </c>
      <c r="E132" s="126" t="s">
        <v>50</v>
      </c>
      <c r="F132" s="127" t="s">
        <v>98</v>
      </c>
      <c r="H132" s="124" t="s">
        <v>83</v>
      </c>
      <c r="I132" s="125" t="s">
        <v>75</v>
      </c>
      <c r="J132" s="126" t="s">
        <v>50</v>
      </c>
      <c r="K132" s="127" t="s">
        <v>99</v>
      </c>
    </row>
    <row r="133" spans="2:12" ht="15.75" thickTop="1" x14ac:dyDescent="0.25">
      <c r="B133" s="105" t="s">
        <v>46</v>
      </c>
      <c r="C133" s="106">
        <f>COUNTIFS($N$4:N104,"Abierta",$B$4:B104,$B133)</f>
        <v>1</v>
      </c>
      <c r="D133" s="27">
        <f>COUNTIFS($N$4:$N104,"Abierta",$H$4:$H104,"No Conformidad",$B$4:$B104,B133)</f>
        <v>1</v>
      </c>
      <c r="E133" s="27">
        <f>COUNTIFS($N$4:N104,"Abierta",$H$4:H104,"Recomendación",$B$4:B104,B133)</f>
        <v>0</v>
      </c>
      <c r="F133" s="128">
        <f>C133/$C$145</f>
        <v>0.25</v>
      </c>
      <c r="H133" s="106">
        <f>COUNTIFS($N$4:$N104,"Cerrada",$B$4:B$104,$B133)</f>
        <v>1</v>
      </c>
      <c r="I133" s="27">
        <f>COUNTIFS($N$4:$N104,"Cerrada",$H$4:$H104,"No Conformidad",$B$4:$B104,B133)</f>
        <v>0</v>
      </c>
      <c r="J133" s="27">
        <f>COUNTIFS($N$4:N104,"Cerrada",$H$4:H104,"Recomendación",$B$4:B104,B133)</f>
        <v>1</v>
      </c>
      <c r="K133" s="129">
        <f>H133/$H$145</f>
        <v>0.33333333333333331</v>
      </c>
    </row>
    <row r="134" spans="2:12" ht="45" x14ac:dyDescent="0.25">
      <c r="B134" s="108" t="s">
        <v>32</v>
      </c>
      <c r="C134" s="106">
        <f>COUNTIFS($N$4:N104,"Abierta",$B$4:B104,$B134)</f>
        <v>0</v>
      </c>
      <c r="D134" s="27">
        <f>COUNTIFS($N$4:N104,"Abierta",$H$4:H104,"No Conformidad",$B$4:B104,B134)</f>
        <v>0</v>
      </c>
      <c r="E134" s="27">
        <f>COUNTIFS($N$4:N104,"Abierta",$H$4:H104,"Recomendación",$B$4:B104,B134)</f>
        <v>0</v>
      </c>
      <c r="F134" s="128">
        <f t="shared" ref="F134:F144" si="8">C134/$C$145</f>
        <v>0</v>
      </c>
      <c r="H134" s="106">
        <f>COUNTIFS($N$4:$N104,"Cerrada",$B$4:$B104,$B134)</f>
        <v>0</v>
      </c>
      <c r="I134" s="27">
        <f>COUNTIFS($N$4:$N104,"Cerrada",$H$4:$H104,"No Conformidad",$B$4:$B104,B134)</f>
        <v>0</v>
      </c>
      <c r="J134" s="27">
        <f>COUNTIFS($N$4:$N104,"Cerrada",$H$4:$H104,"Recomendación",$B$4:$B104,B134)</f>
        <v>0</v>
      </c>
      <c r="K134" s="129">
        <f t="shared" ref="K134:K144" si="9">H134/$H$145</f>
        <v>0</v>
      </c>
    </row>
    <row r="135" spans="2:12" ht="15" x14ac:dyDescent="0.25">
      <c r="B135" s="110" t="s">
        <v>9</v>
      </c>
      <c r="C135" s="106">
        <f>COUNTIFS($N$4:N104,"Abierta",$B$4:B104,$B135)</f>
        <v>0</v>
      </c>
      <c r="D135" s="27">
        <f>COUNTIFS($N$4:N104,"Abierta",$H$4:H104,"No Conformidad",$B$4:B104,B135)</f>
        <v>0</v>
      </c>
      <c r="E135" s="27">
        <f>COUNTIFS($N$4:N104,"Abierta",$H$4:H104,"Recomendación",$B$4:B104,B135)</f>
        <v>0</v>
      </c>
      <c r="F135" s="128">
        <f t="shared" si="8"/>
        <v>0</v>
      </c>
      <c r="H135" s="106">
        <f>COUNTIFS($N$4:$N104,"Cerrada",$B$4:$B104,$B135)</f>
        <v>0</v>
      </c>
      <c r="I135" s="27">
        <f>COUNTIFS($N$4:$N104,"Cerrada",$H$4:$H104,"No Conformidad",$B$4:$B104,B135)</f>
        <v>0</v>
      </c>
      <c r="J135" s="27">
        <f>COUNTIFS($N$4:$N104,"Cerrada",$H$4:$H104,"Recomendación",$B$4:$B104,B135)</f>
        <v>0</v>
      </c>
      <c r="K135" s="129">
        <f t="shared" si="9"/>
        <v>0</v>
      </c>
    </row>
    <row r="136" spans="2:12" ht="15" x14ac:dyDescent="0.25">
      <c r="B136" s="110" t="s">
        <v>2</v>
      </c>
      <c r="C136" s="106">
        <f>COUNTIFS($N$4:N104,"Abierta",$B$4:B104,$B136)</f>
        <v>0</v>
      </c>
      <c r="D136" s="27">
        <f>COUNTIFS($N$4:N104,"Abierta",$H$4:H104,"No Conformidad",$B$4:B104,B136)</f>
        <v>0</v>
      </c>
      <c r="E136" s="27">
        <f>COUNTIFS($N$4:N104,"Abierta",$H$4:H104,"Recomendación",$B$4:B104,B136)</f>
        <v>0</v>
      </c>
      <c r="F136" s="128">
        <f t="shared" si="8"/>
        <v>0</v>
      </c>
      <c r="H136" s="106">
        <f>COUNTIFS($N$4:$N104,"Cerrada",$B$4:$B104,$B136)</f>
        <v>0</v>
      </c>
      <c r="I136" s="27">
        <f>COUNTIFS($N$4:$N104,"Cerrada",$H$4:$H104,"No Conformidad",$B$4:$B104,B136)</f>
        <v>0</v>
      </c>
      <c r="J136" s="27">
        <f>COUNTIFS($N$4:$N104,"Cerrada",$H$4:$H104,"Recomendación",$B$4:$B104,B136)</f>
        <v>0</v>
      </c>
      <c r="K136" s="129">
        <f t="shared" si="9"/>
        <v>0</v>
      </c>
    </row>
    <row r="137" spans="2:12" ht="15" x14ac:dyDescent="0.25">
      <c r="B137" s="110" t="s">
        <v>33</v>
      </c>
      <c r="C137" s="106">
        <f>COUNTIFS($N$4:N104,"Abierta",$B$4:B104,$B137)</f>
        <v>2</v>
      </c>
      <c r="D137" s="27">
        <f>COUNTIFS($N$4:N104,"Abierta",$H$4:H104,"No Conformidad",$B$4:B104,B137)</f>
        <v>0</v>
      </c>
      <c r="E137" s="27">
        <f>COUNTIFS($N$4:N104,"Abierta",$H$4:H104,"Recomendación",$B$4:B104,B137)</f>
        <v>2</v>
      </c>
      <c r="F137" s="128">
        <f t="shared" si="8"/>
        <v>0.5</v>
      </c>
      <c r="H137" s="106">
        <f>COUNTIFS($N$4:$N104,"Cerrada",$B$4:$B104,$B137)</f>
        <v>1</v>
      </c>
      <c r="I137" s="27">
        <f>COUNTIFS($N$4:$N104,"Cerrada",$H$4:$H104,"No Conformidad",$B$4:$B104,B137)</f>
        <v>1</v>
      </c>
      <c r="J137" s="27">
        <f>COUNTIFS($N$4:$N104,"Cerrada",$H$4:$H104,"Recomendación",$B$4:$B104,B137)</f>
        <v>0</v>
      </c>
      <c r="K137" s="129">
        <f t="shared" si="9"/>
        <v>0.33333333333333331</v>
      </c>
    </row>
    <row r="138" spans="2:12" ht="15" x14ac:dyDescent="0.25">
      <c r="B138" s="110" t="s">
        <v>34</v>
      </c>
      <c r="C138" s="106">
        <f>COUNTIFS($N$4:N104,"Abierta",$B$4:B104,$B138)</f>
        <v>0</v>
      </c>
      <c r="D138" s="27">
        <f>COUNTIFS($N$4:N104,"Abierta",$H$4:H104,"No Conformidad",$B$4:B104,B138)</f>
        <v>0</v>
      </c>
      <c r="E138" s="27">
        <f>COUNTIFS($N$4:N104,"Abierta",$H$4:H104,"Recomendación",$B$4:B104,B138)</f>
        <v>0</v>
      </c>
      <c r="F138" s="128">
        <f t="shared" si="8"/>
        <v>0</v>
      </c>
      <c r="H138" s="106">
        <f>COUNTIFS($N$4:$N104,"Cerrada",$B$4:$B104,$B138)</f>
        <v>1</v>
      </c>
      <c r="I138" s="27">
        <f>COUNTIFS($N$4:$N104,"Cerrada",$H$4:$H104,"No Conformidad",$B$4:$B104,B138)</f>
        <v>1</v>
      </c>
      <c r="J138" s="27">
        <f>COUNTIFS($N$4:$N104,"Cerrada",$H$4:$H104,"Recomendación",$B$4:$B104,B138)</f>
        <v>0</v>
      </c>
      <c r="K138" s="129">
        <f t="shared" si="9"/>
        <v>0.33333333333333331</v>
      </c>
    </row>
    <row r="139" spans="2:12" ht="15" x14ac:dyDescent="0.25">
      <c r="B139" s="110" t="s">
        <v>21</v>
      </c>
      <c r="C139" s="106">
        <f>COUNTIFS($N$4:N104,"Abierta",$B$4:B104,$B139)</f>
        <v>1</v>
      </c>
      <c r="D139" s="27">
        <f>COUNTIFS($N$4:N104,"Abierta",$H$4:H104,"No Conformidad",$B$4:B104,B139)</f>
        <v>1</v>
      </c>
      <c r="E139" s="27">
        <f>COUNTIFS($N$4:N104,"Abierta",$H$4:H104,"Recomendación",$B$4:B104,B139)</f>
        <v>0</v>
      </c>
      <c r="F139" s="128">
        <f t="shared" si="8"/>
        <v>0.25</v>
      </c>
      <c r="H139" s="106">
        <f>COUNTIFS($N$4:$N104,"Cerrada",$B$4:$B104,$B139)</f>
        <v>0</v>
      </c>
      <c r="I139" s="27">
        <f>COUNTIFS($N$4:$N104,"Cerrada",$H$4:$H104,"No Conformidad",$B$4:$B104,B139)</f>
        <v>0</v>
      </c>
      <c r="J139" s="27">
        <f>COUNTIFS($N$4:$N104,"Cerrada",$H$4:$H104,"Recomendación",$B$4:$B104,B139)</f>
        <v>0</v>
      </c>
      <c r="K139" s="129">
        <f t="shared" si="9"/>
        <v>0</v>
      </c>
    </row>
    <row r="140" spans="2:12" ht="15" x14ac:dyDescent="0.25">
      <c r="B140" s="110" t="s">
        <v>58</v>
      </c>
      <c r="C140" s="106">
        <f>COUNTIFS($N$4:N104,"Abierta",$B$4:B104,$B140)</f>
        <v>0</v>
      </c>
      <c r="D140" s="27">
        <f>COUNTIFS($N$4:N104,"Abierta",$H$4:H104,"No Conformidad",$B$4:B104,B140)</f>
        <v>0</v>
      </c>
      <c r="E140" s="27">
        <f>COUNTIFS($N$4:N104,"Abierta",$H$4:H104,"Recomendación",$B$4:B104,B140)</f>
        <v>0</v>
      </c>
      <c r="F140" s="128">
        <f t="shared" si="8"/>
        <v>0</v>
      </c>
      <c r="H140" s="106">
        <f>COUNTIFS($N$4:$N104,"Cerrada",$B$4:$B104,$B140)</f>
        <v>0</v>
      </c>
      <c r="I140" s="27">
        <f>COUNTIFS($N$4:$N104,"Cerrada",$H$4:$H104,"No Conformidad",$B$4:$B104,B140)</f>
        <v>0</v>
      </c>
      <c r="J140" s="27">
        <f>COUNTIFS($N$4:$N104,"Cerrada",$H$4:$H104,"Recomendación",$B$4:$B104,B140)</f>
        <v>0</v>
      </c>
      <c r="K140" s="129">
        <f t="shared" si="9"/>
        <v>0</v>
      </c>
    </row>
    <row r="141" spans="2:12" ht="30" x14ac:dyDescent="0.25">
      <c r="B141" s="108" t="s">
        <v>59</v>
      </c>
      <c r="C141" s="106">
        <f>COUNTIFS($N$4:N104,"Abierta",$B$4:B104,$B141)</f>
        <v>0</v>
      </c>
      <c r="D141" s="27">
        <f>COUNTIFS($N$4:N104,"Abierta",$H$4:H104,"No Conformidad",$B$4:B104,B141)</f>
        <v>0</v>
      </c>
      <c r="E141" s="27">
        <f>COUNTIFS($N$4:N104,"Abierta",$H$4:H104,"Recomendación",$B$4:B104,B141)</f>
        <v>0</v>
      </c>
      <c r="F141" s="128">
        <f t="shared" si="8"/>
        <v>0</v>
      </c>
      <c r="H141" s="106">
        <f>COUNTIFS($N$4:$N104,"Cerrada",$B$4:$B104,$B141)</f>
        <v>0</v>
      </c>
      <c r="I141" s="27">
        <f>COUNTIFS($N$4:$N104,"Cerrada",$H$4:$H104,"No Conformidad",$B$4:$B104,B141)</f>
        <v>0</v>
      </c>
      <c r="J141" s="27">
        <f>COUNTIFS($N$4:$N104,"Cerrada",$H$4:$H104,"Recomendación",$B$4:$B104,B141)</f>
        <v>0</v>
      </c>
      <c r="K141" s="129">
        <f t="shared" si="9"/>
        <v>0</v>
      </c>
    </row>
    <row r="142" spans="2:12" ht="15" x14ac:dyDescent="0.25">
      <c r="B142" s="110" t="s">
        <v>60</v>
      </c>
      <c r="C142" s="106">
        <f>COUNTIFS($N$4:N104,"Abierta",$B$4:B104,$B142)</f>
        <v>0</v>
      </c>
      <c r="D142" s="27">
        <f>COUNTIFS($N$4:N104,"Abierta",$H$4:H104,"No Conformidad",$B$4:B104,B142)</f>
        <v>0</v>
      </c>
      <c r="E142" s="27">
        <f>COUNTIFS($N$4:N104,"Abierta",$H$4:H104,"Recomendación",$B$4:B104,B142)</f>
        <v>0</v>
      </c>
      <c r="F142" s="128">
        <f t="shared" si="8"/>
        <v>0</v>
      </c>
      <c r="H142" s="106">
        <f>COUNTIFS($N$4:$N104,"Cerrada",$B$4:$B104,$B142)</f>
        <v>0</v>
      </c>
      <c r="I142" s="27">
        <f>COUNTIFS($N$4:$N104,"Cerrada",$H$4:$H104,"No Conformidad",$B$4:$B104,B142)</f>
        <v>0</v>
      </c>
      <c r="J142" s="27">
        <f>COUNTIFS($N$4:$N104,"Cerrada",$H$4:$H104,"Recomendación",$B$4:$B104,B142)</f>
        <v>0</v>
      </c>
      <c r="K142" s="129">
        <f t="shared" si="9"/>
        <v>0</v>
      </c>
    </row>
    <row r="143" spans="2:12" ht="15" x14ac:dyDescent="0.25">
      <c r="B143" s="110" t="s">
        <v>61</v>
      </c>
      <c r="C143" s="106">
        <f>COUNTIFS($N$4:N104,"Abierta",$B$4:B104,$B143)</f>
        <v>0</v>
      </c>
      <c r="D143" s="27">
        <f>COUNTIFS($N$4:N104,"Abierta",$H$4:H104,"No Conformidad",$B$4:B104,B143)</f>
        <v>0</v>
      </c>
      <c r="E143" s="27">
        <f>COUNTIFS($N$4:N104,"Abierta",$H$4:H104,"Recomendación",$B$4:B104,B143)</f>
        <v>0</v>
      </c>
      <c r="F143" s="128">
        <f t="shared" si="8"/>
        <v>0</v>
      </c>
      <c r="H143" s="106">
        <f>COUNTIFS($N$4:$N104,"Cerrada",$B$4:$B104,$B143)</f>
        <v>0</v>
      </c>
      <c r="I143" s="27">
        <f>COUNTIFS($N$4:$N104,"Cerrada",$H$4:$H104,"No Conformidad",$B$4:$B104,B143)</f>
        <v>0</v>
      </c>
      <c r="J143" s="27">
        <f>COUNTIFS($N$4:$N104,"Cerrada",$H$4:$H104,"Recomendación",$B$4:$B104,B143)</f>
        <v>0</v>
      </c>
      <c r="K143" s="129">
        <f t="shared" si="9"/>
        <v>0</v>
      </c>
    </row>
    <row r="144" spans="2:12" ht="15.75" thickBot="1" x14ac:dyDescent="0.3">
      <c r="B144" s="119" t="s">
        <v>62</v>
      </c>
      <c r="C144" s="106">
        <f>COUNTIFS($N$4:N104,"Abierta",$B$4:B104,$B144)</f>
        <v>0</v>
      </c>
      <c r="D144" s="27">
        <f>COUNTIFS($N$4:N104,"Abierta",$H$4:H104,"No Conformidad",$B$4:B104,B144)</f>
        <v>0</v>
      </c>
      <c r="E144" s="27">
        <f>COUNTIFS($N$4:N104,"Abierta",$H$4:H104,"Recomendación",$B$4:B104,B144)</f>
        <v>0</v>
      </c>
      <c r="F144" s="130">
        <f t="shared" si="8"/>
        <v>0</v>
      </c>
      <c r="H144" s="106">
        <f>COUNTIFS($N$4:$N104,"Cerrada",$B$4:$B104,$B144)</f>
        <v>0</v>
      </c>
      <c r="I144" s="27">
        <f>COUNTIFS($N$4:$N104,"Cerrada",$H$4:$H104,"No Conformidad",$B$4:$B104,B144)</f>
        <v>0</v>
      </c>
      <c r="J144" s="27">
        <f>COUNTIFS($N$4:$N104,"Cerrada",$H$4:$H104,"Recomendación",$B$4:$B104,B144)</f>
        <v>0</v>
      </c>
      <c r="K144" s="129">
        <f t="shared" si="9"/>
        <v>0</v>
      </c>
    </row>
    <row r="145" spans="2:11" ht="17.25" thickTop="1" thickBot="1" x14ac:dyDescent="0.3">
      <c r="B145" s="120" t="s">
        <v>83</v>
      </c>
      <c r="C145" s="131">
        <f>SUM(C133:C144)</f>
        <v>4</v>
      </c>
      <c r="D145" s="132">
        <f t="shared" ref="D145:E145" si="10">SUM(D133:D144)</f>
        <v>2</v>
      </c>
      <c r="E145" s="132">
        <f t="shared" si="10"/>
        <v>2</v>
      </c>
      <c r="F145" s="133">
        <f>SUM(F133:F144)</f>
        <v>1</v>
      </c>
      <c r="G145" s="120" t="s">
        <v>83</v>
      </c>
      <c r="H145" s="134">
        <f>SUM(H133:H144)</f>
        <v>3</v>
      </c>
      <c r="I145" s="134">
        <f t="shared" ref="I145:K145" si="11">SUM(I133:I144)</f>
        <v>2</v>
      </c>
      <c r="J145" s="134">
        <f t="shared" si="11"/>
        <v>1</v>
      </c>
      <c r="K145" s="135">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540" priority="9" operator="equal">
      <formula>"Plan Mejoramiento"</formula>
    </cfRule>
    <cfRule type="cellIs" dxfId="539" priority="10" operator="equal">
      <formula>"Acción Preventiva"</formula>
    </cfRule>
    <cfRule type="cellIs" dxfId="538" priority="11" operator="equal">
      <formula>"Acción Correctiva"</formula>
    </cfRule>
  </conditionalFormatting>
  <conditionalFormatting sqref="G6:G100 H4:I103">
    <cfRule type="cellIs" dxfId="537" priority="7" operator="equal">
      <formula>"Recomendación"</formula>
    </cfRule>
    <cfRule type="cellIs" dxfId="536" priority="8" operator="equal">
      <formula>"No Conformidad"</formula>
    </cfRule>
  </conditionalFormatting>
  <conditionalFormatting sqref="M6:M100 N4:N103 M108:M109">
    <cfRule type="cellIs" dxfId="535" priority="5" operator="equal">
      <formula>"Cerrada"</formula>
    </cfRule>
    <cfRule type="cellIs" dxfId="534" priority="6" operator="equal">
      <formula>"Abierta"</formula>
    </cfRule>
  </conditionalFormatting>
  <conditionalFormatting sqref="J6:J100 K4:K103 I3:I103">
    <cfRule type="cellIs" dxfId="533" priority="4" operator="equal">
      <formula>"Corrección"</formula>
    </cfRule>
  </conditionalFormatting>
  <conditionalFormatting sqref="C115:E115 D4:E103 G110:G111 H107:I107 N112:O112 N119:O119 O107:P107">
    <cfRule type="cellIs" dxfId="532" priority="1" operator="equal">
      <formula>"Especial"</formula>
    </cfRule>
    <cfRule type="cellIs" dxfId="531" priority="2" operator="equal">
      <formula>"Informes"</formula>
    </cfRule>
    <cfRule type="cellIs" dxfId="530"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E281"/>
  <sheetViews>
    <sheetView tabSelected="1" zoomScale="70" zoomScaleNormal="70" zoomScaleSheetLayoutView="80" workbookViewId="0">
      <pane ySplit="3" topLeftCell="A10" activePane="bottomLeft" state="frozen"/>
      <selection pane="bottomLeft" activeCell="H259" sqref="H259"/>
    </sheetView>
  </sheetViews>
  <sheetFormatPr baseColWidth="10" defaultColWidth="11.42578125" defaultRowHeight="14.25" x14ac:dyDescent="0.2"/>
  <cols>
    <col min="1" max="1" width="5.42578125" style="17" customWidth="1"/>
    <col min="2" max="2" width="17" style="17" customWidth="1"/>
    <col min="3" max="3" width="26.85546875" style="17" customWidth="1"/>
    <col min="4" max="4" width="13.5703125" style="272" customWidth="1"/>
    <col min="5" max="5" width="11.28515625" style="17" customWidth="1"/>
    <col min="6" max="6" width="14.140625" style="17" customWidth="1"/>
    <col min="7" max="7" width="11.5703125" style="371" customWidth="1"/>
    <col min="8" max="8" width="58.140625" style="17" customWidth="1"/>
    <col min="9" max="9" width="14.5703125" style="372" customWidth="1"/>
    <col min="10" max="10" width="11.42578125" style="17" customWidth="1"/>
    <col min="11" max="11" width="11.28515625" style="17" customWidth="1"/>
    <col min="12" max="12" width="12" style="17" customWidth="1"/>
    <col min="13" max="13" width="16" style="17" customWidth="1"/>
    <col min="14" max="14" width="19.7109375" style="17" customWidth="1"/>
    <col min="15" max="15" width="46.42578125" style="17" customWidth="1"/>
    <col min="16" max="16" width="13.42578125" style="17" customWidth="1"/>
    <col min="17" max="17" width="43.7109375" style="17" customWidth="1"/>
    <col min="18" max="18" width="10.5703125" style="17" customWidth="1"/>
    <col min="19" max="19" width="11.85546875" style="17" customWidth="1"/>
    <col min="20" max="20" width="31" style="17" customWidth="1"/>
    <col min="21" max="22" width="18.28515625" style="17" customWidth="1"/>
    <col min="23" max="23" width="25.85546875" style="17" customWidth="1"/>
    <col min="24" max="24" width="14.5703125" style="17" customWidth="1"/>
    <col min="25" max="25" width="11.42578125" style="17" customWidth="1"/>
    <col min="26" max="27" width="11.42578125" style="351" customWidth="1"/>
    <col min="28" max="28" width="11.42578125" style="16" customWidth="1"/>
    <col min="29" max="16384" width="11.42578125" style="16"/>
  </cols>
  <sheetData>
    <row r="1" spans="1:25" ht="30.75" thickBot="1" x14ac:dyDescent="0.25">
      <c r="A1" s="327"/>
      <c r="B1" s="15" t="s">
        <v>63</v>
      </c>
      <c r="C1" s="210">
        <v>2016</v>
      </c>
      <c r="D1" s="260" t="s">
        <v>300</v>
      </c>
      <c r="E1" s="174" t="s">
        <v>300</v>
      </c>
      <c r="F1" s="147"/>
      <c r="G1" s="348"/>
      <c r="H1" s="15"/>
      <c r="I1" s="174" t="s">
        <v>300</v>
      </c>
      <c r="J1" s="174" t="s">
        <v>300</v>
      </c>
      <c r="K1" s="174" t="s">
        <v>300</v>
      </c>
      <c r="L1" s="15"/>
      <c r="M1" s="349" t="s">
        <v>299</v>
      </c>
      <c r="N1" s="350">
        <v>42643</v>
      </c>
      <c r="Q1" s="15"/>
      <c r="X1" s="174"/>
    </row>
    <row r="2" spans="1:25" ht="3.75" customHeight="1" thickBot="1" x14ac:dyDescent="0.25">
      <c r="B2" s="15"/>
      <c r="C2" s="15"/>
      <c r="D2" s="271"/>
      <c r="E2" s="15"/>
      <c r="F2" s="15"/>
      <c r="G2" s="348"/>
      <c r="H2" s="15"/>
      <c r="I2" s="352"/>
      <c r="J2" s="74"/>
      <c r="K2" s="15"/>
      <c r="L2" s="15"/>
      <c r="M2" s="15"/>
      <c r="N2" s="15"/>
      <c r="O2" s="15"/>
      <c r="P2" s="15"/>
      <c r="Q2" s="15"/>
      <c r="S2" s="15"/>
      <c r="X2" s="74"/>
    </row>
    <row r="3" spans="1:25" ht="75.75" thickBot="1" x14ac:dyDescent="0.25">
      <c r="A3" s="19" t="s">
        <v>65</v>
      </c>
      <c r="B3" s="20" t="s">
        <v>0</v>
      </c>
      <c r="C3" s="20" t="s">
        <v>1</v>
      </c>
      <c r="D3" s="261" t="s">
        <v>39</v>
      </c>
      <c r="E3" s="154" t="s">
        <v>189</v>
      </c>
      <c r="F3" s="21" t="s">
        <v>53</v>
      </c>
      <c r="G3" s="22" t="s">
        <v>67</v>
      </c>
      <c r="H3" s="166" t="s">
        <v>68</v>
      </c>
      <c r="I3" s="172" t="s">
        <v>42</v>
      </c>
      <c r="J3" s="173" t="s">
        <v>130</v>
      </c>
      <c r="K3" s="167" t="s">
        <v>69</v>
      </c>
      <c r="L3" s="21" t="s">
        <v>70</v>
      </c>
      <c r="M3" s="236" t="s">
        <v>44</v>
      </c>
      <c r="N3" s="236" t="s">
        <v>100</v>
      </c>
      <c r="O3" s="237" t="s">
        <v>30</v>
      </c>
      <c r="P3" s="24" t="s">
        <v>103</v>
      </c>
      <c r="Q3" s="24" t="s">
        <v>29</v>
      </c>
      <c r="R3" s="143" t="s">
        <v>129</v>
      </c>
      <c r="S3" s="24" t="s">
        <v>71</v>
      </c>
      <c r="T3" s="24" t="s">
        <v>72</v>
      </c>
      <c r="U3" s="21" t="s">
        <v>73</v>
      </c>
      <c r="V3" s="159" t="s">
        <v>196</v>
      </c>
      <c r="W3" s="26" t="s">
        <v>74</v>
      </c>
      <c r="X3" s="172" t="s">
        <v>593</v>
      </c>
      <c r="Y3" s="17" t="s">
        <v>102</v>
      </c>
    </row>
    <row r="4" spans="1:25" ht="281.25" customHeight="1" thickTop="1" x14ac:dyDescent="0.2">
      <c r="A4" s="453">
        <f>+A5+1</f>
        <v>1</v>
      </c>
      <c r="B4" s="286" t="s">
        <v>46</v>
      </c>
      <c r="C4" s="286" t="s">
        <v>191</v>
      </c>
      <c r="D4" s="457" t="s">
        <v>40</v>
      </c>
      <c r="E4" s="454" t="s">
        <v>0</v>
      </c>
      <c r="F4" s="287" t="s">
        <v>55</v>
      </c>
      <c r="G4" s="31">
        <v>41626</v>
      </c>
      <c r="H4" s="450" t="s">
        <v>20</v>
      </c>
      <c r="I4" s="479" t="s">
        <v>75</v>
      </c>
      <c r="J4" s="479" t="s">
        <v>131</v>
      </c>
      <c r="K4" s="480" t="s">
        <v>76</v>
      </c>
      <c r="L4" s="31">
        <v>41753</v>
      </c>
      <c r="M4" s="286" t="s">
        <v>47</v>
      </c>
      <c r="N4" s="286" t="s">
        <v>160</v>
      </c>
      <c r="O4" s="286" t="s">
        <v>178</v>
      </c>
      <c r="P4" s="31">
        <v>42551</v>
      </c>
      <c r="Q4" s="289" t="s">
        <v>610</v>
      </c>
      <c r="R4" s="291" t="s">
        <v>48</v>
      </c>
      <c r="S4" s="31"/>
      <c r="T4" s="291"/>
      <c r="U4" s="308">
        <f t="shared" ref="U4:U10" si="0">DAYS360(G4,L4,0)+1</f>
        <v>127</v>
      </c>
      <c r="V4" s="300" t="str">
        <f t="shared" ref="V4:V14" si="1">IF(U4&gt;7,"Inoportuno",(IF(U4&lt;0,"No ha formulado PM","Oportuno")))</f>
        <v>Inoportuno</v>
      </c>
      <c r="W4" s="308">
        <f t="shared" ref="W4:W10" si="2">DAYS360(P4,S4,0)+1</f>
        <v>-41939</v>
      </c>
      <c r="X4" s="506" t="s">
        <v>334</v>
      </c>
    </row>
    <row r="5" spans="1:25" ht="154.5" customHeight="1" x14ac:dyDescent="0.2">
      <c r="A5" s="443"/>
      <c r="B5" s="286" t="s">
        <v>46</v>
      </c>
      <c r="C5" s="286" t="s">
        <v>191</v>
      </c>
      <c r="D5" s="458"/>
      <c r="E5" s="455"/>
      <c r="F5" s="287" t="s">
        <v>55</v>
      </c>
      <c r="G5" s="31">
        <v>41626</v>
      </c>
      <c r="H5" s="451"/>
      <c r="I5" s="479"/>
      <c r="J5" s="479"/>
      <c r="K5" s="505"/>
      <c r="L5" s="31">
        <v>41753</v>
      </c>
      <c r="M5" s="286" t="s">
        <v>47</v>
      </c>
      <c r="N5" s="286" t="s">
        <v>160</v>
      </c>
      <c r="O5" s="286" t="s">
        <v>179</v>
      </c>
      <c r="P5" s="31">
        <v>42551</v>
      </c>
      <c r="Q5" s="289" t="s">
        <v>611</v>
      </c>
      <c r="R5" s="291" t="s">
        <v>48</v>
      </c>
      <c r="S5" s="31"/>
      <c r="T5" s="291"/>
      <c r="U5" s="308">
        <f t="shared" si="0"/>
        <v>127</v>
      </c>
      <c r="V5" s="300" t="str">
        <f t="shared" si="1"/>
        <v>Inoportuno</v>
      </c>
      <c r="W5" s="308">
        <f t="shared" si="2"/>
        <v>-41939</v>
      </c>
      <c r="X5" s="506" t="s">
        <v>334</v>
      </c>
    </row>
    <row r="6" spans="1:25" ht="243" customHeight="1" x14ac:dyDescent="0.2">
      <c r="A6" s="439"/>
      <c r="B6" s="286" t="s">
        <v>46</v>
      </c>
      <c r="C6" s="286" t="s">
        <v>191</v>
      </c>
      <c r="D6" s="459"/>
      <c r="E6" s="456"/>
      <c r="F6" s="287" t="s">
        <v>55</v>
      </c>
      <c r="G6" s="31">
        <v>41626</v>
      </c>
      <c r="H6" s="452"/>
      <c r="I6" s="479"/>
      <c r="J6" s="479"/>
      <c r="K6" s="481"/>
      <c r="L6" s="31">
        <v>41753</v>
      </c>
      <c r="M6" s="286" t="s">
        <v>47</v>
      </c>
      <c r="N6" s="286" t="s">
        <v>160</v>
      </c>
      <c r="O6" s="286" t="s">
        <v>161</v>
      </c>
      <c r="P6" s="31">
        <v>42551</v>
      </c>
      <c r="Q6" s="289" t="s">
        <v>612</v>
      </c>
      <c r="R6" s="291" t="s">
        <v>48</v>
      </c>
      <c r="S6" s="31"/>
      <c r="T6" s="291"/>
      <c r="U6" s="308">
        <f t="shared" si="0"/>
        <v>127</v>
      </c>
      <c r="V6" s="300" t="str">
        <f t="shared" si="1"/>
        <v>Inoportuno</v>
      </c>
      <c r="W6" s="308">
        <f t="shared" si="2"/>
        <v>-41939</v>
      </c>
      <c r="X6" s="506" t="s">
        <v>334</v>
      </c>
    </row>
    <row r="7" spans="1:25" ht="143.25" customHeight="1" x14ac:dyDescent="0.2">
      <c r="A7" s="291">
        <f>A4+1</f>
        <v>2</v>
      </c>
      <c r="B7" s="286" t="s">
        <v>33</v>
      </c>
      <c r="C7" s="286" t="s">
        <v>106</v>
      </c>
      <c r="D7" s="284" t="s">
        <v>40</v>
      </c>
      <c r="E7" s="295" t="s">
        <v>0</v>
      </c>
      <c r="F7" s="287" t="s">
        <v>55</v>
      </c>
      <c r="G7" s="31">
        <v>41638</v>
      </c>
      <c r="H7" s="354" t="s">
        <v>22</v>
      </c>
      <c r="I7" s="298" t="s">
        <v>75</v>
      </c>
      <c r="J7" s="298" t="s">
        <v>131</v>
      </c>
      <c r="K7" s="142" t="s">
        <v>76</v>
      </c>
      <c r="L7" s="31">
        <v>41970</v>
      </c>
      <c r="M7" s="286" t="s">
        <v>47</v>
      </c>
      <c r="N7" s="286" t="s">
        <v>105</v>
      </c>
      <c r="O7" s="355" t="s">
        <v>257</v>
      </c>
      <c r="P7" s="31">
        <v>42734</v>
      </c>
      <c r="Q7" s="286" t="s">
        <v>382</v>
      </c>
      <c r="R7" s="160" t="s">
        <v>48</v>
      </c>
      <c r="S7" s="31"/>
      <c r="T7" s="291"/>
      <c r="U7" s="308">
        <f t="shared" ref="U7" si="3">DAYS360(G7,L7,0)+1</f>
        <v>328</v>
      </c>
      <c r="V7" s="300"/>
      <c r="W7" s="308"/>
      <c r="X7" s="303" t="s">
        <v>334</v>
      </c>
    </row>
    <row r="8" spans="1:25" ht="107.25" customHeight="1" x14ac:dyDescent="0.2">
      <c r="A8" s="291">
        <v>3</v>
      </c>
      <c r="B8" s="286" t="s">
        <v>2</v>
      </c>
      <c r="C8" s="286" t="s">
        <v>236</v>
      </c>
      <c r="D8" s="284" t="s">
        <v>40</v>
      </c>
      <c r="E8" s="295" t="s">
        <v>0</v>
      </c>
      <c r="F8" s="287" t="s">
        <v>55</v>
      </c>
      <c r="G8" s="31">
        <v>41309</v>
      </c>
      <c r="H8" s="356" t="s">
        <v>10</v>
      </c>
      <c r="I8" s="298" t="s">
        <v>75</v>
      </c>
      <c r="J8" s="298" t="s">
        <v>131</v>
      </c>
      <c r="K8" s="142" t="s">
        <v>76</v>
      </c>
      <c r="L8" s="31">
        <v>41410</v>
      </c>
      <c r="M8" s="286" t="s">
        <v>47</v>
      </c>
      <c r="N8" s="286" t="s">
        <v>139</v>
      </c>
      <c r="O8" s="286" t="s">
        <v>438</v>
      </c>
      <c r="P8" s="31">
        <v>41440</v>
      </c>
      <c r="Q8" s="328" t="s">
        <v>405</v>
      </c>
      <c r="R8" s="291" t="s">
        <v>48</v>
      </c>
      <c r="S8" s="31"/>
      <c r="T8" s="291"/>
      <c r="U8" s="308">
        <f t="shared" si="0"/>
        <v>103</v>
      </c>
      <c r="V8" s="300" t="str">
        <f t="shared" si="1"/>
        <v>Inoportuno</v>
      </c>
      <c r="W8" s="308">
        <f t="shared" si="2"/>
        <v>-40844</v>
      </c>
      <c r="X8" s="303" t="s">
        <v>334</v>
      </c>
    </row>
    <row r="9" spans="1:25" ht="288.75" customHeight="1" x14ac:dyDescent="0.2">
      <c r="A9" s="291">
        <f t="shared" ref="A9:A68" si="4">+A8+1</f>
        <v>4</v>
      </c>
      <c r="B9" s="286" t="s">
        <v>58</v>
      </c>
      <c r="C9" s="286" t="s">
        <v>14</v>
      </c>
      <c r="D9" s="283" t="s">
        <v>40</v>
      </c>
      <c r="E9" s="285" t="s">
        <v>0</v>
      </c>
      <c r="F9" s="287" t="s">
        <v>55</v>
      </c>
      <c r="G9" s="31">
        <v>41453</v>
      </c>
      <c r="H9" s="356" t="s">
        <v>13</v>
      </c>
      <c r="I9" s="298" t="s">
        <v>75</v>
      </c>
      <c r="J9" s="298" t="s">
        <v>131</v>
      </c>
      <c r="K9" s="208" t="s">
        <v>76</v>
      </c>
      <c r="L9" s="31">
        <v>41456</v>
      </c>
      <c r="M9" s="286" t="s">
        <v>101</v>
      </c>
      <c r="N9" s="286" t="s">
        <v>149</v>
      </c>
      <c r="O9" s="204" t="s">
        <v>154</v>
      </c>
      <c r="P9" s="179">
        <v>42369</v>
      </c>
      <c r="Q9" s="329" t="s">
        <v>416</v>
      </c>
      <c r="R9" s="291" t="s">
        <v>48</v>
      </c>
      <c r="S9" s="31"/>
      <c r="T9" s="291"/>
      <c r="U9" s="308">
        <f t="shared" si="0"/>
        <v>4</v>
      </c>
      <c r="V9" s="209" t="str">
        <f t="shared" si="1"/>
        <v>Oportuno</v>
      </c>
      <c r="W9" s="307">
        <f t="shared" si="2"/>
        <v>-41759</v>
      </c>
      <c r="X9" s="303" t="s">
        <v>334</v>
      </c>
    </row>
    <row r="10" spans="1:25" ht="68.25" customHeight="1" x14ac:dyDescent="0.2">
      <c r="A10" s="291">
        <f t="shared" si="4"/>
        <v>5</v>
      </c>
      <c r="B10" s="286" t="s">
        <v>59</v>
      </c>
      <c r="C10" s="286" t="s">
        <v>237</v>
      </c>
      <c r="D10" s="284" t="s">
        <v>40</v>
      </c>
      <c r="E10" s="295" t="s">
        <v>0</v>
      </c>
      <c r="F10" s="287" t="s">
        <v>55</v>
      </c>
      <c r="G10" s="31">
        <v>41610</v>
      </c>
      <c r="H10" s="357" t="s">
        <v>37</v>
      </c>
      <c r="I10" s="298" t="s">
        <v>75</v>
      </c>
      <c r="J10" s="298" t="s">
        <v>131</v>
      </c>
      <c r="K10" s="142" t="s">
        <v>76</v>
      </c>
      <c r="L10" s="31">
        <v>41726</v>
      </c>
      <c r="M10" s="286" t="s">
        <v>47</v>
      </c>
      <c r="N10" s="286" t="s">
        <v>258</v>
      </c>
      <c r="O10" s="204" t="s">
        <v>146</v>
      </c>
      <c r="P10" s="31">
        <v>42004</v>
      </c>
      <c r="Q10" s="329" t="s">
        <v>381</v>
      </c>
      <c r="R10" s="291" t="s">
        <v>48</v>
      </c>
      <c r="S10" s="31"/>
      <c r="T10" s="291"/>
      <c r="U10" s="308">
        <f t="shared" si="0"/>
        <v>117</v>
      </c>
      <c r="V10" s="300" t="str">
        <f t="shared" si="1"/>
        <v>Inoportuno</v>
      </c>
      <c r="W10" s="308">
        <f t="shared" si="2"/>
        <v>-41399</v>
      </c>
      <c r="X10" s="303" t="s">
        <v>334</v>
      </c>
    </row>
    <row r="11" spans="1:25" ht="190.5" customHeight="1" x14ac:dyDescent="0.2">
      <c r="A11" s="291">
        <v>8</v>
      </c>
      <c r="B11" s="286" t="s">
        <v>59</v>
      </c>
      <c r="C11" s="286" t="s">
        <v>238</v>
      </c>
      <c r="D11" s="284" t="s">
        <v>40</v>
      </c>
      <c r="E11" s="295" t="s">
        <v>0</v>
      </c>
      <c r="F11" s="287" t="s">
        <v>55</v>
      </c>
      <c r="G11" s="31">
        <v>41621</v>
      </c>
      <c r="H11" s="356" t="s">
        <v>38</v>
      </c>
      <c r="I11" s="298" t="s">
        <v>75</v>
      </c>
      <c r="J11" s="298" t="s">
        <v>131</v>
      </c>
      <c r="K11" s="142" t="s">
        <v>76</v>
      </c>
      <c r="L11" s="31">
        <v>41711</v>
      </c>
      <c r="M11" s="286" t="s">
        <v>101</v>
      </c>
      <c r="N11" s="286" t="s">
        <v>239</v>
      </c>
      <c r="O11" s="204" t="s">
        <v>439</v>
      </c>
      <c r="P11" s="31">
        <v>42399</v>
      </c>
      <c r="Q11" s="286" t="s">
        <v>440</v>
      </c>
      <c r="R11" s="291" t="s">
        <v>48</v>
      </c>
      <c r="S11" s="31"/>
      <c r="T11" s="291"/>
      <c r="U11" s="308">
        <f t="shared" ref="U11:U27" si="5">DAYS360(G11,L11,0)+1</f>
        <v>91</v>
      </c>
      <c r="V11" s="300" t="str">
        <f t="shared" si="1"/>
        <v>Inoportuno</v>
      </c>
      <c r="W11" s="308">
        <f t="shared" ref="W11:W31" si="6">DAYS360(P11,S11,0)+1</f>
        <v>-41789</v>
      </c>
      <c r="X11" s="303" t="s">
        <v>334</v>
      </c>
    </row>
    <row r="12" spans="1:25" ht="255" x14ac:dyDescent="0.2">
      <c r="A12" s="438">
        <f t="shared" si="4"/>
        <v>9</v>
      </c>
      <c r="B12" s="286" t="s">
        <v>46</v>
      </c>
      <c r="C12" s="286" t="s">
        <v>107</v>
      </c>
      <c r="D12" s="457" t="s">
        <v>40</v>
      </c>
      <c r="E12" s="454" t="s">
        <v>195</v>
      </c>
      <c r="F12" s="287" t="s">
        <v>56</v>
      </c>
      <c r="G12" s="31">
        <v>41689</v>
      </c>
      <c r="H12" s="454" t="s">
        <v>162</v>
      </c>
      <c r="I12" s="479" t="s">
        <v>75</v>
      </c>
      <c r="J12" s="479" t="s">
        <v>131</v>
      </c>
      <c r="K12" s="480" t="s">
        <v>76</v>
      </c>
      <c r="L12" s="31">
        <v>41753</v>
      </c>
      <c r="M12" s="286" t="s">
        <v>47</v>
      </c>
      <c r="N12" s="151" t="s">
        <v>169</v>
      </c>
      <c r="O12" s="204" t="s">
        <v>163</v>
      </c>
      <c r="P12" s="31">
        <v>42063</v>
      </c>
      <c r="Q12" s="286" t="s">
        <v>613</v>
      </c>
      <c r="R12" s="291" t="s">
        <v>52</v>
      </c>
      <c r="S12" s="31">
        <v>42509</v>
      </c>
      <c r="T12" s="286" t="s">
        <v>614</v>
      </c>
      <c r="U12" s="308">
        <f t="shared" si="5"/>
        <v>66</v>
      </c>
      <c r="V12" s="300" t="str">
        <f t="shared" si="1"/>
        <v>Inoportuno</v>
      </c>
      <c r="W12" s="308">
        <f t="shared" si="6"/>
        <v>440</v>
      </c>
      <c r="X12" s="506" t="s">
        <v>334</v>
      </c>
    </row>
    <row r="13" spans="1:25" ht="293.25" x14ac:dyDescent="0.2">
      <c r="A13" s="443"/>
      <c r="B13" s="286" t="s">
        <v>46</v>
      </c>
      <c r="C13" s="286" t="s">
        <v>107</v>
      </c>
      <c r="D13" s="458"/>
      <c r="E13" s="455"/>
      <c r="F13" s="287" t="s">
        <v>56</v>
      </c>
      <c r="G13" s="31">
        <v>41689</v>
      </c>
      <c r="H13" s="455"/>
      <c r="I13" s="479"/>
      <c r="J13" s="479"/>
      <c r="K13" s="505"/>
      <c r="L13" s="31">
        <v>41753</v>
      </c>
      <c r="M13" s="286" t="s">
        <v>47</v>
      </c>
      <c r="N13" s="151" t="s">
        <v>169</v>
      </c>
      <c r="O13" s="204" t="s">
        <v>164</v>
      </c>
      <c r="P13" s="31">
        <v>42094</v>
      </c>
      <c r="Q13" s="286" t="s">
        <v>615</v>
      </c>
      <c r="R13" s="291" t="s">
        <v>52</v>
      </c>
      <c r="S13" s="31">
        <v>42509</v>
      </c>
      <c r="T13" s="286" t="s">
        <v>616</v>
      </c>
      <c r="U13" s="308">
        <f t="shared" si="5"/>
        <v>66</v>
      </c>
      <c r="V13" s="300" t="str">
        <f t="shared" si="1"/>
        <v>Inoportuno</v>
      </c>
      <c r="W13" s="308">
        <f t="shared" si="6"/>
        <v>410</v>
      </c>
      <c r="X13" s="506" t="s">
        <v>334</v>
      </c>
    </row>
    <row r="14" spans="1:25" ht="306" x14ac:dyDescent="0.2">
      <c r="A14" s="443"/>
      <c r="B14" s="286" t="s">
        <v>46</v>
      </c>
      <c r="C14" s="286" t="s">
        <v>107</v>
      </c>
      <c r="D14" s="458"/>
      <c r="E14" s="455"/>
      <c r="F14" s="287" t="s">
        <v>56</v>
      </c>
      <c r="G14" s="31">
        <v>41689</v>
      </c>
      <c r="H14" s="455"/>
      <c r="I14" s="479"/>
      <c r="J14" s="479"/>
      <c r="K14" s="505"/>
      <c r="L14" s="31">
        <v>41753</v>
      </c>
      <c r="M14" s="286" t="s">
        <v>47</v>
      </c>
      <c r="N14" s="151" t="s">
        <v>169</v>
      </c>
      <c r="O14" s="204" t="s">
        <v>165</v>
      </c>
      <c r="P14" s="31">
        <v>41820</v>
      </c>
      <c r="Q14" s="286" t="s">
        <v>617</v>
      </c>
      <c r="R14" s="291" t="s">
        <v>48</v>
      </c>
      <c r="S14" s="31"/>
      <c r="T14" s="291"/>
      <c r="U14" s="308">
        <f t="shared" si="5"/>
        <v>66</v>
      </c>
      <c r="V14" s="300" t="str">
        <f t="shared" si="1"/>
        <v>Inoportuno</v>
      </c>
      <c r="W14" s="308">
        <f t="shared" si="6"/>
        <v>-41219</v>
      </c>
      <c r="X14" s="506" t="s">
        <v>334</v>
      </c>
    </row>
    <row r="15" spans="1:25" ht="70.5" customHeight="1" x14ac:dyDescent="0.2">
      <c r="A15" s="443"/>
      <c r="B15" s="286" t="s">
        <v>46</v>
      </c>
      <c r="C15" s="286" t="s">
        <v>107</v>
      </c>
      <c r="D15" s="458"/>
      <c r="E15" s="455"/>
      <c r="F15" s="287" t="s">
        <v>56</v>
      </c>
      <c r="G15" s="31">
        <v>41689</v>
      </c>
      <c r="H15" s="455"/>
      <c r="I15" s="479"/>
      <c r="J15" s="479"/>
      <c r="K15" s="505"/>
      <c r="L15" s="31">
        <v>41753</v>
      </c>
      <c r="M15" s="286" t="s">
        <v>47</v>
      </c>
      <c r="N15" s="151" t="s">
        <v>169</v>
      </c>
      <c r="O15" s="204" t="s">
        <v>166</v>
      </c>
      <c r="P15" s="31">
        <v>41820</v>
      </c>
      <c r="Q15" s="286" t="s">
        <v>618</v>
      </c>
      <c r="R15" s="291" t="s">
        <v>48</v>
      </c>
      <c r="S15" s="31"/>
      <c r="T15" s="291"/>
      <c r="U15" s="308">
        <f t="shared" si="5"/>
        <v>66</v>
      </c>
      <c r="V15" s="300" t="str">
        <f t="shared" ref="V15:V62" si="7">IF(U15&gt;7,"Inoportuno",(IF(U15&lt;0,"No ha formulado PM","Oportuno")))</f>
        <v>Inoportuno</v>
      </c>
      <c r="W15" s="308">
        <f t="shared" si="6"/>
        <v>-41219</v>
      </c>
      <c r="X15" s="506" t="s">
        <v>334</v>
      </c>
    </row>
    <row r="16" spans="1:25" ht="139.5" customHeight="1" x14ac:dyDescent="0.2">
      <c r="A16" s="443"/>
      <c r="B16" s="286" t="s">
        <v>46</v>
      </c>
      <c r="C16" s="286" t="s">
        <v>107</v>
      </c>
      <c r="D16" s="458"/>
      <c r="E16" s="455"/>
      <c r="F16" s="287" t="s">
        <v>56</v>
      </c>
      <c r="G16" s="31">
        <v>41689</v>
      </c>
      <c r="H16" s="455"/>
      <c r="I16" s="479"/>
      <c r="J16" s="479"/>
      <c r="K16" s="505"/>
      <c r="L16" s="31">
        <v>41753</v>
      </c>
      <c r="M16" s="286" t="s">
        <v>47</v>
      </c>
      <c r="N16" s="151" t="s">
        <v>169</v>
      </c>
      <c r="O16" s="204" t="s">
        <v>167</v>
      </c>
      <c r="P16" s="31">
        <v>41820</v>
      </c>
      <c r="Q16" s="286" t="s">
        <v>619</v>
      </c>
      <c r="R16" s="291" t="s">
        <v>52</v>
      </c>
      <c r="S16" s="31">
        <v>42509</v>
      </c>
      <c r="T16" s="286" t="s">
        <v>620</v>
      </c>
      <c r="U16" s="308">
        <f t="shared" si="5"/>
        <v>66</v>
      </c>
      <c r="V16" s="300" t="str">
        <f t="shared" si="7"/>
        <v>Inoportuno</v>
      </c>
      <c r="W16" s="308">
        <f t="shared" si="6"/>
        <v>680</v>
      </c>
      <c r="X16" s="506" t="s">
        <v>334</v>
      </c>
    </row>
    <row r="17" spans="1:24" ht="150" customHeight="1" x14ac:dyDescent="0.2">
      <c r="A17" s="439"/>
      <c r="B17" s="286" t="s">
        <v>46</v>
      </c>
      <c r="C17" s="286" t="s">
        <v>107</v>
      </c>
      <c r="D17" s="459"/>
      <c r="E17" s="456"/>
      <c r="F17" s="287" t="s">
        <v>56</v>
      </c>
      <c r="G17" s="31">
        <v>41689</v>
      </c>
      <c r="H17" s="456"/>
      <c r="I17" s="479"/>
      <c r="J17" s="479"/>
      <c r="K17" s="481"/>
      <c r="L17" s="31">
        <v>41753</v>
      </c>
      <c r="M17" s="286" t="s">
        <v>47</v>
      </c>
      <c r="N17" s="151" t="s">
        <v>169</v>
      </c>
      <c r="O17" s="204" t="s">
        <v>168</v>
      </c>
      <c r="P17" s="31">
        <v>41820</v>
      </c>
      <c r="Q17" s="286" t="s">
        <v>621</v>
      </c>
      <c r="R17" s="291" t="s">
        <v>52</v>
      </c>
      <c r="S17" s="31">
        <v>42509</v>
      </c>
      <c r="T17" s="286" t="s">
        <v>622</v>
      </c>
      <c r="U17" s="308">
        <f t="shared" si="5"/>
        <v>66</v>
      </c>
      <c r="V17" s="300" t="str">
        <f t="shared" si="7"/>
        <v>Inoportuno</v>
      </c>
      <c r="W17" s="308">
        <f t="shared" si="6"/>
        <v>680</v>
      </c>
      <c r="X17" s="506" t="s">
        <v>334</v>
      </c>
    </row>
    <row r="18" spans="1:24" ht="165" customHeight="1" x14ac:dyDescent="0.2">
      <c r="A18" s="438"/>
      <c r="B18" s="286" t="s">
        <v>46</v>
      </c>
      <c r="C18" s="286" t="s">
        <v>35</v>
      </c>
      <c r="D18" s="284" t="s">
        <v>40</v>
      </c>
      <c r="E18" s="295" t="s">
        <v>195</v>
      </c>
      <c r="F18" s="287" t="s">
        <v>56</v>
      </c>
      <c r="G18" s="31">
        <v>41634</v>
      </c>
      <c r="H18" s="447" t="s">
        <v>36</v>
      </c>
      <c r="I18" s="298" t="s">
        <v>75</v>
      </c>
      <c r="J18" s="298" t="s">
        <v>131</v>
      </c>
      <c r="K18" s="142" t="s">
        <v>76</v>
      </c>
      <c r="L18" s="31">
        <v>41753</v>
      </c>
      <c r="M18" s="286" t="s">
        <v>101</v>
      </c>
      <c r="N18" s="286" t="s">
        <v>171</v>
      </c>
      <c r="O18" s="204" t="s">
        <v>170</v>
      </c>
      <c r="P18" s="31">
        <v>41789</v>
      </c>
      <c r="Q18" s="286" t="s">
        <v>623</v>
      </c>
      <c r="R18" s="291" t="s">
        <v>48</v>
      </c>
      <c r="S18" s="31"/>
      <c r="T18" s="291"/>
      <c r="U18" s="308">
        <f t="shared" si="5"/>
        <v>119</v>
      </c>
      <c r="V18" s="300" t="str">
        <f t="shared" si="7"/>
        <v>Inoportuno</v>
      </c>
      <c r="W18" s="308">
        <f t="shared" si="6"/>
        <v>-41189</v>
      </c>
      <c r="X18" s="303" t="s">
        <v>334</v>
      </c>
    </row>
    <row r="19" spans="1:24" ht="221.25" customHeight="1" x14ac:dyDescent="0.2">
      <c r="A19" s="439"/>
      <c r="B19" s="286" t="s">
        <v>46</v>
      </c>
      <c r="C19" s="286" t="s">
        <v>35</v>
      </c>
      <c r="D19" s="284" t="s">
        <v>40</v>
      </c>
      <c r="E19" s="295" t="s">
        <v>195</v>
      </c>
      <c r="F19" s="287" t="s">
        <v>56</v>
      </c>
      <c r="G19" s="31">
        <v>41634</v>
      </c>
      <c r="H19" s="449"/>
      <c r="I19" s="298" t="s">
        <v>75</v>
      </c>
      <c r="J19" s="298" t="s">
        <v>131</v>
      </c>
      <c r="K19" s="142" t="s">
        <v>76</v>
      </c>
      <c r="L19" s="31">
        <v>41753</v>
      </c>
      <c r="M19" s="286" t="s">
        <v>47</v>
      </c>
      <c r="N19" s="286" t="s">
        <v>171</v>
      </c>
      <c r="O19" s="204" t="s">
        <v>259</v>
      </c>
      <c r="P19" s="31">
        <v>42004</v>
      </c>
      <c r="Q19" s="286" t="s">
        <v>624</v>
      </c>
      <c r="R19" s="291" t="s">
        <v>48</v>
      </c>
      <c r="S19" s="31"/>
      <c r="T19" s="291"/>
      <c r="U19" s="308">
        <f t="shared" si="5"/>
        <v>119</v>
      </c>
      <c r="V19" s="300" t="str">
        <f t="shared" si="7"/>
        <v>Inoportuno</v>
      </c>
      <c r="W19" s="308">
        <f t="shared" si="6"/>
        <v>-41399</v>
      </c>
      <c r="X19" s="303" t="s">
        <v>334</v>
      </c>
    </row>
    <row r="20" spans="1:24" ht="178.5" x14ac:dyDescent="0.2">
      <c r="A20" s="291">
        <f t="shared" si="4"/>
        <v>1</v>
      </c>
      <c r="B20" s="286" t="s">
        <v>46</v>
      </c>
      <c r="C20" s="286" t="s">
        <v>108</v>
      </c>
      <c r="D20" s="284" t="s">
        <v>40</v>
      </c>
      <c r="E20" s="295" t="s">
        <v>195</v>
      </c>
      <c r="F20" s="287" t="s">
        <v>56</v>
      </c>
      <c r="G20" s="31">
        <v>41506</v>
      </c>
      <c r="H20" s="353" t="s">
        <v>240</v>
      </c>
      <c r="I20" s="298" t="s">
        <v>75</v>
      </c>
      <c r="J20" s="298" t="s">
        <v>131</v>
      </c>
      <c r="K20" s="142" t="s">
        <v>76</v>
      </c>
      <c r="L20" s="31">
        <v>41513</v>
      </c>
      <c r="M20" s="286" t="s">
        <v>47</v>
      </c>
      <c r="N20" s="286" t="s">
        <v>112</v>
      </c>
      <c r="O20" s="204" t="s">
        <v>172</v>
      </c>
      <c r="P20" s="31">
        <v>42035</v>
      </c>
      <c r="Q20" s="286" t="s">
        <v>441</v>
      </c>
      <c r="R20" s="291" t="s">
        <v>48</v>
      </c>
      <c r="S20" s="31"/>
      <c r="T20" s="291"/>
      <c r="U20" s="308">
        <f t="shared" si="5"/>
        <v>8</v>
      </c>
      <c r="V20" s="300" t="str">
        <f t="shared" si="7"/>
        <v>Inoportuno</v>
      </c>
      <c r="W20" s="308">
        <f t="shared" si="6"/>
        <v>-41429</v>
      </c>
      <c r="X20" s="303" t="s">
        <v>334</v>
      </c>
    </row>
    <row r="21" spans="1:24" ht="245.25" customHeight="1" x14ac:dyDescent="0.2">
      <c r="A21" s="291">
        <f t="shared" si="4"/>
        <v>2</v>
      </c>
      <c r="B21" s="286" t="s">
        <v>46</v>
      </c>
      <c r="C21" s="286" t="s">
        <v>241</v>
      </c>
      <c r="D21" s="284" t="s">
        <v>43</v>
      </c>
      <c r="E21" s="295" t="s">
        <v>195</v>
      </c>
      <c r="F21" s="287" t="s">
        <v>56</v>
      </c>
      <c r="G21" s="31">
        <v>41313</v>
      </c>
      <c r="H21" s="353" t="s">
        <v>12</v>
      </c>
      <c r="I21" s="298" t="s">
        <v>75</v>
      </c>
      <c r="J21" s="298" t="s">
        <v>132</v>
      </c>
      <c r="K21" s="142" t="s">
        <v>76</v>
      </c>
      <c r="L21" s="31">
        <v>41324</v>
      </c>
      <c r="M21" s="286" t="s">
        <v>47</v>
      </c>
      <c r="N21" s="286" t="s">
        <v>110</v>
      </c>
      <c r="O21" s="204" t="s">
        <v>111</v>
      </c>
      <c r="P21" s="31">
        <v>42369</v>
      </c>
      <c r="Q21" s="289" t="s">
        <v>625</v>
      </c>
      <c r="R21" s="291" t="s">
        <v>52</v>
      </c>
      <c r="S21" s="31">
        <v>42509</v>
      </c>
      <c r="T21" s="291"/>
      <c r="U21" s="308">
        <f t="shared" si="5"/>
        <v>12</v>
      </c>
      <c r="V21" s="300" t="str">
        <f t="shared" si="7"/>
        <v>Inoportuno</v>
      </c>
      <c r="W21" s="308">
        <f t="shared" si="6"/>
        <v>140</v>
      </c>
      <c r="X21" s="303" t="s">
        <v>334</v>
      </c>
    </row>
    <row r="22" spans="1:24" ht="261.75" customHeight="1" x14ac:dyDescent="0.2">
      <c r="A22" s="291">
        <f t="shared" si="4"/>
        <v>3</v>
      </c>
      <c r="B22" s="286" t="s">
        <v>46</v>
      </c>
      <c r="C22" s="286" t="s">
        <v>6</v>
      </c>
      <c r="D22" s="284" t="s">
        <v>40</v>
      </c>
      <c r="E22" s="295" t="s">
        <v>195</v>
      </c>
      <c r="F22" s="287" t="s">
        <v>56</v>
      </c>
      <c r="G22" s="31">
        <v>41534</v>
      </c>
      <c r="H22" s="358" t="s">
        <v>15</v>
      </c>
      <c r="I22" s="298" t="s">
        <v>75</v>
      </c>
      <c r="J22" s="298" t="s">
        <v>131</v>
      </c>
      <c r="K22" s="142" t="s">
        <v>76</v>
      </c>
      <c r="L22" s="31">
        <v>41541</v>
      </c>
      <c r="M22" s="286" t="s">
        <v>47</v>
      </c>
      <c r="N22" s="286" t="s">
        <v>116</v>
      </c>
      <c r="O22" s="204" t="s">
        <v>115</v>
      </c>
      <c r="P22" s="31">
        <v>42094</v>
      </c>
      <c r="Q22" s="286" t="s">
        <v>626</v>
      </c>
      <c r="R22" s="291" t="s">
        <v>48</v>
      </c>
      <c r="S22" s="31"/>
      <c r="T22" s="291"/>
      <c r="U22" s="308">
        <f t="shared" si="5"/>
        <v>8</v>
      </c>
      <c r="V22" s="300" t="str">
        <f t="shared" si="7"/>
        <v>Inoportuno</v>
      </c>
      <c r="W22" s="308">
        <f t="shared" si="6"/>
        <v>-41489</v>
      </c>
      <c r="X22" s="303" t="s">
        <v>334</v>
      </c>
    </row>
    <row r="23" spans="1:24" ht="264.75" customHeight="1" x14ac:dyDescent="0.2">
      <c r="A23" s="291">
        <f t="shared" si="4"/>
        <v>4</v>
      </c>
      <c r="B23" s="286" t="s">
        <v>46</v>
      </c>
      <c r="C23" s="286" t="s">
        <v>6</v>
      </c>
      <c r="D23" s="293" t="s">
        <v>40</v>
      </c>
      <c r="E23" s="295" t="s">
        <v>195</v>
      </c>
      <c r="F23" s="294" t="s">
        <v>56</v>
      </c>
      <c r="G23" s="153">
        <v>41534</v>
      </c>
      <c r="H23" s="359" t="s">
        <v>109</v>
      </c>
      <c r="I23" s="298" t="s">
        <v>75</v>
      </c>
      <c r="J23" s="298" t="s">
        <v>131</v>
      </c>
      <c r="K23" s="305" t="s">
        <v>76</v>
      </c>
      <c r="L23" s="31">
        <v>41541</v>
      </c>
      <c r="M23" s="286" t="s">
        <v>47</v>
      </c>
      <c r="N23" s="286" t="s">
        <v>114</v>
      </c>
      <c r="O23" s="204" t="s">
        <v>117</v>
      </c>
      <c r="P23" s="31">
        <v>42094</v>
      </c>
      <c r="Q23" s="286" t="s">
        <v>627</v>
      </c>
      <c r="R23" s="291" t="s">
        <v>48</v>
      </c>
      <c r="S23" s="31"/>
      <c r="T23" s="291"/>
      <c r="U23" s="308">
        <f t="shared" si="5"/>
        <v>8</v>
      </c>
      <c r="V23" s="300" t="str">
        <f t="shared" si="7"/>
        <v>Inoportuno</v>
      </c>
      <c r="W23" s="308">
        <f t="shared" si="6"/>
        <v>-41489</v>
      </c>
      <c r="X23" s="301" t="s">
        <v>334</v>
      </c>
    </row>
    <row r="24" spans="1:24" ht="344.25" x14ac:dyDescent="0.2">
      <c r="A24" s="291">
        <f t="shared" si="4"/>
        <v>5</v>
      </c>
      <c r="B24" s="286" t="s">
        <v>46</v>
      </c>
      <c r="C24" s="286" t="s">
        <v>6</v>
      </c>
      <c r="D24" s="284" t="s">
        <v>40</v>
      </c>
      <c r="E24" s="295" t="s">
        <v>195</v>
      </c>
      <c r="F24" s="287" t="s">
        <v>56</v>
      </c>
      <c r="G24" s="31">
        <v>41534</v>
      </c>
      <c r="H24" s="358" t="s">
        <v>16</v>
      </c>
      <c r="I24" s="298" t="s">
        <v>75</v>
      </c>
      <c r="J24" s="298" t="s">
        <v>131</v>
      </c>
      <c r="K24" s="142" t="s">
        <v>76</v>
      </c>
      <c r="L24" s="31">
        <v>41541</v>
      </c>
      <c r="M24" s="286" t="s">
        <v>101</v>
      </c>
      <c r="N24" s="286" t="s">
        <v>113</v>
      </c>
      <c r="O24" s="204" t="s">
        <v>118</v>
      </c>
      <c r="P24" s="31">
        <v>42369</v>
      </c>
      <c r="Q24" s="286" t="s">
        <v>628</v>
      </c>
      <c r="R24" s="291" t="s">
        <v>48</v>
      </c>
      <c r="S24" s="31"/>
      <c r="T24" s="291"/>
      <c r="U24" s="308">
        <f t="shared" si="5"/>
        <v>8</v>
      </c>
      <c r="V24" s="300" t="str">
        <f t="shared" si="7"/>
        <v>Inoportuno</v>
      </c>
      <c r="W24" s="308">
        <f t="shared" si="6"/>
        <v>-41759</v>
      </c>
      <c r="X24" s="303" t="s">
        <v>334</v>
      </c>
    </row>
    <row r="25" spans="1:24" ht="134.25" customHeight="1" x14ac:dyDescent="0.2">
      <c r="A25" s="291">
        <f t="shared" si="4"/>
        <v>6</v>
      </c>
      <c r="B25" s="286" t="s">
        <v>46</v>
      </c>
      <c r="C25" s="286" t="s">
        <v>6</v>
      </c>
      <c r="D25" s="284" t="s">
        <v>40</v>
      </c>
      <c r="E25" s="295" t="s">
        <v>195</v>
      </c>
      <c r="F25" s="287" t="s">
        <v>56</v>
      </c>
      <c r="G25" s="31">
        <v>41534</v>
      </c>
      <c r="H25" s="358" t="s">
        <v>17</v>
      </c>
      <c r="I25" s="298" t="s">
        <v>75</v>
      </c>
      <c r="J25" s="298" t="s">
        <v>131</v>
      </c>
      <c r="K25" s="142" t="s">
        <v>76</v>
      </c>
      <c r="L25" s="31">
        <v>41541</v>
      </c>
      <c r="M25" s="286" t="s">
        <v>101</v>
      </c>
      <c r="N25" s="286" t="s">
        <v>120</v>
      </c>
      <c r="O25" s="204" t="s">
        <v>119</v>
      </c>
      <c r="P25" s="31">
        <v>42185</v>
      </c>
      <c r="Q25" s="286" t="s">
        <v>629</v>
      </c>
      <c r="R25" s="291" t="s">
        <v>52</v>
      </c>
      <c r="S25" s="279">
        <v>42509</v>
      </c>
      <c r="T25" s="286" t="s">
        <v>630</v>
      </c>
      <c r="U25" s="308">
        <f t="shared" si="5"/>
        <v>8</v>
      </c>
      <c r="V25" s="300" t="str">
        <f t="shared" si="7"/>
        <v>Inoportuno</v>
      </c>
      <c r="W25" s="308">
        <f t="shared" si="6"/>
        <v>320</v>
      </c>
      <c r="X25" s="303" t="s">
        <v>334</v>
      </c>
    </row>
    <row r="26" spans="1:24" ht="251.25" customHeight="1" x14ac:dyDescent="0.2">
      <c r="A26" s="291">
        <f t="shared" si="4"/>
        <v>7</v>
      </c>
      <c r="B26" s="286" t="s">
        <v>46</v>
      </c>
      <c r="C26" s="286" t="s">
        <v>6</v>
      </c>
      <c r="D26" s="284" t="s">
        <v>40</v>
      </c>
      <c r="E26" s="295" t="s">
        <v>195</v>
      </c>
      <c r="F26" s="287" t="s">
        <v>56</v>
      </c>
      <c r="G26" s="31">
        <v>41534</v>
      </c>
      <c r="H26" s="358" t="s">
        <v>18</v>
      </c>
      <c r="I26" s="298" t="s">
        <v>75</v>
      </c>
      <c r="J26" s="298" t="s">
        <v>131</v>
      </c>
      <c r="K26" s="142" t="s">
        <v>76</v>
      </c>
      <c r="L26" s="31">
        <v>41541</v>
      </c>
      <c r="M26" s="286" t="s">
        <v>47</v>
      </c>
      <c r="N26" s="286" t="s">
        <v>122</v>
      </c>
      <c r="O26" s="204" t="s">
        <v>121</v>
      </c>
      <c r="P26" s="31">
        <v>42094</v>
      </c>
      <c r="Q26" s="286" t="s">
        <v>631</v>
      </c>
      <c r="R26" s="291" t="s">
        <v>48</v>
      </c>
      <c r="S26" s="31"/>
      <c r="T26" s="291"/>
      <c r="U26" s="308">
        <f t="shared" si="5"/>
        <v>8</v>
      </c>
      <c r="V26" s="300" t="str">
        <f t="shared" si="7"/>
        <v>Inoportuno</v>
      </c>
      <c r="W26" s="308">
        <f t="shared" si="6"/>
        <v>-41489</v>
      </c>
      <c r="X26" s="303" t="s">
        <v>334</v>
      </c>
    </row>
    <row r="27" spans="1:24" ht="178.5" customHeight="1" x14ac:dyDescent="0.2">
      <c r="A27" s="291">
        <f t="shared" si="4"/>
        <v>8</v>
      </c>
      <c r="B27" s="286" t="s">
        <v>46</v>
      </c>
      <c r="C27" s="286" t="s">
        <v>6</v>
      </c>
      <c r="D27" s="284" t="s">
        <v>40</v>
      </c>
      <c r="E27" s="295" t="s">
        <v>195</v>
      </c>
      <c r="F27" s="287" t="s">
        <v>56</v>
      </c>
      <c r="G27" s="31">
        <v>41534</v>
      </c>
      <c r="H27" s="358" t="s">
        <v>19</v>
      </c>
      <c r="I27" s="298" t="s">
        <v>75</v>
      </c>
      <c r="J27" s="298" t="s">
        <v>132</v>
      </c>
      <c r="K27" s="142" t="s">
        <v>76</v>
      </c>
      <c r="L27" s="31">
        <v>41541</v>
      </c>
      <c r="M27" s="286" t="s">
        <v>101</v>
      </c>
      <c r="N27" s="286" t="s">
        <v>242</v>
      </c>
      <c r="O27" s="204" t="s">
        <v>123</v>
      </c>
      <c r="P27" s="31">
        <v>42185</v>
      </c>
      <c r="Q27" s="286" t="s">
        <v>632</v>
      </c>
      <c r="R27" s="291" t="s">
        <v>52</v>
      </c>
      <c r="S27" s="31">
        <v>42509</v>
      </c>
      <c r="T27" s="286" t="s">
        <v>633</v>
      </c>
      <c r="U27" s="308">
        <f t="shared" si="5"/>
        <v>8</v>
      </c>
      <c r="V27" s="300" t="str">
        <f t="shared" si="7"/>
        <v>Inoportuno</v>
      </c>
      <c r="W27" s="308">
        <f t="shared" si="6"/>
        <v>320</v>
      </c>
      <c r="X27" s="303" t="s">
        <v>334</v>
      </c>
    </row>
    <row r="28" spans="1:24" ht="175.5" customHeight="1" x14ac:dyDescent="0.2">
      <c r="A28" s="438"/>
      <c r="B28" s="286" t="s">
        <v>21</v>
      </c>
      <c r="C28" s="286" t="s">
        <v>181</v>
      </c>
      <c r="D28" s="457" t="s">
        <v>40</v>
      </c>
      <c r="E28" s="454" t="s">
        <v>0</v>
      </c>
      <c r="F28" s="287" t="s">
        <v>56</v>
      </c>
      <c r="G28" s="31">
        <v>41596</v>
      </c>
      <c r="H28" s="440" t="s">
        <v>511</v>
      </c>
      <c r="I28" s="467" t="s">
        <v>75</v>
      </c>
      <c r="J28" s="467" t="s">
        <v>132</v>
      </c>
      <c r="K28" s="438" t="s">
        <v>76</v>
      </c>
      <c r="L28" s="31">
        <v>42130</v>
      </c>
      <c r="M28" s="286" t="s">
        <v>47</v>
      </c>
      <c r="N28" s="177" t="s">
        <v>319</v>
      </c>
      <c r="O28" s="330" t="s">
        <v>328</v>
      </c>
      <c r="P28" s="168">
        <v>42185</v>
      </c>
      <c r="Q28" s="286" t="s">
        <v>594</v>
      </c>
      <c r="R28" s="291" t="s">
        <v>52</v>
      </c>
      <c r="S28" s="31">
        <v>42451</v>
      </c>
      <c r="T28" s="510" t="s">
        <v>595</v>
      </c>
      <c r="U28" s="308">
        <f t="shared" ref="U28:U30" si="8">DAYS360(G28,L28,0)+1</f>
        <v>529</v>
      </c>
      <c r="V28" s="300" t="str">
        <f t="shared" ref="V28:V30" si="9">IF(U28&gt;7,"Inoportuno",(IF(U28&lt;0,"No ha formulado PM","Oportuno")))</f>
        <v>Inoportuno</v>
      </c>
      <c r="W28" s="308">
        <f t="shared" ref="W28:W30" si="10">DAYS360(P28,S28,0)+1</f>
        <v>263</v>
      </c>
      <c r="X28" s="506" t="s">
        <v>334</v>
      </c>
    </row>
    <row r="29" spans="1:24" ht="192.75" customHeight="1" x14ac:dyDescent="0.2">
      <c r="A29" s="443"/>
      <c r="B29" s="286" t="s">
        <v>21</v>
      </c>
      <c r="C29" s="286" t="s">
        <v>181</v>
      </c>
      <c r="D29" s="458"/>
      <c r="E29" s="455"/>
      <c r="F29" s="287" t="s">
        <v>56</v>
      </c>
      <c r="G29" s="31">
        <v>41596</v>
      </c>
      <c r="H29" s="441"/>
      <c r="I29" s="468"/>
      <c r="J29" s="468"/>
      <c r="K29" s="443"/>
      <c r="L29" s="31">
        <v>42130</v>
      </c>
      <c r="M29" s="286" t="s">
        <v>47</v>
      </c>
      <c r="N29" s="3" t="s">
        <v>327</v>
      </c>
      <c r="O29" s="330" t="s">
        <v>329</v>
      </c>
      <c r="P29" s="168">
        <v>42185</v>
      </c>
      <c r="Q29" s="287" t="s">
        <v>596</v>
      </c>
      <c r="R29" s="291" t="s">
        <v>52</v>
      </c>
      <c r="S29" s="31">
        <v>42451</v>
      </c>
      <c r="T29" s="451"/>
      <c r="U29" s="308">
        <f t="shared" si="8"/>
        <v>529</v>
      </c>
      <c r="V29" s="300" t="str">
        <f t="shared" si="9"/>
        <v>Inoportuno</v>
      </c>
      <c r="W29" s="308">
        <f t="shared" si="10"/>
        <v>263</v>
      </c>
      <c r="X29" s="506" t="s">
        <v>334</v>
      </c>
    </row>
    <row r="30" spans="1:24" ht="153" x14ac:dyDescent="0.2">
      <c r="A30" s="443"/>
      <c r="B30" s="286" t="s">
        <v>21</v>
      </c>
      <c r="C30" s="286" t="s">
        <v>181</v>
      </c>
      <c r="D30" s="458"/>
      <c r="E30" s="455"/>
      <c r="F30" s="287" t="s">
        <v>56</v>
      </c>
      <c r="G30" s="31">
        <v>41596</v>
      </c>
      <c r="H30" s="441"/>
      <c r="I30" s="468"/>
      <c r="J30" s="468"/>
      <c r="K30" s="443"/>
      <c r="L30" s="31">
        <v>42130</v>
      </c>
      <c r="M30" s="286" t="s">
        <v>47</v>
      </c>
      <c r="N30" s="3" t="s">
        <v>442</v>
      </c>
      <c r="O30" s="330" t="s">
        <v>507</v>
      </c>
      <c r="P30" s="168">
        <v>42185</v>
      </c>
      <c r="Q30" s="286" t="s">
        <v>597</v>
      </c>
      <c r="R30" s="291" t="s">
        <v>52</v>
      </c>
      <c r="S30" s="31">
        <v>42451</v>
      </c>
      <c r="T30" s="451"/>
      <c r="U30" s="308">
        <f t="shared" si="8"/>
        <v>529</v>
      </c>
      <c r="V30" s="300" t="str">
        <f t="shared" si="9"/>
        <v>Inoportuno</v>
      </c>
      <c r="W30" s="308">
        <f t="shared" si="10"/>
        <v>263</v>
      </c>
      <c r="X30" s="506" t="s">
        <v>334</v>
      </c>
    </row>
    <row r="31" spans="1:24" ht="220.5" customHeight="1" x14ac:dyDescent="0.2">
      <c r="A31" s="439"/>
      <c r="B31" s="286" t="s">
        <v>21</v>
      </c>
      <c r="C31" s="286" t="s">
        <v>181</v>
      </c>
      <c r="D31" s="459"/>
      <c r="E31" s="456"/>
      <c r="F31" s="287" t="s">
        <v>56</v>
      </c>
      <c r="G31" s="31">
        <v>41596</v>
      </c>
      <c r="H31" s="442"/>
      <c r="I31" s="469"/>
      <c r="J31" s="469"/>
      <c r="K31" s="439"/>
      <c r="L31" s="31">
        <v>42130</v>
      </c>
      <c r="M31" s="286" t="s">
        <v>47</v>
      </c>
      <c r="N31" s="3" t="s">
        <v>322</v>
      </c>
      <c r="O31" s="330" t="s">
        <v>522</v>
      </c>
      <c r="P31" s="168">
        <v>42185</v>
      </c>
      <c r="Q31" s="286" t="s">
        <v>598</v>
      </c>
      <c r="R31" s="291" t="s">
        <v>52</v>
      </c>
      <c r="S31" s="31">
        <v>42451</v>
      </c>
      <c r="T31" s="452"/>
      <c r="U31" s="308">
        <f t="shared" ref="U31:U59" si="11">DAYS360(G31,L31,0)+1</f>
        <v>529</v>
      </c>
      <c r="V31" s="300" t="str">
        <f t="shared" si="7"/>
        <v>Inoportuno</v>
      </c>
      <c r="W31" s="308">
        <f t="shared" si="6"/>
        <v>263</v>
      </c>
      <c r="X31" s="506" t="s">
        <v>334</v>
      </c>
    </row>
    <row r="32" spans="1:24" ht="382.5" x14ac:dyDescent="0.2">
      <c r="A32" s="291">
        <f t="shared" si="4"/>
        <v>1</v>
      </c>
      <c r="B32" s="304" t="s">
        <v>61</v>
      </c>
      <c r="C32" s="286" t="s">
        <v>140</v>
      </c>
      <c r="D32" s="457" t="s">
        <v>40</v>
      </c>
      <c r="E32" s="454" t="s">
        <v>0</v>
      </c>
      <c r="F32" s="287" t="s">
        <v>104</v>
      </c>
      <c r="G32" s="331">
        <v>41135</v>
      </c>
      <c r="H32" s="332" t="s">
        <v>7</v>
      </c>
      <c r="I32" s="467" t="s">
        <v>75</v>
      </c>
      <c r="J32" s="467" t="s">
        <v>131</v>
      </c>
      <c r="K32" s="438" t="s">
        <v>76</v>
      </c>
      <c r="L32" s="179">
        <v>41165</v>
      </c>
      <c r="M32" s="286" t="s">
        <v>101</v>
      </c>
      <c r="N32" s="286" t="s">
        <v>141</v>
      </c>
      <c r="O32" s="204" t="s">
        <v>243</v>
      </c>
      <c r="P32" s="168">
        <v>41455</v>
      </c>
      <c r="Q32" s="286" t="s">
        <v>531</v>
      </c>
      <c r="R32" s="169" t="s">
        <v>52</v>
      </c>
      <c r="S32" s="168">
        <v>42508</v>
      </c>
      <c r="T32" s="286" t="s">
        <v>547</v>
      </c>
      <c r="U32" s="308">
        <f t="shared" si="11"/>
        <v>30</v>
      </c>
      <c r="V32" s="300" t="str">
        <f t="shared" si="7"/>
        <v>Inoportuno</v>
      </c>
      <c r="W32" s="308">
        <f t="shared" ref="W32:W59" si="12">DAYS360(P32,S32,0)+1</f>
        <v>1039</v>
      </c>
      <c r="X32" s="303" t="s">
        <v>334</v>
      </c>
    </row>
    <row r="33" spans="1:24" ht="25.5" x14ac:dyDescent="0.2">
      <c r="A33" s="291">
        <f>+A32+1</f>
        <v>2</v>
      </c>
      <c r="B33" s="304" t="s">
        <v>61</v>
      </c>
      <c r="C33" s="286"/>
      <c r="D33" s="458"/>
      <c r="E33" s="455"/>
      <c r="F33" s="287" t="s">
        <v>104</v>
      </c>
      <c r="G33" s="331">
        <v>42480</v>
      </c>
      <c r="H33" s="444" t="s">
        <v>548</v>
      </c>
      <c r="I33" s="468"/>
      <c r="J33" s="468"/>
      <c r="K33" s="443"/>
      <c r="L33" s="179">
        <v>42508</v>
      </c>
      <c r="M33" s="286" t="s">
        <v>47</v>
      </c>
      <c r="N33" s="286" t="s">
        <v>134</v>
      </c>
      <c r="O33" s="204" t="s">
        <v>549</v>
      </c>
      <c r="P33" s="168">
        <v>42735</v>
      </c>
      <c r="Q33" s="286"/>
      <c r="R33" s="169" t="s">
        <v>48</v>
      </c>
      <c r="S33" s="168"/>
      <c r="T33" s="169"/>
      <c r="U33" s="308">
        <f t="shared" ref="U33:U35" si="13">DAYS360(G33,L33,0)+1</f>
        <v>29</v>
      </c>
      <c r="V33" s="300" t="str">
        <f t="shared" ref="V33:V35" si="14">IF(U33&gt;7,"Inoportuno",(IF(U33&lt;0,"No ha formulado PM","Oportuno")))</f>
        <v>Inoportuno</v>
      </c>
      <c r="W33" s="308">
        <f t="shared" ref="W33:W35" si="15">DAYS360(P33,S33,0)+1</f>
        <v>-42119</v>
      </c>
      <c r="X33" s="303" t="s">
        <v>334</v>
      </c>
    </row>
    <row r="34" spans="1:24" ht="25.5" x14ac:dyDescent="0.2">
      <c r="A34" s="291">
        <f t="shared" ref="A34:A36" si="16">+A33+1</f>
        <v>3</v>
      </c>
      <c r="B34" s="304" t="s">
        <v>61</v>
      </c>
      <c r="C34" s="286"/>
      <c r="D34" s="458"/>
      <c r="E34" s="455"/>
      <c r="F34" s="287" t="s">
        <v>104</v>
      </c>
      <c r="G34" s="331">
        <v>42480</v>
      </c>
      <c r="H34" s="445"/>
      <c r="I34" s="468"/>
      <c r="J34" s="468"/>
      <c r="K34" s="443"/>
      <c r="L34" s="179">
        <v>42508</v>
      </c>
      <c r="M34" s="286" t="s">
        <v>47</v>
      </c>
      <c r="N34" s="286" t="s">
        <v>134</v>
      </c>
      <c r="O34" s="204" t="s">
        <v>550</v>
      </c>
      <c r="P34" s="168">
        <v>42735</v>
      </c>
      <c r="Q34" s="286"/>
      <c r="R34" s="169" t="s">
        <v>48</v>
      </c>
      <c r="S34" s="168"/>
      <c r="T34" s="169"/>
      <c r="U34" s="308">
        <f t="shared" si="13"/>
        <v>29</v>
      </c>
      <c r="V34" s="300" t="str">
        <f t="shared" si="14"/>
        <v>Inoportuno</v>
      </c>
      <c r="W34" s="308">
        <f t="shared" si="15"/>
        <v>-42119</v>
      </c>
      <c r="X34" s="303" t="s">
        <v>334</v>
      </c>
    </row>
    <row r="35" spans="1:24" ht="25.5" x14ac:dyDescent="0.2">
      <c r="A35" s="291">
        <f t="shared" si="16"/>
        <v>4</v>
      </c>
      <c r="B35" s="304" t="s">
        <v>61</v>
      </c>
      <c r="C35" s="286"/>
      <c r="D35" s="459"/>
      <c r="E35" s="456"/>
      <c r="F35" s="287" t="s">
        <v>104</v>
      </c>
      <c r="G35" s="331">
        <v>42480</v>
      </c>
      <c r="H35" s="446"/>
      <c r="I35" s="469"/>
      <c r="J35" s="469"/>
      <c r="K35" s="439"/>
      <c r="L35" s="179">
        <v>42508</v>
      </c>
      <c r="M35" s="286" t="s">
        <v>47</v>
      </c>
      <c r="N35" s="286" t="s">
        <v>134</v>
      </c>
      <c r="O35" s="204" t="s">
        <v>551</v>
      </c>
      <c r="P35" s="168">
        <v>42735</v>
      </c>
      <c r="Q35" s="286"/>
      <c r="R35" s="169" t="s">
        <v>48</v>
      </c>
      <c r="S35" s="168"/>
      <c r="T35" s="169"/>
      <c r="U35" s="308">
        <f t="shared" si="13"/>
        <v>29</v>
      </c>
      <c r="V35" s="300" t="str">
        <f t="shared" si="14"/>
        <v>Inoportuno</v>
      </c>
      <c r="W35" s="308">
        <f t="shared" si="15"/>
        <v>-42119</v>
      </c>
      <c r="X35" s="303" t="s">
        <v>334</v>
      </c>
    </row>
    <row r="36" spans="1:24" ht="342" customHeight="1" x14ac:dyDescent="0.2">
      <c r="A36" s="291">
        <f t="shared" si="16"/>
        <v>5</v>
      </c>
      <c r="B36" s="286" t="s">
        <v>61</v>
      </c>
      <c r="C36" s="286" t="s">
        <v>204</v>
      </c>
      <c r="D36" s="283" t="s">
        <v>40</v>
      </c>
      <c r="E36" s="295" t="s">
        <v>0</v>
      </c>
      <c r="F36" s="287" t="s">
        <v>55</v>
      </c>
      <c r="G36" s="31">
        <v>41425</v>
      </c>
      <c r="H36" s="357" t="s">
        <v>133</v>
      </c>
      <c r="I36" s="298" t="s">
        <v>75</v>
      </c>
      <c r="J36" s="298" t="s">
        <v>131</v>
      </c>
      <c r="K36" s="142" t="s">
        <v>76</v>
      </c>
      <c r="L36" s="31">
        <v>41457</v>
      </c>
      <c r="M36" s="286" t="s">
        <v>101</v>
      </c>
      <c r="N36" s="286" t="s">
        <v>134</v>
      </c>
      <c r="O36" s="204" t="s">
        <v>297</v>
      </c>
      <c r="P36" s="168">
        <v>42369</v>
      </c>
      <c r="Q36" s="286" t="s">
        <v>532</v>
      </c>
      <c r="R36" s="169" t="s">
        <v>52</v>
      </c>
      <c r="S36" s="168">
        <v>42480</v>
      </c>
      <c r="T36" s="286" t="s">
        <v>533</v>
      </c>
      <c r="U36" s="308">
        <f t="shared" si="11"/>
        <v>33</v>
      </c>
      <c r="V36" s="300" t="str">
        <f t="shared" si="7"/>
        <v>Inoportuno</v>
      </c>
      <c r="W36" s="308">
        <f t="shared" si="12"/>
        <v>111</v>
      </c>
      <c r="X36" s="303" t="s">
        <v>334</v>
      </c>
    </row>
    <row r="37" spans="1:24" ht="127.5" customHeight="1" x14ac:dyDescent="0.2">
      <c r="A37" s="291">
        <f t="shared" si="4"/>
        <v>6</v>
      </c>
      <c r="B37" s="286" t="s">
        <v>61</v>
      </c>
      <c r="C37" s="286" t="s">
        <v>204</v>
      </c>
      <c r="D37" s="283" t="s">
        <v>40</v>
      </c>
      <c r="E37" s="295" t="s">
        <v>0</v>
      </c>
      <c r="F37" s="287" t="s">
        <v>55</v>
      </c>
      <c r="G37" s="31">
        <v>41425</v>
      </c>
      <c r="H37" s="357" t="s">
        <v>205</v>
      </c>
      <c r="I37" s="298" t="s">
        <v>75</v>
      </c>
      <c r="J37" s="298" t="s">
        <v>131</v>
      </c>
      <c r="K37" s="142" t="s">
        <v>76</v>
      </c>
      <c r="L37" s="31">
        <v>41457</v>
      </c>
      <c r="M37" s="286" t="s">
        <v>47</v>
      </c>
      <c r="N37" s="286" t="s">
        <v>135</v>
      </c>
      <c r="O37" s="204" t="s">
        <v>206</v>
      </c>
      <c r="P37" s="168">
        <v>42531</v>
      </c>
      <c r="Q37" s="286" t="s">
        <v>554</v>
      </c>
      <c r="R37" s="169" t="s">
        <v>48</v>
      </c>
      <c r="S37" s="168"/>
      <c r="T37" s="169"/>
      <c r="U37" s="308">
        <f t="shared" si="11"/>
        <v>33</v>
      </c>
      <c r="V37" s="300" t="str">
        <f t="shared" si="7"/>
        <v>Inoportuno</v>
      </c>
      <c r="W37" s="308">
        <f t="shared" si="12"/>
        <v>-41919</v>
      </c>
      <c r="X37" s="303" t="s">
        <v>334</v>
      </c>
    </row>
    <row r="38" spans="1:24" ht="216.75" customHeight="1" x14ac:dyDescent="0.2">
      <c r="A38" s="291">
        <f t="shared" si="4"/>
        <v>7</v>
      </c>
      <c r="B38" s="304" t="s">
        <v>61</v>
      </c>
      <c r="C38" s="286" t="s">
        <v>204</v>
      </c>
      <c r="D38" s="283" t="s">
        <v>40</v>
      </c>
      <c r="E38" s="295" t="s">
        <v>0</v>
      </c>
      <c r="F38" s="287" t="s">
        <v>55</v>
      </c>
      <c r="G38" s="31">
        <v>41425</v>
      </c>
      <c r="H38" s="357" t="s">
        <v>207</v>
      </c>
      <c r="I38" s="298" t="s">
        <v>75</v>
      </c>
      <c r="J38" s="298" t="s">
        <v>132</v>
      </c>
      <c r="K38" s="142" t="s">
        <v>76</v>
      </c>
      <c r="L38" s="31">
        <v>41457</v>
      </c>
      <c r="M38" s="286" t="s">
        <v>47</v>
      </c>
      <c r="N38" s="286" t="s">
        <v>134</v>
      </c>
      <c r="O38" s="204" t="s">
        <v>203</v>
      </c>
      <c r="P38" s="168">
        <v>41639</v>
      </c>
      <c r="Q38" s="286" t="s">
        <v>534</v>
      </c>
      <c r="R38" s="169" t="s">
        <v>52</v>
      </c>
      <c r="S38" s="168">
        <v>42480</v>
      </c>
      <c r="T38" s="171" t="s">
        <v>535</v>
      </c>
      <c r="U38" s="308">
        <f t="shared" si="11"/>
        <v>33</v>
      </c>
      <c r="V38" s="300" t="str">
        <f t="shared" si="7"/>
        <v>Inoportuno</v>
      </c>
      <c r="W38" s="308">
        <f t="shared" si="12"/>
        <v>831</v>
      </c>
      <c r="X38" s="303" t="s">
        <v>334</v>
      </c>
    </row>
    <row r="39" spans="1:24" ht="127.5" customHeight="1" x14ac:dyDescent="0.2">
      <c r="A39" s="291">
        <f t="shared" si="4"/>
        <v>8</v>
      </c>
      <c r="B39" s="304" t="s">
        <v>61</v>
      </c>
      <c r="C39" s="286" t="s">
        <v>204</v>
      </c>
      <c r="D39" s="283" t="s">
        <v>40</v>
      </c>
      <c r="E39" s="295" t="s">
        <v>0</v>
      </c>
      <c r="F39" s="287" t="s">
        <v>55</v>
      </c>
      <c r="G39" s="31">
        <v>41425</v>
      </c>
      <c r="H39" s="357" t="s">
        <v>11</v>
      </c>
      <c r="I39" s="298" t="s">
        <v>75</v>
      </c>
      <c r="J39" s="298" t="s">
        <v>132</v>
      </c>
      <c r="K39" s="142" t="s">
        <v>76</v>
      </c>
      <c r="L39" s="31">
        <v>41457</v>
      </c>
      <c r="M39" s="286" t="s">
        <v>101</v>
      </c>
      <c r="N39" s="286" t="s">
        <v>134</v>
      </c>
      <c r="O39" s="204" t="s">
        <v>136</v>
      </c>
      <c r="P39" s="168">
        <v>41517</v>
      </c>
      <c r="Q39" s="286" t="s">
        <v>536</v>
      </c>
      <c r="R39" s="169" t="s">
        <v>52</v>
      </c>
      <c r="S39" s="168">
        <v>42480</v>
      </c>
      <c r="T39" s="286" t="s">
        <v>537</v>
      </c>
      <c r="U39" s="308">
        <f t="shared" si="11"/>
        <v>33</v>
      </c>
      <c r="V39" s="300" t="str">
        <f t="shared" si="7"/>
        <v>Inoportuno</v>
      </c>
      <c r="W39" s="308">
        <f t="shared" si="12"/>
        <v>951</v>
      </c>
      <c r="X39" s="303" t="s">
        <v>334</v>
      </c>
    </row>
    <row r="40" spans="1:24" ht="179.25" customHeight="1" x14ac:dyDescent="0.2">
      <c r="A40" s="291">
        <f t="shared" si="4"/>
        <v>9</v>
      </c>
      <c r="B40" s="286" t="s">
        <v>61</v>
      </c>
      <c r="C40" s="286" t="s">
        <v>204</v>
      </c>
      <c r="D40" s="283" t="s">
        <v>40</v>
      </c>
      <c r="E40" s="295" t="s">
        <v>0</v>
      </c>
      <c r="F40" s="287" t="s">
        <v>55</v>
      </c>
      <c r="G40" s="31">
        <v>41425</v>
      </c>
      <c r="H40" s="357" t="s">
        <v>208</v>
      </c>
      <c r="I40" s="298" t="s">
        <v>75</v>
      </c>
      <c r="J40" s="298" t="s">
        <v>131</v>
      </c>
      <c r="K40" s="142" t="s">
        <v>76</v>
      </c>
      <c r="L40" s="31">
        <v>41457</v>
      </c>
      <c r="M40" s="286" t="s">
        <v>47</v>
      </c>
      <c r="N40" s="286" t="s">
        <v>134</v>
      </c>
      <c r="O40" s="204" t="s">
        <v>552</v>
      </c>
      <c r="P40" s="168">
        <v>42735</v>
      </c>
      <c r="Q40" s="286" t="s">
        <v>553</v>
      </c>
      <c r="R40" s="169" t="s">
        <v>48</v>
      </c>
      <c r="S40" s="168"/>
      <c r="T40" s="286"/>
      <c r="U40" s="308">
        <f t="shared" si="11"/>
        <v>33</v>
      </c>
      <c r="V40" s="300" t="str">
        <f t="shared" si="7"/>
        <v>Inoportuno</v>
      </c>
      <c r="W40" s="308">
        <f t="shared" si="12"/>
        <v>-42119</v>
      </c>
      <c r="X40" s="303" t="s">
        <v>334</v>
      </c>
    </row>
    <row r="41" spans="1:24" ht="127.5" customHeight="1" x14ac:dyDescent="0.2">
      <c r="A41" s="291">
        <f t="shared" si="4"/>
        <v>10</v>
      </c>
      <c r="B41" s="292" t="s">
        <v>61</v>
      </c>
      <c r="C41" s="292" t="s">
        <v>204</v>
      </c>
      <c r="D41" s="283" t="s">
        <v>40</v>
      </c>
      <c r="E41" s="295" t="s">
        <v>0</v>
      </c>
      <c r="F41" s="306" t="s">
        <v>55</v>
      </c>
      <c r="G41" s="152">
        <v>41425</v>
      </c>
      <c r="H41" s="360" t="s">
        <v>209</v>
      </c>
      <c r="I41" s="298" t="s">
        <v>75</v>
      </c>
      <c r="J41" s="298" t="s">
        <v>131</v>
      </c>
      <c r="K41" s="296" t="s">
        <v>76</v>
      </c>
      <c r="L41" s="31">
        <v>41457</v>
      </c>
      <c r="M41" s="286" t="s">
        <v>47</v>
      </c>
      <c r="N41" s="286" t="s">
        <v>137</v>
      </c>
      <c r="O41" s="204" t="s">
        <v>210</v>
      </c>
      <c r="P41" s="168">
        <v>42735</v>
      </c>
      <c r="Q41" s="286" t="s">
        <v>555</v>
      </c>
      <c r="R41" s="169" t="s">
        <v>48</v>
      </c>
      <c r="S41" s="168"/>
      <c r="T41" s="169"/>
      <c r="U41" s="308">
        <f t="shared" si="11"/>
        <v>33</v>
      </c>
      <c r="V41" s="300" t="str">
        <f t="shared" si="7"/>
        <v>Inoportuno</v>
      </c>
      <c r="W41" s="308">
        <f t="shared" si="12"/>
        <v>-42119</v>
      </c>
      <c r="X41" s="303" t="s">
        <v>334</v>
      </c>
    </row>
    <row r="42" spans="1:24" ht="89.25" customHeight="1" x14ac:dyDescent="0.2">
      <c r="A42" s="291">
        <f t="shared" si="4"/>
        <v>11</v>
      </c>
      <c r="B42" s="295" t="s">
        <v>333</v>
      </c>
      <c r="C42" s="295" t="s">
        <v>27</v>
      </c>
      <c r="D42" s="283" t="s">
        <v>40</v>
      </c>
      <c r="E42" s="295" t="s">
        <v>0</v>
      </c>
      <c r="F42" s="294" t="s">
        <v>104</v>
      </c>
      <c r="G42" s="153">
        <v>41638</v>
      </c>
      <c r="H42" s="356" t="s">
        <v>23</v>
      </c>
      <c r="I42" s="298" t="s">
        <v>75</v>
      </c>
      <c r="J42" s="333" t="s">
        <v>132</v>
      </c>
      <c r="K42" s="296" t="s">
        <v>76</v>
      </c>
      <c r="L42" s="31">
        <v>42537</v>
      </c>
      <c r="M42" s="286" t="s">
        <v>101</v>
      </c>
      <c r="N42" s="286"/>
      <c r="O42" s="368" t="s">
        <v>662</v>
      </c>
      <c r="P42" s="168">
        <v>42537</v>
      </c>
      <c r="Q42" s="204" t="s">
        <v>661</v>
      </c>
      <c r="R42" s="169" t="s">
        <v>52</v>
      </c>
      <c r="S42" s="168">
        <v>42551</v>
      </c>
      <c r="T42" s="204" t="s">
        <v>663</v>
      </c>
      <c r="U42" s="308">
        <f t="shared" si="11"/>
        <v>887</v>
      </c>
      <c r="V42" s="300" t="str">
        <f t="shared" si="7"/>
        <v>Inoportuno</v>
      </c>
      <c r="W42" s="308">
        <f t="shared" si="12"/>
        <v>15</v>
      </c>
      <c r="X42" s="303" t="s">
        <v>334</v>
      </c>
    </row>
    <row r="43" spans="1:24" ht="203.25" customHeight="1" x14ac:dyDescent="0.2">
      <c r="A43" s="291">
        <f t="shared" si="4"/>
        <v>12</v>
      </c>
      <c r="B43" s="295" t="s">
        <v>333</v>
      </c>
      <c r="C43" s="295" t="s">
        <v>27</v>
      </c>
      <c r="D43" s="283" t="s">
        <v>40</v>
      </c>
      <c r="E43" s="295" t="s">
        <v>0</v>
      </c>
      <c r="F43" s="294" t="s">
        <v>104</v>
      </c>
      <c r="G43" s="153">
        <v>41638</v>
      </c>
      <c r="H43" s="356" t="s">
        <v>25</v>
      </c>
      <c r="I43" s="298" t="s">
        <v>75</v>
      </c>
      <c r="J43" s="333" t="s">
        <v>132</v>
      </c>
      <c r="K43" s="296" t="s">
        <v>76</v>
      </c>
      <c r="L43" s="31">
        <v>42551</v>
      </c>
      <c r="M43" s="286" t="s">
        <v>47</v>
      </c>
      <c r="N43" s="286" t="s">
        <v>142</v>
      </c>
      <c r="O43" s="368" t="s">
        <v>695</v>
      </c>
      <c r="P43" s="168">
        <v>42750</v>
      </c>
      <c r="Q43" s="286" t="s">
        <v>696</v>
      </c>
      <c r="R43" s="169" t="s">
        <v>52</v>
      </c>
      <c r="S43" s="168">
        <v>42663</v>
      </c>
      <c r="T43" s="390" t="s">
        <v>697</v>
      </c>
      <c r="U43" s="308">
        <f t="shared" si="11"/>
        <v>901</v>
      </c>
      <c r="V43" s="300" t="str">
        <f t="shared" si="7"/>
        <v>Inoportuno</v>
      </c>
      <c r="W43" s="308">
        <f t="shared" si="12"/>
        <v>-84</v>
      </c>
      <c r="X43" s="303" t="s">
        <v>334</v>
      </c>
    </row>
    <row r="44" spans="1:24" ht="222.75" customHeight="1" x14ac:dyDescent="0.2">
      <c r="A44" s="291">
        <f t="shared" si="4"/>
        <v>13</v>
      </c>
      <c r="B44" s="295" t="s">
        <v>333</v>
      </c>
      <c r="C44" s="295" t="s">
        <v>27</v>
      </c>
      <c r="D44" s="283" t="s">
        <v>40</v>
      </c>
      <c r="E44" s="295" t="s">
        <v>0</v>
      </c>
      <c r="F44" s="294" t="s">
        <v>104</v>
      </c>
      <c r="G44" s="153">
        <v>41638</v>
      </c>
      <c r="H44" s="356" t="s">
        <v>26</v>
      </c>
      <c r="I44" s="298" t="s">
        <v>75</v>
      </c>
      <c r="J44" s="333" t="s">
        <v>132</v>
      </c>
      <c r="K44" s="296" t="s">
        <v>76</v>
      </c>
      <c r="L44" s="31">
        <v>42537</v>
      </c>
      <c r="M44" s="286" t="s">
        <v>101</v>
      </c>
      <c r="N44" s="286"/>
      <c r="O44" s="204" t="s">
        <v>662</v>
      </c>
      <c r="P44" s="168">
        <v>42537</v>
      </c>
      <c r="Q44" s="286" t="s">
        <v>664</v>
      </c>
      <c r="R44" s="169" t="s">
        <v>52</v>
      </c>
      <c r="S44" s="168">
        <v>42551</v>
      </c>
      <c r="T44" s="204" t="s">
        <v>665</v>
      </c>
      <c r="U44" s="308">
        <f t="shared" si="11"/>
        <v>887</v>
      </c>
      <c r="V44" s="300" t="str">
        <f t="shared" si="7"/>
        <v>Inoportuno</v>
      </c>
      <c r="W44" s="308">
        <f t="shared" si="12"/>
        <v>15</v>
      </c>
      <c r="X44" s="303" t="s">
        <v>334</v>
      </c>
    </row>
    <row r="45" spans="1:24" ht="137.25" customHeight="1" x14ac:dyDescent="0.2">
      <c r="A45" s="291">
        <f t="shared" si="4"/>
        <v>14</v>
      </c>
      <c r="B45" s="295" t="s">
        <v>333</v>
      </c>
      <c r="C45" s="295" t="s">
        <v>27</v>
      </c>
      <c r="D45" s="283" t="s">
        <v>40</v>
      </c>
      <c r="E45" s="295" t="s">
        <v>0</v>
      </c>
      <c r="F45" s="294" t="s">
        <v>104</v>
      </c>
      <c r="G45" s="153">
        <v>41638</v>
      </c>
      <c r="H45" s="356" t="s">
        <v>24</v>
      </c>
      <c r="I45" s="298" t="s">
        <v>75</v>
      </c>
      <c r="J45" s="333" t="s">
        <v>131</v>
      </c>
      <c r="K45" s="296" t="s">
        <v>76</v>
      </c>
      <c r="L45" s="31">
        <v>42581</v>
      </c>
      <c r="M45" s="286" t="s">
        <v>47</v>
      </c>
      <c r="N45" s="286" t="s">
        <v>142</v>
      </c>
      <c r="O45" s="204" t="s">
        <v>698</v>
      </c>
      <c r="P45" s="168">
        <v>42612</v>
      </c>
      <c r="Q45" s="204" t="s">
        <v>714</v>
      </c>
      <c r="R45" s="169" t="s">
        <v>48</v>
      </c>
      <c r="S45" s="168"/>
      <c r="T45" s="169"/>
      <c r="U45" s="308">
        <f t="shared" si="11"/>
        <v>931</v>
      </c>
      <c r="V45" s="300" t="str">
        <f t="shared" si="7"/>
        <v>Inoportuno</v>
      </c>
      <c r="W45" s="308">
        <f t="shared" si="12"/>
        <v>-41999</v>
      </c>
      <c r="X45" s="303" t="s">
        <v>334</v>
      </c>
    </row>
    <row r="46" spans="1:24" ht="351" customHeight="1" x14ac:dyDescent="0.2">
      <c r="A46" s="419">
        <f t="shared" si="4"/>
        <v>15</v>
      </c>
      <c r="B46" s="295" t="s">
        <v>333</v>
      </c>
      <c r="C46" s="295" t="s">
        <v>138</v>
      </c>
      <c r="D46" s="293" t="s">
        <v>40</v>
      </c>
      <c r="E46" s="295" t="s">
        <v>0</v>
      </c>
      <c r="F46" s="294" t="s">
        <v>104</v>
      </c>
      <c r="G46" s="153">
        <v>41243</v>
      </c>
      <c r="H46" s="334" t="s">
        <v>4</v>
      </c>
      <c r="I46" s="298" t="s">
        <v>75</v>
      </c>
      <c r="J46" s="298" t="s">
        <v>132</v>
      </c>
      <c r="K46" s="142" t="s">
        <v>76</v>
      </c>
      <c r="L46" s="31">
        <v>41318</v>
      </c>
      <c r="M46" s="286" t="s">
        <v>101</v>
      </c>
      <c r="N46" s="286" t="s">
        <v>142</v>
      </c>
      <c r="O46" s="204" t="s">
        <v>143</v>
      </c>
      <c r="P46" s="168">
        <v>41455</v>
      </c>
      <c r="Q46" s="289" t="s">
        <v>427</v>
      </c>
      <c r="R46" s="169" t="s">
        <v>52</v>
      </c>
      <c r="S46" s="168">
        <v>42381</v>
      </c>
      <c r="T46" s="171" t="s">
        <v>443</v>
      </c>
      <c r="U46" s="308">
        <f t="shared" si="11"/>
        <v>74</v>
      </c>
      <c r="V46" s="300" t="str">
        <f t="shared" si="7"/>
        <v>Inoportuno</v>
      </c>
      <c r="W46" s="308">
        <f t="shared" si="12"/>
        <v>913</v>
      </c>
      <c r="X46" s="303" t="s">
        <v>334</v>
      </c>
    </row>
    <row r="47" spans="1:24" ht="217.5" customHeight="1" x14ac:dyDescent="0.2">
      <c r="A47" s="418"/>
      <c r="B47" s="295" t="s">
        <v>333</v>
      </c>
      <c r="C47" s="295" t="s">
        <v>138</v>
      </c>
      <c r="D47" s="293" t="s">
        <v>40</v>
      </c>
      <c r="E47" s="295" t="s">
        <v>0</v>
      </c>
      <c r="F47" s="294" t="s">
        <v>104</v>
      </c>
      <c r="G47" s="153">
        <v>41243</v>
      </c>
      <c r="H47" s="334" t="s">
        <v>5</v>
      </c>
      <c r="I47" s="298" t="s">
        <v>75</v>
      </c>
      <c r="J47" s="298" t="s">
        <v>132</v>
      </c>
      <c r="K47" s="142" t="s">
        <v>76</v>
      </c>
      <c r="L47" s="31">
        <v>41318</v>
      </c>
      <c r="M47" s="286" t="s">
        <v>101</v>
      </c>
      <c r="N47" s="286" t="s">
        <v>142</v>
      </c>
      <c r="O47" s="204" t="s">
        <v>211</v>
      </c>
      <c r="P47" s="168">
        <v>41455</v>
      </c>
      <c r="Q47" s="289" t="s">
        <v>444</v>
      </c>
      <c r="R47" s="169" t="s">
        <v>52</v>
      </c>
      <c r="S47" s="168">
        <v>42381</v>
      </c>
      <c r="T47" s="171" t="s">
        <v>445</v>
      </c>
      <c r="U47" s="308">
        <f t="shared" si="11"/>
        <v>74</v>
      </c>
      <c r="V47" s="300" t="str">
        <f t="shared" si="7"/>
        <v>Inoportuno</v>
      </c>
      <c r="W47" s="308">
        <f t="shared" si="12"/>
        <v>913</v>
      </c>
      <c r="X47" s="303" t="s">
        <v>334</v>
      </c>
    </row>
    <row r="48" spans="1:24" ht="237" customHeight="1" x14ac:dyDescent="0.2">
      <c r="A48" s="418"/>
      <c r="B48" s="295" t="s">
        <v>333</v>
      </c>
      <c r="C48" s="295" t="s">
        <v>138</v>
      </c>
      <c r="D48" s="293" t="s">
        <v>40</v>
      </c>
      <c r="E48" s="295" t="s">
        <v>0</v>
      </c>
      <c r="F48" s="294" t="s">
        <v>104</v>
      </c>
      <c r="G48" s="153">
        <v>41243</v>
      </c>
      <c r="H48" s="334" t="s">
        <v>144</v>
      </c>
      <c r="I48" s="298" t="s">
        <v>75</v>
      </c>
      <c r="J48" s="298" t="s">
        <v>131</v>
      </c>
      <c r="K48" s="142" t="s">
        <v>76</v>
      </c>
      <c r="L48" s="31">
        <v>41318</v>
      </c>
      <c r="M48" s="286" t="s">
        <v>47</v>
      </c>
      <c r="N48" s="286" t="s">
        <v>142</v>
      </c>
      <c r="O48" s="204" t="s">
        <v>713</v>
      </c>
      <c r="P48" s="168">
        <v>42612</v>
      </c>
      <c r="Q48" s="289" t="s">
        <v>715</v>
      </c>
      <c r="R48" s="169" t="s">
        <v>48</v>
      </c>
      <c r="S48" s="168"/>
      <c r="T48" s="169"/>
      <c r="U48" s="308">
        <f t="shared" si="11"/>
        <v>74</v>
      </c>
      <c r="V48" s="300" t="str">
        <f t="shared" si="7"/>
        <v>Inoportuno</v>
      </c>
      <c r="W48" s="308">
        <f t="shared" si="12"/>
        <v>-41999</v>
      </c>
      <c r="X48" s="303" t="s">
        <v>334</v>
      </c>
    </row>
    <row r="49" spans="1:24" ht="140.25" customHeight="1" x14ac:dyDescent="0.2">
      <c r="A49" s="418"/>
      <c r="B49" s="295" t="s">
        <v>59</v>
      </c>
      <c r="C49" s="295" t="s">
        <v>212</v>
      </c>
      <c r="D49" s="293" t="s">
        <v>43</v>
      </c>
      <c r="E49" s="295" t="s">
        <v>195</v>
      </c>
      <c r="F49" s="294" t="s">
        <v>55</v>
      </c>
      <c r="G49" s="153">
        <v>41697</v>
      </c>
      <c r="H49" s="334" t="s">
        <v>147</v>
      </c>
      <c r="I49" s="298" t="s">
        <v>75</v>
      </c>
      <c r="J49" s="298" t="s">
        <v>131</v>
      </c>
      <c r="K49" s="142" t="s">
        <v>76</v>
      </c>
      <c r="L49" s="31">
        <v>41726</v>
      </c>
      <c r="M49" s="286" t="s">
        <v>47</v>
      </c>
      <c r="N49" s="286" t="s">
        <v>148</v>
      </c>
      <c r="O49" s="204" t="s">
        <v>213</v>
      </c>
      <c r="P49" s="31">
        <v>42004</v>
      </c>
      <c r="Q49" s="286" t="s">
        <v>446</v>
      </c>
      <c r="R49" s="291" t="s">
        <v>48</v>
      </c>
      <c r="S49" s="31"/>
      <c r="T49" s="291"/>
      <c r="U49" s="308">
        <f t="shared" si="11"/>
        <v>32</v>
      </c>
      <c r="V49" s="300" t="str">
        <f t="shared" si="7"/>
        <v>Inoportuno</v>
      </c>
      <c r="W49" s="308">
        <f t="shared" si="12"/>
        <v>-41399</v>
      </c>
      <c r="X49" s="303" t="s">
        <v>334</v>
      </c>
    </row>
    <row r="50" spans="1:24" ht="258.75" customHeight="1" x14ac:dyDescent="0.2">
      <c r="A50" s="418"/>
      <c r="B50" s="295" t="s">
        <v>46</v>
      </c>
      <c r="C50" s="295" t="s">
        <v>155</v>
      </c>
      <c r="D50" s="457" t="s">
        <v>43</v>
      </c>
      <c r="E50" s="454" t="s">
        <v>195</v>
      </c>
      <c r="F50" s="294" t="s">
        <v>56</v>
      </c>
      <c r="G50" s="153">
        <v>41684</v>
      </c>
      <c r="H50" s="447" t="s">
        <v>173</v>
      </c>
      <c r="I50" s="479" t="s">
        <v>75</v>
      </c>
      <c r="J50" s="479" t="s">
        <v>131</v>
      </c>
      <c r="K50" s="480" t="s">
        <v>76</v>
      </c>
      <c r="L50" s="31">
        <v>41753</v>
      </c>
      <c r="M50" s="286" t="s">
        <v>47</v>
      </c>
      <c r="N50" s="286" t="s">
        <v>112</v>
      </c>
      <c r="O50" s="204" t="s">
        <v>174</v>
      </c>
      <c r="P50" s="31">
        <v>42063</v>
      </c>
      <c r="Q50" s="286" t="s">
        <v>634</v>
      </c>
      <c r="R50" s="291" t="s">
        <v>52</v>
      </c>
      <c r="S50" s="31">
        <v>42509</v>
      </c>
      <c r="T50" s="286" t="s">
        <v>635</v>
      </c>
      <c r="U50" s="308">
        <f t="shared" si="11"/>
        <v>71</v>
      </c>
      <c r="V50" s="300" t="str">
        <f t="shared" si="7"/>
        <v>Inoportuno</v>
      </c>
      <c r="W50" s="308">
        <f t="shared" si="12"/>
        <v>440</v>
      </c>
      <c r="X50" s="506" t="s">
        <v>334</v>
      </c>
    </row>
    <row r="51" spans="1:24" ht="45" customHeight="1" x14ac:dyDescent="0.2">
      <c r="A51" s="418"/>
      <c r="B51" s="295" t="s">
        <v>46</v>
      </c>
      <c r="C51" s="295" t="s">
        <v>155</v>
      </c>
      <c r="D51" s="458"/>
      <c r="E51" s="455"/>
      <c r="F51" s="294" t="s">
        <v>56</v>
      </c>
      <c r="G51" s="153">
        <v>41684</v>
      </c>
      <c r="H51" s="448"/>
      <c r="I51" s="479"/>
      <c r="J51" s="479"/>
      <c r="K51" s="505"/>
      <c r="L51" s="31">
        <v>41753</v>
      </c>
      <c r="M51" s="286" t="s">
        <v>47</v>
      </c>
      <c r="N51" s="286" t="s">
        <v>112</v>
      </c>
      <c r="O51" s="204" t="s">
        <v>214</v>
      </c>
      <c r="P51" s="31">
        <v>42063</v>
      </c>
      <c r="Q51" s="286" t="s">
        <v>636</v>
      </c>
      <c r="R51" s="291" t="s">
        <v>52</v>
      </c>
      <c r="S51" s="31">
        <v>42509</v>
      </c>
      <c r="T51" s="291"/>
      <c r="U51" s="308">
        <f t="shared" si="11"/>
        <v>71</v>
      </c>
      <c r="V51" s="300" t="str">
        <f t="shared" si="7"/>
        <v>Inoportuno</v>
      </c>
      <c r="W51" s="308">
        <f t="shared" si="12"/>
        <v>440</v>
      </c>
      <c r="X51" s="506" t="s">
        <v>334</v>
      </c>
    </row>
    <row r="52" spans="1:24" ht="189.75" customHeight="1" x14ac:dyDescent="0.2">
      <c r="A52" s="418"/>
      <c r="B52" s="295" t="s">
        <v>46</v>
      </c>
      <c r="C52" s="295" t="s">
        <v>155</v>
      </c>
      <c r="D52" s="458"/>
      <c r="E52" s="455"/>
      <c r="F52" s="294" t="s">
        <v>56</v>
      </c>
      <c r="G52" s="153">
        <v>41684</v>
      </c>
      <c r="H52" s="448"/>
      <c r="I52" s="479"/>
      <c r="J52" s="479"/>
      <c r="K52" s="505"/>
      <c r="L52" s="31">
        <v>41753</v>
      </c>
      <c r="M52" s="286" t="s">
        <v>47</v>
      </c>
      <c r="N52" s="286" t="s">
        <v>112</v>
      </c>
      <c r="O52" s="204" t="s">
        <v>175</v>
      </c>
      <c r="P52" s="31">
        <v>41805</v>
      </c>
      <c r="Q52" s="286" t="s">
        <v>637</v>
      </c>
      <c r="R52" s="291" t="s">
        <v>52</v>
      </c>
      <c r="S52" s="31">
        <v>42509</v>
      </c>
      <c r="T52" s="291"/>
      <c r="U52" s="308">
        <f t="shared" si="11"/>
        <v>71</v>
      </c>
      <c r="V52" s="300" t="str">
        <f t="shared" si="7"/>
        <v>Inoportuno</v>
      </c>
      <c r="W52" s="308">
        <f t="shared" si="12"/>
        <v>695</v>
      </c>
      <c r="X52" s="506" t="s">
        <v>334</v>
      </c>
    </row>
    <row r="53" spans="1:24" ht="201" customHeight="1" x14ac:dyDescent="0.2">
      <c r="A53" s="417"/>
      <c r="B53" s="295" t="s">
        <v>46</v>
      </c>
      <c r="C53" s="295" t="s">
        <v>155</v>
      </c>
      <c r="D53" s="459"/>
      <c r="E53" s="456"/>
      <c r="F53" s="294" t="s">
        <v>56</v>
      </c>
      <c r="G53" s="153">
        <v>41684</v>
      </c>
      <c r="H53" s="449"/>
      <c r="I53" s="479"/>
      <c r="J53" s="479"/>
      <c r="K53" s="481"/>
      <c r="L53" s="31">
        <v>41753</v>
      </c>
      <c r="M53" s="286" t="s">
        <v>47</v>
      </c>
      <c r="N53" s="286" t="s">
        <v>112</v>
      </c>
      <c r="O53" s="204" t="s">
        <v>176</v>
      </c>
      <c r="P53" s="31">
        <v>41789</v>
      </c>
      <c r="Q53" s="286" t="s">
        <v>638</v>
      </c>
      <c r="R53" s="291" t="s">
        <v>48</v>
      </c>
      <c r="S53" s="31"/>
      <c r="T53" s="291"/>
      <c r="U53" s="308">
        <f t="shared" si="11"/>
        <v>71</v>
      </c>
      <c r="V53" s="300" t="str">
        <f t="shared" si="7"/>
        <v>Inoportuno</v>
      </c>
      <c r="W53" s="308">
        <f t="shared" si="12"/>
        <v>-41189</v>
      </c>
      <c r="X53" s="506" t="s">
        <v>334</v>
      </c>
    </row>
    <row r="54" spans="1:24" ht="236.25" customHeight="1" x14ac:dyDescent="0.2">
      <c r="A54" s="291">
        <f t="shared" si="4"/>
        <v>1</v>
      </c>
      <c r="B54" s="295" t="s">
        <v>62</v>
      </c>
      <c r="C54" s="295" t="s">
        <v>156</v>
      </c>
      <c r="D54" s="457" t="s">
        <v>43</v>
      </c>
      <c r="E54" s="454" t="s">
        <v>195</v>
      </c>
      <c r="F54" s="294" t="s">
        <v>56</v>
      </c>
      <c r="G54" s="153">
        <v>41704</v>
      </c>
      <c r="H54" s="334" t="s">
        <v>157</v>
      </c>
      <c r="I54" s="479" t="s">
        <v>75</v>
      </c>
      <c r="J54" s="479" t="s">
        <v>132</v>
      </c>
      <c r="K54" s="480" t="s">
        <v>76</v>
      </c>
      <c r="L54" s="31">
        <v>41737</v>
      </c>
      <c r="M54" s="286" t="s">
        <v>101</v>
      </c>
      <c r="N54" s="286" t="s">
        <v>56</v>
      </c>
      <c r="O54" s="204" t="s">
        <v>215</v>
      </c>
      <c r="P54" s="31">
        <v>42078</v>
      </c>
      <c r="Q54" s="286" t="s">
        <v>578</v>
      </c>
      <c r="R54" s="291" t="s">
        <v>52</v>
      </c>
      <c r="S54" s="31"/>
      <c r="T54" s="286" t="s">
        <v>579</v>
      </c>
      <c r="U54" s="308">
        <f t="shared" si="11"/>
        <v>33</v>
      </c>
      <c r="V54" s="300" t="str">
        <f t="shared" si="7"/>
        <v>Inoportuno</v>
      </c>
      <c r="W54" s="308">
        <f t="shared" si="12"/>
        <v>-41474</v>
      </c>
      <c r="X54" s="506" t="s">
        <v>334</v>
      </c>
    </row>
    <row r="55" spans="1:24" ht="408.75" customHeight="1" x14ac:dyDescent="0.2">
      <c r="A55" s="291">
        <f t="shared" si="4"/>
        <v>2</v>
      </c>
      <c r="B55" s="295" t="s">
        <v>62</v>
      </c>
      <c r="C55" s="295" t="s">
        <v>156</v>
      </c>
      <c r="D55" s="458"/>
      <c r="E55" s="455"/>
      <c r="F55" s="294" t="s">
        <v>56</v>
      </c>
      <c r="G55" s="153">
        <v>41704</v>
      </c>
      <c r="H55" s="334" t="s">
        <v>157</v>
      </c>
      <c r="I55" s="479"/>
      <c r="J55" s="479"/>
      <c r="K55" s="505"/>
      <c r="L55" s="31">
        <v>41737</v>
      </c>
      <c r="M55" s="286" t="s">
        <v>47</v>
      </c>
      <c r="N55" s="286" t="s">
        <v>56</v>
      </c>
      <c r="O55" s="204" t="s">
        <v>158</v>
      </c>
      <c r="P55" s="31">
        <v>42078</v>
      </c>
      <c r="Q55" s="287" t="s">
        <v>580</v>
      </c>
      <c r="R55" s="291" t="s">
        <v>52</v>
      </c>
      <c r="S55" s="31">
        <v>42467</v>
      </c>
      <c r="T55" s="286" t="s">
        <v>579</v>
      </c>
      <c r="U55" s="308">
        <f t="shared" si="11"/>
        <v>33</v>
      </c>
      <c r="V55" s="300" t="str">
        <f t="shared" si="7"/>
        <v>Inoportuno</v>
      </c>
      <c r="W55" s="308">
        <f t="shared" si="12"/>
        <v>383</v>
      </c>
      <c r="X55" s="506" t="s">
        <v>334</v>
      </c>
    </row>
    <row r="56" spans="1:24" ht="165" customHeight="1" x14ac:dyDescent="0.2">
      <c r="A56" s="291">
        <f t="shared" si="4"/>
        <v>3</v>
      </c>
      <c r="B56" s="295" t="s">
        <v>60</v>
      </c>
      <c r="C56" s="295" t="s">
        <v>216</v>
      </c>
      <c r="D56" s="457" t="s">
        <v>43</v>
      </c>
      <c r="E56" s="454" t="s">
        <v>195</v>
      </c>
      <c r="F56" s="294" t="s">
        <v>56</v>
      </c>
      <c r="G56" s="153">
        <v>41714</v>
      </c>
      <c r="H56" s="334" t="s">
        <v>150</v>
      </c>
      <c r="I56" s="467" t="s">
        <v>75</v>
      </c>
      <c r="J56" s="467" t="s">
        <v>131</v>
      </c>
      <c r="K56" s="438" t="s">
        <v>76</v>
      </c>
      <c r="L56" s="31">
        <v>41726</v>
      </c>
      <c r="M56" s="286" t="s">
        <v>47</v>
      </c>
      <c r="N56" s="286" t="s">
        <v>148</v>
      </c>
      <c r="O56" s="204" t="s">
        <v>151</v>
      </c>
      <c r="P56" s="31">
        <v>42004</v>
      </c>
      <c r="Q56" s="286" t="s">
        <v>447</v>
      </c>
      <c r="R56" s="291" t="s">
        <v>48</v>
      </c>
      <c r="S56" s="31"/>
      <c r="T56" s="291"/>
      <c r="U56" s="308">
        <f t="shared" si="11"/>
        <v>13</v>
      </c>
      <c r="V56" s="300" t="str">
        <f t="shared" si="7"/>
        <v>Inoportuno</v>
      </c>
      <c r="W56" s="308">
        <f t="shared" si="12"/>
        <v>-41399</v>
      </c>
      <c r="X56" s="506" t="s">
        <v>334</v>
      </c>
    </row>
    <row r="57" spans="1:24" ht="166.5" customHeight="1" x14ac:dyDescent="0.2">
      <c r="A57" s="291">
        <f t="shared" si="4"/>
        <v>4</v>
      </c>
      <c r="B57" s="295" t="s">
        <v>60</v>
      </c>
      <c r="C57" s="295" t="s">
        <v>216</v>
      </c>
      <c r="D57" s="458"/>
      <c r="E57" s="455"/>
      <c r="F57" s="294" t="s">
        <v>56</v>
      </c>
      <c r="G57" s="153">
        <v>41714</v>
      </c>
      <c r="H57" s="334" t="s">
        <v>150</v>
      </c>
      <c r="I57" s="468"/>
      <c r="J57" s="468"/>
      <c r="K57" s="443"/>
      <c r="L57" s="31">
        <v>41726</v>
      </c>
      <c r="M57" s="286" t="s">
        <v>47</v>
      </c>
      <c r="N57" s="286" t="s">
        <v>148</v>
      </c>
      <c r="O57" s="204" t="s">
        <v>152</v>
      </c>
      <c r="P57" s="31">
        <v>42004</v>
      </c>
      <c r="Q57" s="286" t="s">
        <v>448</v>
      </c>
      <c r="R57" s="291" t="s">
        <v>48</v>
      </c>
      <c r="S57" s="31"/>
      <c r="T57" s="291"/>
      <c r="U57" s="308">
        <f t="shared" si="11"/>
        <v>13</v>
      </c>
      <c r="V57" s="300" t="str">
        <f t="shared" si="7"/>
        <v>Inoportuno</v>
      </c>
      <c r="W57" s="308">
        <f t="shared" si="12"/>
        <v>-41399</v>
      </c>
      <c r="X57" s="506" t="s">
        <v>334</v>
      </c>
    </row>
    <row r="58" spans="1:24" ht="89.25" customHeight="1" x14ac:dyDescent="0.2">
      <c r="A58" s="291">
        <f t="shared" si="4"/>
        <v>5</v>
      </c>
      <c r="B58" s="295" t="s">
        <v>60</v>
      </c>
      <c r="C58" s="295" t="s">
        <v>216</v>
      </c>
      <c r="D58" s="458"/>
      <c r="E58" s="455"/>
      <c r="F58" s="294" t="s">
        <v>56</v>
      </c>
      <c r="G58" s="153">
        <v>41714</v>
      </c>
      <c r="H58" s="334" t="s">
        <v>150</v>
      </c>
      <c r="I58" s="468"/>
      <c r="J58" s="468"/>
      <c r="K58" s="443"/>
      <c r="L58" s="31">
        <v>41726</v>
      </c>
      <c r="M58" s="286" t="s">
        <v>47</v>
      </c>
      <c r="N58" s="286" t="s">
        <v>148</v>
      </c>
      <c r="O58" s="204" t="s">
        <v>153</v>
      </c>
      <c r="P58" s="31">
        <v>42004</v>
      </c>
      <c r="Q58" s="286" t="s">
        <v>415</v>
      </c>
      <c r="R58" s="291" t="s">
        <v>48</v>
      </c>
      <c r="S58" s="31"/>
      <c r="T58" s="291"/>
      <c r="U58" s="308">
        <f t="shared" si="11"/>
        <v>13</v>
      </c>
      <c r="V58" s="300" t="str">
        <f t="shared" si="7"/>
        <v>Inoportuno</v>
      </c>
      <c r="W58" s="308">
        <f t="shared" si="12"/>
        <v>-41399</v>
      </c>
      <c r="X58" s="506" t="s">
        <v>334</v>
      </c>
    </row>
    <row r="59" spans="1:24" ht="63.75" customHeight="1" x14ac:dyDescent="0.2">
      <c r="A59" s="291">
        <f t="shared" si="4"/>
        <v>6</v>
      </c>
      <c r="B59" s="295" t="s">
        <v>60</v>
      </c>
      <c r="C59" s="295" t="s">
        <v>216</v>
      </c>
      <c r="D59" s="459"/>
      <c r="E59" s="456"/>
      <c r="F59" s="294" t="s">
        <v>56</v>
      </c>
      <c r="G59" s="153">
        <v>41714</v>
      </c>
      <c r="H59" s="334" t="s">
        <v>150</v>
      </c>
      <c r="I59" s="469"/>
      <c r="J59" s="469"/>
      <c r="K59" s="439"/>
      <c r="L59" s="31">
        <v>41726</v>
      </c>
      <c r="M59" s="286" t="s">
        <v>47</v>
      </c>
      <c r="N59" s="286" t="s">
        <v>148</v>
      </c>
      <c r="O59" s="204" t="s">
        <v>217</v>
      </c>
      <c r="P59" s="31">
        <v>42004</v>
      </c>
      <c r="Q59" s="286"/>
      <c r="R59" s="291" t="s">
        <v>48</v>
      </c>
      <c r="S59" s="31"/>
      <c r="T59" s="291"/>
      <c r="U59" s="308">
        <f t="shared" si="11"/>
        <v>13</v>
      </c>
      <c r="V59" s="300" t="str">
        <f t="shared" si="7"/>
        <v>Inoportuno</v>
      </c>
      <c r="W59" s="308">
        <f t="shared" si="12"/>
        <v>-41399</v>
      </c>
      <c r="X59" s="506" t="s">
        <v>334</v>
      </c>
    </row>
    <row r="60" spans="1:24" ht="168.75" customHeight="1" x14ac:dyDescent="0.2">
      <c r="A60" s="291">
        <f t="shared" si="4"/>
        <v>7</v>
      </c>
      <c r="B60" s="295" t="s">
        <v>333</v>
      </c>
      <c r="C60" s="335" t="s">
        <v>177</v>
      </c>
      <c r="D60" s="457" t="s">
        <v>177</v>
      </c>
      <c r="E60" s="454" t="s">
        <v>0</v>
      </c>
      <c r="F60" s="287" t="s">
        <v>104</v>
      </c>
      <c r="G60" s="163">
        <v>41901</v>
      </c>
      <c r="H60" s="482" t="s">
        <v>224</v>
      </c>
      <c r="I60" s="479" t="s">
        <v>75</v>
      </c>
      <c r="J60" s="479" t="s">
        <v>131</v>
      </c>
      <c r="K60" s="480" t="s">
        <v>76</v>
      </c>
      <c r="L60" s="31">
        <v>41933</v>
      </c>
      <c r="M60" s="286" t="s">
        <v>101</v>
      </c>
      <c r="N60" s="286" t="s">
        <v>142</v>
      </c>
      <c r="O60" s="368" t="s">
        <v>703</v>
      </c>
      <c r="P60" s="168">
        <v>42612</v>
      </c>
      <c r="Q60" s="286" t="s">
        <v>704</v>
      </c>
      <c r="R60" s="169" t="s">
        <v>48</v>
      </c>
      <c r="S60" s="168">
        <v>42381</v>
      </c>
      <c r="T60" s="171" t="s">
        <v>705</v>
      </c>
      <c r="U60" s="308">
        <f>DAYS360(G60,L60,0)+1</f>
        <v>33</v>
      </c>
      <c r="V60" s="300" t="str">
        <f t="shared" si="7"/>
        <v>Inoportuno</v>
      </c>
      <c r="W60" s="308">
        <f>DAYS360(P60,S60,0)+1</f>
        <v>-227</v>
      </c>
      <c r="X60" s="506" t="s">
        <v>334</v>
      </c>
    </row>
    <row r="61" spans="1:24" ht="117.75" customHeight="1" x14ac:dyDescent="0.2">
      <c r="A61" s="291">
        <f t="shared" si="4"/>
        <v>8</v>
      </c>
      <c r="B61" s="295" t="s">
        <v>333</v>
      </c>
      <c r="C61" s="335" t="s">
        <v>177</v>
      </c>
      <c r="D61" s="458"/>
      <c r="E61" s="455"/>
      <c r="F61" s="287" t="s">
        <v>104</v>
      </c>
      <c r="G61" s="163">
        <v>41901</v>
      </c>
      <c r="H61" s="483"/>
      <c r="I61" s="479"/>
      <c r="J61" s="479"/>
      <c r="K61" s="505"/>
      <c r="L61" s="31">
        <v>41933</v>
      </c>
      <c r="M61" s="286" t="s">
        <v>47</v>
      </c>
      <c r="N61" s="286" t="s">
        <v>244</v>
      </c>
      <c r="O61" s="204" t="s">
        <v>245</v>
      </c>
      <c r="P61" s="168">
        <v>42216</v>
      </c>
      <c r="Q61" s="286" t="s">
        <v>428</v>
      </c>
      <c r="R61" s="169" t="s">
        <v>52</v>
      </c>
      <c r="S61" s="168">
        <v>42381</v>
      </c>
      <c r="T61" s="171" t="s">
        <v>429</v>
      </c>
      <c r="U61" s="308">
        <f t="shared" ref="U61:U65" si="17">DAYS360(G61,L61,0)+1</f>
        <v>33</v>
      </c>
      <c r="V61" s="300" t="str">
        <f t="shared" si="7"/>
        <v>Inoportuno</v>
      </c>
      <c r="W61" s="308">
        <f t="shared" ref="W61:W64" si="18">DAYS360(P61,S61,0)+1</f>
        <v>163</v>
      </c>
      <c r="X61" s="506" t="s">
        <v>334</v>
      </c>
    </row>
    <row r="62" spans="1:24" ht="84.75" customHeight="1" x14ac:dyDescent="0.2">
      <c r="A62" s="291">
        <f t="shared" si="4"/>
        <v>9</v>
      </c>
      <c r="B62" s="295" t="s">
        <v>333</v>
      </c>
      <c r="C62" s="335" t="s">
        <v>177</v>
      </c>
      <c r="D62" s="458"/>
      <c r="E62" s="455"/>
      <c r="F62" s="287" t="s">
        <v>104</v>
      </c>
      <c r="G62" s="163">
        <v>41901</v>
      </c>
      <c r="H62" s="483"/>
      <c r="I62" s="479"/>
      <c r="J62" s="479"/>
      <c r="K62" s="505"/>
      <c r="L62" s="31">
        <v>41933</v>
      </c>
      <c r="M62" s="286" t="s">
        <v>101</v>
      </c>
      <c r="N62" s="171" t="s">
        <v>226</v>
      </c>
      <c r="O62" s="204" t="s">
        <v>225</v>
      </c>
      <c r="P62" s="168">
        <v>42004</v>
      </c>
      <c r="Q62" s="286" t="s">
        <v>430</v>
      </c>
      <c r="R62" s="169" t="s">
        <v>52</v>
      </c>
      <c r="S62" s="168">
        <v>42381</v>
      </c>
      <c r="T62" s="171" t="s">
        <v>429</v>
      </c>
      <c r="U62" s="308">
        <f t="shared" si="17"/>
        <v>33</v>
      </c>
      <c r="V62" s="300" t="str">
        <f t="shared" si="7"/>
        <v>Inoportuno</v>
      </c>
      <c r="W62" s="308">
        <f t="shared" si="18"/>
        <v>373</v>
      </c>
      <c r="X62" s="506" t="s">
        <v>334</v>
      </c>
    </row>
    <row r="63" spans="1:24" ht="201" customHeight="1" x14ac:dyDescent="0.2">
      <c r="A63" s="291">
        <f t="shared" si="4"/>
        <v>10</v>
      </c>
      <c r="B63" s="295" t="s">
        <v>333</v>
      </c>
      <c r="C63" s="335" t="s">
        <v>177</v>
      </c>
      <c r="D63" s="458"/>
      <c r="E63" s="455"/>
      <c r="F63" s="287" t="s">
        <v>104</v>
      </c>
      <c r="G63" s="163">
        <v>41901</v>
      </c>
      <c r="H63" s="483"/>
      <c r="I63" s="479"/>
      <c r="J63" s="479"/>
      <c r="K63" s="505"/>
      <c r="L63" s="31">
        <v>41933</v>
      </c>
      <c r="M63" s="286" t="s">
        <v>101</v>
      </c>
      <c r="N63" s="171" t="s">
        <v>226</v>
      </c>
      <c r="O63" s="204" t="s">
        <v>298</v>
      </c>
      <c r="P63" s="168">
        <v>42004</v>
      </c>
      <c r="Q63" s="287" t="s">
        <v>666</v>
      </c>
      <c r="R63" s="169" t="s">
        <v>52</v>
      </c>
      <c r="S63" s="168">
        <v>42537</v>
      </c>
      <c r="T63" s="287" t="s">
        <v>667</v>
      </c>
      <c r="U63" s="308">
        <f t="shared" si="17"/>
        <v>33</v>
      </c>
      <c r="V63" s="300" t="str">
        <f t="shared" ref="V63:V85" si="19">IF(U63&gt;7,"Inoportuno",(IF(U63&lt;0,"No ha formulado PM","Oportuno")))</f>
        <v>Inoportuno</v>
      </c>
      <c r="W63" s="308">
        <f t="shared" si="18"/>
        <v>527</v>
      </c>
      <c r="X63" s="506" t="s">
        <v>334</v>
      </c>
    </row>
    <row r="64" spans="1:24" ht="193.5" customHeight="1" x14ac:dyDescent="0.2">
      <c r="A64" s="291">
        <f t="shared" si="4"/>
        <v>11</v>
      </c>
      <c r="B64" s="295" t="s">
        <v>333</v>
      </c>
      <c r="C64" s="335" t="s">
        <v>177</v>
      </c>
      <c r="D64" s="459"/>
      <c r="E64" s="456"/>
      <c r="F64" s="287" t="s">
        <v>104</v>
      </c>
      <c r="G64" s="163">
        <v>41901</v>
      </c>
      <c r="H64" s="484"/>
      <c r="I64" s="479"/>
      <c r="J64" s="479"/>
      <c r="K64" s="481"/>
      <c r="L64" s="31">
        <v>41933</v>
      </c>
      <c r="M64" s="286" t="s">
        <v>47</v>
      </c>
      <c r="N64" s="171" t="s">
        <v>226</v>
      </c>
      <c r="O64" s="204" t="s">
        <v>699</v>
      </c>
      <c r="P64" s="168">
        <v>42612</v>
      </c>
      <c r="Q64" s="391" t="s">
        <v>700</v>
      </c>
      <c r="R64" s="169" t="s">
        <v>48</v>
      </c>
      <c r="S64" s="168"/>
      <c r="T64" s="171" t="s">
        <v>449</v>
      </c>
      <c r="U64" s="308">
        <f t="shared" si="17"/>
        <v>33</v>
      </c>
      <c r="V64" s="300" t="str">
        <f t="shared" si="19"/>
        <v>Inoportuno</v>
      </c>
      <c r="W64" s="308">
        <f t="shared" si="18"/>
        <v>-41999</v>
      </c>
      <c r="X64" s="506" t="s">
        <v>334</v>
      </c>
    </row>
    <row r="65" spans="1:24" ht="267.75" x14ac:dyDescent="0.2">
      <c r="A65" s="291">
        <f t="shared" si="4"/>
        <v>12</v>
      </c>
      <c r="B65" s="286" t="s">
        <v>9</v>
      </c>
      <c r="C65" s="286" t="s">
        <v>180</v>
      </c>
      <c r="D65" s="283" t="s">
        <v>40</v>
      </c>
      <c r="E65" s="285" t="s">
        <v>0</v>
      </c>
      <c r="F65" s="287" t="s">
        <v>56</v>
      </c>
      <c r="G65" s="31">
        <v>41778</v>
      </c>
      <c r="H65" s="357" t="s">
        <v>246</v>
      </c>
      <c r="I65" s="288" t="s">
        <v>75</v>
      </c>
      <c r="J65" s="288" t="s">
        <v>131</v>
      </c>
      <c r="K65" s="290" t="s">
        <v>76</v>
      </c>
      <c r="L65" s="31">
        <v>41816</v>
      </c>
      <c r="M65" s="286" t="s">
        <v>47</v>
      </c>
      <c r="N65" s="286" t="s">
        <v>247</v>
      </c>
      <c r="O65" s="204" t="s">
        <v>248</v>
      </c>
      <c r="P65" s="31">
        <v>41881</v>
      </c>
      <c r="Q65" s="286" t="s">
        <v>674</v>
      </c>
      <c r="R65" s="291" t="s">
        <v>48</v>
      </c>
      <c r="S65" s="31"/>
      <c r="T65" s="291"/>
      <c r="U65" s="308">
        <f t="shared" si="17"/>
        <v>38</v>
      </c>
      <c r="V65" s="300" t="str">
        <f t="shared" si="19"/>
        <v>Inoportuno</v>
      </c>
      <c r="W65" s="308">
        <f t="shared" ref="W65" si="20">DAYS360(P65,S65,0)+1</f>
        <v>-41279</v>
      </c>
      <c r="X65" s="303" t="s">
        <v>334</v>
      </c>
    </row>
    <row r="66" spans="1:24" ht="409.5" customHeight="1" x14ac:dyDescent="0.2">
      <c r="A66" s="291">
        <f t="shared" si="4"/>
        <v>13</v>
      </c>
      <c r="B66" s="286" t="s">
        <v>46</v>
      </c>
      <c r="C66" s="286" t="s">
        <v>182</v>
      </c>
      <c r="D66" s="284" t="s">
        <v>43</v>
      </c>
      <c r="E66" s="295" t="s">
        <v>195</v>
      </c>
      <c r="F66" s="287" t="s">
        <v>56</v>
      </c>
      <c r="G66" s="31">
        <v>41848</v>
      </c>
      <c r="H66" s="357" t="s">
        <v>249</v>
      </c>
      <c r="I66" s="298" t="s">
        <v>75</v>
      </c>
      <c r="J66" s="298" t="s">
        <v>131</v>
      </c>
      <c r="K66" s="142" t="s">
        <v>76</v>
      </c>
      <c r="L66" s="31">
        <v>41964</v>
      </c>
      <c r="M66" s="286" t="s">
        <v>101</v>
      </c>
      <c r="N66" s="286" t="s">
        <v>360</v>
      </c>
      <c r="O66" s="204" t="s">
        <v>227</v>
      </c>
      <c r="P66" s="31">
        <v>41942</v>
      </c>
      <c r="Q66" s="286" t="s">
        <v>450</v>
      </c>
      <c r="R66" s="291" t="s">
        <v>48</v>
      </c>
      <c r="S66" s="31"/>
      <c r="T66" s="291"/>
      <c r="U66" s="308">
        <f t="shared" ref="U66:U80" si="21">DAYS360(G66,L66,0)+1</f>
        <v>114</v>
      </c>
      <c r="V66" s="300" t="str">
        <f t="shared" si="19"/>
        <v>Inoportuno</v>
      </c>
      <c r="W66" s="308">
        <f t="shared" ref="W66:W80" si="22">DAYS360(P66,S66,0)+1</f>
        <v>-41339</v>
      </c>
      <c r="X66" s="303" t="s">
        <v>334</v>
      </c>
    </row>
    <row r="67" spans="1:24" ht="94.5" customHeight="1" x14ac:dyDescent="0.2">
      <c r="A67" s="291">
        <f t="shared" si="4"/>
        <v>14</v>
      </c>
      <c r="B67" s="286" t="s">
        <v>46</v>
      </c>
      <c r="C67" s="286" t="s">
        <v>182</v>
      </c>
      <c r="D67" s="284" t="s">
        <v>43</v>
      </c>
      <c r="E67" s="295" t="s">
        <v>195</v>
      </c>
      <c r="F67" s="287" t="s">
        <v>56</v>
      </c>
      <c r="G67" s="31">
        <v>41848</v>
      </c>
      <c r="H67" s="357" t="s">
        <v>183</v>
      </c>
      <c r="I67" s="298" t="s">
        <v>75</v>
      </c>
      <c r="J67" s="165" t="s">
        <v>131</v>
      </c>
      <c r="K67" s="142" t="s">
        <v>76</v>
      </c>
      <c r="L67" s="31">
        <v>41964</v>
      </c>
      <c r="M67" s="286" t="s">
        <v>101</v>
      </c>
      <c r="N67" s="286" t="s">
        <v>361</v>
      </c>
      <c r="O67" s="204" t="s">
        <v>228</v>
      </c>
      <c r="P67" s="31">
        <v>41912</v>
      </c>
      <c r="Q67" s="286" t="s">
        <v>639</v>
      </c>
      <c r="R67" s="291" t="s">
        <v>48</v>
      </c>
      <c r="S67" s="31"/>
      <c r="T67" s="291"/>
      <c r="U67" s="308">
        <f t="shared" si="21"/>
        <v>114</v>
      </c>
      <c r="V67" s="300" t="str">
        <f t="shared" si="19"/>
        <v>Inoportuno</v>
      </c>
      <c r="W67" s="308">
        <f t="shared" si="22"/>
        <v>-41309</v>
      </c>
      <c r="X67" s="303" t="s">
        <v>334</v>
      </c>
    </row>
    <row r="68" spans="1:24" ht="236.25" customHeight="1" x14ac:dyDescent="0.2">
      <c r="A68" s="291">
        <f t="shared" si="4"/>
        <v>15</v>
      </c>
      <c r="B68" s="286" t="s">
        <v>46</v>
      </c>
      <c r="C68" s="286" t="s">
        <v>182</v>
      </c>
      <c r="D68" s="457" t="s">
        <v>43</v>
      </c>
      <c r="E68" s="454" t="s">
        <v>195</v>
      </c>
      <c r="F68" s="287" t="s">
        <v>56</v>
      </c>
      <c r="G68" s="31">
        <v>41848</v>
      </c>
      <c r="H68" s="357" t="s">
        <v>184</v>
      </c>
      <c r="I68" s="479" t="s">
        <v>75</v>
      </c>
      <c r="J68" s="479" t="s">
        <v>132</v>
      </c>
      <c r="K68" s="480" t="s">
        <v>76</v>
      </c>
      <c r="L68" s="31">
        <v>41964</v>
      </c>
      <c r="M68" s="286" t="s">
        <v>101</v>
      </c>
      <c r="N68" s="164" t="s">
        <v>229</v>
      </c>
      <c r="O68" s="204" t="s">
        <v>230</v>
      </c>
      <c r="P68" s="31">
        <v>42063</v>
      </c>
      <c r="Q68" s="286" t="s">
        <v>640</v>
      </c>
      <c r="R68" s="291" t="s">
        <v>52</v>
      </c>
      <c r="S68" s="31">
        <v>42509</v>
      </c>
      <c r="T68" s="286" t="s">
        <v>641</v>
      </c>
      <c r="U68" s="308">
        <f t="shared" si="21"/>
        <v>114</v>
      </c>
      <c r="V68" s="300" t="str">
        <f t="shared" si="19"/>
        <v>Inoportuno</v>
      </c>
      <c r="W68" s="308">
        <f t="shared" si="22"/>
        <v>440</v>
      </c>
      <c r="X68" s="506" t="s">
        <v>334</v>
      </c>
    </row>
    <row r="69" spans="1:24" ht="215.25" customHeight="1" x14ac:dyDescent="0.2">
      <c r="A69" s="291">
        <f t="shared" ref="A69:A120" si="23">+A68+1</f>
        <v>16</v>
      </c>
      <c r="B69" s="286" t="s">
        <v>46</v>
      </c>
      <c r="C69" s="286" t="s">
        <v>182</v>
      </c>
      <c r="D69" s="459"/>
      <c r="E69" s="456"/>
      <c r="F69" s="287" t="s">
        <v>56</v>
      </c>
      <c r="G69" s="31">
        <v>41848</v>
      </c>
      <c r="H69" s="357" t="s">
        <v>184</v>
      </c>
      <c r="I69" s="479"/>
      <c r="J69" s="479"/>
      <c r="K69" s="481"/>
      <c r="L69" s="31">
        <v>41964</v>
      </c>
      <c r="M69" s="286" t="s">
        <v>47</v>
      </c>
      <c r="N69" s="164" t="s">
        <v>229</v>
      </c>
      <c r="O69" s="204" t="s">
        <v>250</v>
      </c>
      <c r="P69" s="31">
        <v>42063</v>
      </c>
      <c r="Q69" s="361" t="s">
        <v>642</v>
      </c>
      <c r="R69" s="280" t="s">
        <v>52</v>
      </c>
      <c r="S69" s="281">
        <v>42531</v>
      </c>
      <c r="T69" s="291"/>
      <c r="U69" s="308">
        <f t="shared" si="21"/>
        <v>114</v>
      </c>
      <c r="V69" s="300" t="str">
        <f t="shared" si="19"/>
        <v>Inoportuno</v>
      </c>
      <c r="W69" s="308">
        <f t="shared" si="22"/>
        <v>461</v>
      </c>
      <c r="X69" s="506" t="s">
        <v>334</v>
      </c>
    </row>
    <row r="70" spans="1:24" ht="357" customHeight="1" x14ac:dyDescent="0.2">
      <c r="A70" s="291">
        <f t="shared" si="23"/>
        <v>17</v>
      </c>
      <c r="B70" s="286" t="s">
        <v>46</v>
      </c>
      <c r="C70" s="286" t="s">
        <v>182</v>
      </c>
      <c r="D70" s="457" t="s">
        <v>43</v>
      </c>
      <c r="E70" s="454" t="s">
        <v>195</v>
      </c>
      <c r="F70" s="287" t="s">
        <v>56</v>
      </c>
      <c r="G70" s="31">
        <v>41848</v>
      </c>
      <c r="H70" s="357" t="s">
        <v>185</v>
      </c>
      <c r="I70" s="479" t="s">
        <v>75</v>
      </c>
      <c r="J70" s="479" t="s">
        <v>131</v>
      </c>
      <c r="K70" s="480" t="s">
        <v>76</v>
      </c>
      <c r="L70" s="31">
        <v>41964</v>
      </c>
      <c r="M70" s="286" t="s">
        <v>101</v>
      </c>
      <c r="N70" s="286" t="s">
        <v>229</v>
      </c>
      <c r="O70" s="204" t="s">
        <v>230</v>
      </c>
      <c r="P70" s="31">
        <v>42063</v>
      </c>
      <c r="Q70" s="362" t="s">
        <v>643</v>
      </c>
      <c r="R70" s="291" t="s">
        <v>48</v>
      </c>
      <c r="S70" s="31"/>
      <c r="T70" s="291"/>
      <c r="U70" s="308">
        <f t="shared" si="21"/>
        <v>114</v>
      </c>
      <c r="V70" s="300" t="str">
        <f t="shared" si="19"/>
        <v>Inoportuno</v>
      </c>
      <c r="W70" s="308">
        <f t="shared" si="22"/>
        <v>-41459</v>
      </c>
      <c r="X70" s="506" t="s">
        <v>334</v>
      </c>
    </row>
    <row r="71" spans="1:24" ht="357" customHeight="1" x14ac:dyDescent="0.2">
      <c r="A71" s="291">
        <f t="shared" si="23"/>
        <v>18</v>
      </c>
      <c r="B71" s="286" t="s">
        <v>46</v>
      </c>
      <c r="C71" s="286" t="s">
        <v>182</v>
      </c>
      <c r="D71" s="459"/>
      <c r="E71" s="456"/>
      <c r="F71" s="287" t="s">
        <v>56</v>
      </c>
      <c r="G71" s="31">
        <v>41848</v>
      </c>
      <c r="H71" s="357" t="s">
        <v>185</v>
      </c>
      <c r="I71" s="479"/>
      <c r="J71" s="479"/>
      <c r="K71" s="481"/>
      <c r="L71" s="31">
        <v>41964</v>
      </c>
      <c r="M71" s="286" t="s">
        <v>47</v>
      </c>
      <c r="N71" s="286" t="s">
        <v>229</v>
      </c>
      <c r="O71" s="204" t="s">
        <v>250</v>
      </c>
      <c r="P71" s="31">
        <v>42063</v>
      </c>
      <c r="Q71" s="361" t="s">
        <v>644</v>
      </c>
      <c r="R71" s="291" t="s">
        <v>48</v>
      </c>
      <c r="S71" s="31"/>
      <c r="T71" s="291"/>
      <c r="U71" s="308">
        <f t="shared" si="21"/>
        <v>114</v>
      </c>
      <c r="V71" s="300" t="str">
        <f t="shared" si="19"/>
        <v>Inoportuno</v>
      </c>
      <c r="W71" s="308">
        <f t="shared" si="22"/>
        <v>-41459</v>
      </c>
      <c r="X71" s="506" t="s">
        <v>334</v>
      </c>
    </row>
    <row r="72" spans="1:24" ht="56.25" x14ac:dyDescent="0.2">
      <c r="A72" s="291">
        <f t="shared" si="23"/>
        <v>19</v>
      </c>
      <c r="B72" s="286" t="s">
        <v>46</v>
      </c>
      <c r="C72" s="286" t="s">
        <v>182</v>
      </c>
      <c r="D72" s="284" t="s">
        <v>43</v>
      </c>
      <c r="E72" s="295" t="s">
        <v>195</v>
      </c>
      <c r="F72" s="287" t="s">
        <v>56</v>
      </c>
      <c r="G72" s="31">
        <v>41848</v>
      </c>
      <c r="H72" s="357" t="s">
        <v>186</v>
      </c>
      <c r="I72" s="298" t="s">
        <v>75</v>
      </c>
      <c r="J72" s="298" t="s">
        <v>131</v>
      </c>
      <c r="K72" s="142" t="s">
        <v>76</v>
      </c>
      <c r="L72" s="31">
        <v>41964</v>
      </c>
      <c r="M72" s="286" t="s">
        <v>47</v>
      </c>
      <c r="N72" s="164" t="s">
        <v>232</v>
      </c>
      <c r="O72" s="204" t="s">
        <v>231</v>
      </c>
      <c r="P72" s="31">
        <v>42124</v>
      </c>
      <c r="Q72" s="361" t="s">
        <v>644</v>
      </c>
      <c r="R72" s="291" t="s">
        <v>48</v>
      </c>
      <c r="S72" s="31"/>
      <c r="T72" s="291"/>
      <c r="U72" s="308">
        <f t="shared" si="21"/>
        <v>114</v>
      </c>
      <c r="V72" s="300" t="str">
        <f t="shared" si="19"/>
        <v>Inoportuno</v>
      </c>
      <c r="W72" s="308">
        <f t="shared" si="22"/>
        <v>-41519</v>
      </c>
      <c r="X72" s="303" t="s">
        <v>334</v>
      </c>
    </row>
    <row r="73" spans="1:24" ht="123" customHeight="1" x14ac:dyDescent="0.2">
      <c r="A73" s="291">
        <f t="shared" si="23"/>
        <v>20</v>
      </c>
      <c r="B73" s="286" t="s">
        <v>46</v>
      </c>
      <c r="C73" s="286" t="s">
        <v>182</v>
      </c>
      <c r="D73" s="284" t="s">
        <v>43</v>
      </c>
      <c r="E73" s="295" t="s">
        <v>195</v>
      </c>
      <c r="F73" s="287" t="s">
        <v>56</v>
      </c>
      <c r="G73" s="31">
        <v>41848</v>
      </c>
      <c r="H73" s="357" t="s">
        <v>187</v>
      </c>
      <c r="I73" s="298" t="s">
        <v>75</v>
      </c>
      <c r="J73" s="298" t="s">
        <v>131</v>
      </c>
      <c r="K73" s="142" t="s">
        <v>76</v>
      </c>
      <c r="L73" s="31">
        <v>41964</v>
      </c>
      <c r="M73" s="286" t="s">
        <v>47</v>
      </c>
      <c r="N73" s="164" t="s">
        <v>234</v>
      </c>
      <c r="O73" s="204" t="s">
        <v>233</v>
      </c>
      <c r="P73" s="31">
        <v>42004</v>
      </c>
      <c r="Q73" s="286"/>
      <c r="R73" s="291" t="s">
        <v>48</v>
      </c>
      <c r="S73" s="31"/>
      <c r="T73" s="291"/>
      <c r="U73" s="308">
        <f t="shared" si="21"/>
        <v>114</v>
      </c>
      <c r="V73" s="300" t="str">
        <f t="shared" si="19"/>
        <v>Inoportuno</v>
      </c>
      <c r="W73" s="308">
        <f t="shared" si="22"/>
        <v>-41399</v>
      </c>
      <c r="X73" s="303" t="s">
        <v>334</v>
      </c>
    </row>
    <row r="74" spans="1:24" ht="55.5" customHeight="1" x14ac:dyDescent="0.2">
      <c r="A74" s="291">
        <f t="shared" si="23"/>
        <v>21</v>
      </c>
      <c r="B74" s="286" t="s">
        <v>46</v>
      </c>
      <c r="C74" s="286" t="s">
        <v>182</v>
      </c>
      <c r="D74" s="457" t="s">
        <v>43</v>
      </c>
      <c r="E74" s="454" t="s">
        <v>195</v>
      </c>
      <c r="F74" s="287" t="s">
        <v>56</v>
      </c>
      <c r="G74" s="31">
        <v>41848</v>
      </c>
      <c r="H74" s="357" t="s">
        <v>188</v>
      </c>
      <c r="I74" s="479" t="s">
        <v>75</v>
      </c>
      <c r="J74" s="479" t="s">
        <v>131</v>
      </c>
      <c r="K74" s="480" t="s">
        <v>76</v>
      </c>
      <c r="L74" s="31">
        <v>41964</v>
      </c>
      <c r="M74" s="286" t="s">
        <v>101</v>
      </c>
      <c r="N74" s="286" t="s">
        <v>229</v>
      </c>
      <c r="O74" s="204" t="s">
        <v>235</v>
      </c>
      <c r="P74" s="161">
        <v>41942</v>
      </c>
      <c r="Q74" s="286"/>
      <c r="R74" s="291" t="s">
        <v>48</v>
      </c>
      <c r="S74" s="31"/>
      <c r="T74" s="291"/>
      <c r="U74" s="308">
        <f t="shared" si="21"/>
        <v>114</v>
      </c>
      <c r="V74" s="300" t="str">
        <f t="shared" si="19"/>
        <v>Inoportuno</v>
      </c>
      <c r="W74" s="308">
        <f t="shared" si="22"/>
        <v>-41339</v>
      </c>
      <c r="X74" s="506" t="s">
        <v>334</v>
      </c>
    </row>
    <row r="75" spans="1:24" ht="55.5" customHeight="1" x14ac:dyDescent="0.2">
      <c r="A75" s="291">
        <f t="shared" si="23"/>
        <v>22</v>
      </c>
      <c r="B75" s="286" t="s">
        <v>46</v>
      </c>
      <c r="C75" s="286" t="s">
        <v>182</v>
      </c>
      <c r="D75" s="459"/>
      <c r="E75" s="456"/>
      <c r="F75" s="287" t="s">
        <v>56</v>
      </c>
      <c r="G75" s="31">
        <v>41848</v>
      </c>
      <c r="H75" s="357" t="s">
        <v>188</v>
      </c>
      <c r="I75" s="479"/>
      <c r="J75" s="479"/>
      <c r="K75" s="481"/>
      <c r="L75" s="31">
        <v>41964</v>
      </c>
      <c r="M75" s="286" t="s">
        <v>47</v>
      </c>
      <c r="N75" s="286" t="s">
        <v>229</v>
      </c>
      <c r="O75" s="204" t="s">
        <v>251</v>
      </c>
      <c r="P75" s="161">
        <v>42124</v>
      </c>
      <c r="Q75" s="286"/>
      <c r="R75" s="291" t="s">
        <v>48</v>
      </c>
      <c r="S75" s="31"/>
      <c r="T75" s="291"/>
      <c r="U75" s="308">
        <f t="shared" ref="U75" si="24">DAYS360(G75,L75,0)+1</f>
        <v>114</v>
      </c>
      <c r="V75" s="300" t="str">
        <f t="shared" si="19"/>
        <v>Inoportuno</v>
      </c>
      <c r="W75" s="308">
        <f t="shared" ref="W75" si="25">DAYS360(P75,S75,0)+1</f>
        <v>-41519</v>
      </c>
      <c r="X75" s="506" t="s">
        <v>334</v>
      </c>
    </row>
    <row r="76" spans="1:24" ht="198" customHeight="1" x14ac:dyDescent="0.2">
      <c r="A76" s="291">
        <v>73</v>
      </c>
      <c r="B76" s="286" t="s">
        <v>58</v>
      </c>
      <c r="C76" s="286" t="s">
        <v>197</v>
      </c>
      <c r="D76" s="457" t="s">
        <v>40</v>
      </c>
      <c r="E76" s="454" t="s">
        <v>0</v>
      </c>
      <c r="F76" s="287" t="s">
        <v>55</v>
      </c>
      <c r="G76" s="31">
        <v>41880</v>
      </c>
      <c r="H76" s="357" t="s">
        <v>198</v>
      </c>
      <c r="I76" s="467" t="s">
        <v>75</v>
      </c>
      <c r="J76" s="467" t="s">
        <v>131</v>
      </c>
      <c r="K76" s="438" t="s">
        <v>76</v>
      </c>
      <c r="L76" s="31">
        <v>41921</v>
      </c>
      <c r="M76" s="286" t="s">
        <v>47</v>
      </c>
      <c r="N76" s="286" t="s">
        <v>220</v>
      </c>
      <c r="O76" s="204" t="s">
        <v>252</v>
      </c>
      <c r="P76" s="31">
        <v>41973</v>
      </c>
      <c r="Q76" s="286" t="s">
        <v>451</v>
      </c>
      <c r="R76" s="291" t="s">
        <v>48</v>
      </c>
      <c r="S76" s="31"/>
      <c r="T76" s="291"/>
      <c r="U76" s="308">
        <f t="shared" si="21"/>
        <v>41</v>
      </c>
      <c r="V76" s="300" t="str">
        <f t="shared" ref="V76" si="26">IF(U76&gt;7,"Inoportuno",(IF(U76&lt;0,"No ha formulado PM","Oportuno")))</f>
        <v>Inoportuno</v>
      </c>
      <c r="W76" s="308">
        <f t="shared" si="22"/>
        <v>-41369</v>
      </c>
      <c r="X76" s="506" t="s">
        <v>334</v>
      </c>
    </row>
    <row r="77" spans="1:24" ht="186" customHeight="1" x14ac:dyDescent="0.2">
      <c r="A77" s="291">
        <f t="shared" si="23"/>
        <v>74</v>
      </c>
      <c r="B77" s="286" t="s">
        <v>58</v>
      </c>
      <c r="C77" s="286" t="s">
        <v>197</v>
      </c>
      <c r="D77" s="459"/>
      <c r="E77" s="456"/>
      <c r="F77" s="287" t="s">
        <v>55</v>
      </c>
      <c r="G77" s="31">
        <v>41880</v>
      </c>
      <c r="H77" s="357" t="s">
        <v>198</v>
      </c>
      <c r="I77" s="469"/>
      <c r="J77" s="469"/>
      <c r="K77" s="439"/>
      <c r="L77" s="31">
        <v>41921</v>
      </c>
      <c r="M77" s="286" t="s">
        <v>47</v>
      </c>
      <c r="N77" s="286" t="s">
        <v>218</v>
      </c>
      <c r="O77" s="204" t="s">
        <v>219</v>
      </c>
      <c r="P77" s="31">
        <v>42369</v>
      </c>
      <c r="Q77" s="286" t="s">
        <v>452</v>
      </c>
      <c r="R77" s="291" t="s">
        <v>48</v>
      </c>
      <c r="S77" s="31"/>
      <c r="T77" s="291"/>
      <c r="U77" s="308">
        <f t="shared" ref="U77" si="27">DAYS360(G77,L77,0)+1</f>
        <v>41</v>
      </c>
      <c r="V77" s="300" t="str">
        <f t="shared" ref="V77" si="28">IF(U77&gt;7,"Inoportuno",(IF(U77&lt;0,"No ha formulado PM","Oportuno")))</f>
        <v>Inoportuno</v>
      </c>
      <c r="W77" s="308">
        <f t="shared" ref="W77" si="29">DAYS360(P77,S77,0)+1</f>
        <v>-41759</v>
      </c>
      <c r="X77" s="506" t="s">
        <v>334</v>
      </c>
    </row>
    <row r="78" spans="1:24" ht="141.75" customHeight="1" x14ac:dyDescent="0.2">
      <c r="A78" s="291">
        <f t="shared" si="23"/>
        <v>75</v>
      </c>
      <c r="B78" s="295" t="s">
        <v>331</v>
      </c>
      <c r="C78" s="286" t="s">
        <v>199</v>
      </c>
      <c r="D78" s="284" t="s">
        <v>40</v>
      </c>
      <c r="E78" s="295" t="s">
        <v>0</v>
      </c>
      <c r="F78" s="287" t="s">
        <v>104</v>
      </c>
      <c r="G78" s="31">
        <v>41908</v>
      </c>
      <c r="H78" s="357" t="s">
        <v>200</v>
      </c>
      <c r="I78" s="298" t="s">
        <v>75</v>
      </c>
      <c r="J78" s="298" t="s">
        <v>132</v>
      </c>
      <c r="K78" s="142" t="s">
        <v>76</v>
      </c>
      <c r="L78" s="31">
        <v>41942</v>
      </c>
      <c r="M78" s="286" t="s">
        <v>47</v>
      </c>
      <c r="N78" s="171" t="s">
        <v>221</v>
      </c>
      <c r="O78" s="204" t="s">
        <v>253</v>
      </c>
      <c r="P78" s="168">
        <v>41988</v>
      </c>
      <c r="Q78" s="286" t="s">
        <v>538</v>
      </c>
      <c r="R78" s="169" t="s">
        <v>52</v>
      </c>
      <c r="S78" s="168">
        <v>42480</v>
      </c>
      <c r="T78" s="171" t="s">
        <v>539</v>
      </c>
      <c r="U78" s="308">
        <f t="shared" si="21"/>
        <v>35</v>
      </c>
      <c r="V78" s="300" t="str">
        <f t="shared" si="19"/>
        <v>Inoportuno</v>
      </c>
      <c r="W78" s="308">
        <f t="shared" si="22"/>
        <v>486</v>
      </c>
      <c r="X78" s="303" t="s">
        <v>334</v>
      </c>
    </row>
    <row r="79" spans="1:24" ht="144" customHeight="1" x14ac:dyDescent="0.2">
      <c r="A79" s="291">
        <f t="shared" si="23"/>
        <v>76</v>
      </c>
      <c r="B79" s="295" t="s">
        <v>331</v>
      </c>
      <c r="C79" s="286" t="s">
        <v>199</v>
      </c>
      <c r="D79" s="284" t="s">
        <v>40</v>
      </c>
      <c r="E79" s="295" t="s">
        <v>0</v>
      </c>
      <c r="F79" s="287" t="s">
        <v>104</v>
      </c>
      <c r="G79" s="31">
        <v>41908</v>
      </c>
      <c r="H79" s="357" t="s">
        <v>394</v>
      </c>
      <c r="I79" s="298" t="s">
        <v>75</v>
      </c>
      <c r="J79" s="298" t="s">
        <v>132</v>
      </c>
      <c r="K79" s="142" t="s">
        <v>76</v>
      </c>
      <c r="L79" s="31">
        <v>41942</v>
      </c>
      <c r="M79" s="286" t="s">
        <v>47</v>
      </c>
      <c r="N79" s="171" t="s">
        <v>221</v>
      </c>
      <c r="O79" s="204" t="s">
        <v>254</v>
      </c>
      <c r="P79" s="168">
        <v>41958</v>
      </c>
      <c r="Q79" s="286" t="s">
        <v>540</v>
      </c>
      <c r="R79" s="169" t="s">
        <v>52</v>
      </c>
      <c r="S79" s="168">
        <v>42480</v>
      </c>
      <c r="T79" s="171" t="s">
        <v>541</v>
      </c>
      <c r="U79" s="308">
        <f t="shared" ref="U79" si="30">DAYS360(G79,L79,0)+1</f>
        <v>35</v>
      </c>
      <c r="V79" s="300" t="str">
        <f t="shared" si="19"/>
        <v>Inoportuno</v>
      </c>
      <c r="W79" s="308">
        <f t="shared" ref="W79" si="31">DAYS360(P79,S79,0)+1</f>
        <v>516</v>
      </c>
      <c r="X79" s="303" t="s">
        <v>334</v>
      </c>
    </row>
    <row r="80" spans="1:24" ht="248.25" customHeight="1" x14ac:dyDescent="0.2">
      <c r="A80" s="291">
        <f t="shared" si="23"/>
        <v>77</v>
      </c>
      <c r="B80" s="295" t="s">
        <v>331</v>
      </c>
      <c r="C80" s="286" t="s">
        <v>199</v>
      </c>
      <c r="D80" s="457" t="s">
        <v>40</v>
      </c>
      <c r="E80" s="454" t="s">
        <v>0</v>
      </c>
      <c r="F80" s="287" t="s">
        <v>104</v>
      </c>
      <c r="G80" s="31">
        <v>41908</v>
      </c>
      <c r="H80" s="357" t="s">
        <v>335</v>
      </c>
      <c r="I80" s="467" t="s">
        <v>75</v>
      </c>
      <c r="J80" s="467" t="s">
        <v>131</v>
      </c>
      <c r="K80" s="438" t="s">
        <v>76</v>
      </c>
      <c r="L80" s="31">
        <v>42142</v>
      </c>
      <c r="M80" s="286" t="s">
        <v>47</v>
      </c>
      <c r="N80" s="171" t="s">
        <v>134</v>
      </c>
      <c r="O80" s="204" t="s">
        <v>557</v>
      </c>
      <c r="P80" s="170">
        <v>42531</v>
      </c>
      <c r="Q80" s="286" t="s">
        <v>556</v>
      </c>
      <c r="R80" s="169" t="s">
        <v>48</v>
      </c>
      <c r="S80" s="168"/>
      <c r="T80" s="169"/>
      <c r="U80" s="308">
        <f t="shared" si="21"/>
        <v>233</v>
      </c>
      <c r="V80" s="300" t="str">
        <f t="shared" si="19"/>
        <v>Inoportuno</v>
      </c>
      <c r="W80" s="308">
        <f t="shared" si="22"/>
        <v>-41919</v>
      </c>
      <c r="X80" s="303" t="s">
        <v>334</v>
      </c>
    </row>
    <row r="81" spans="1:24" ht="248.25" customHeight="1" x14ac:dyDescent="0.2">
      <c r="A81" s="291">
        <f>+A80+1</f>
        <v>78</v>
      </c>
      <c r="B81" s="295" t="s">
        <v>331</v>
      </c>
      <c r="C81" s="286"/>
      <c r="D81" s="459"/>
      <c r="E81" s="456"/>
      <c r="F81" s="287" t="s">
        <v>55</v>
      </c>
      <c r="G81" s="31">
        <v>42480</v>
      </c>
      <c r="H81" s="357" t="s">
        <v>335</v>
      </c>
      <c r="I81" s="469"/>
      <c r="J81" s="469"/>
      <c r="K81" s="439"/>
      <c r="L81" s="31">
        <v>42508</v>
      </c>
      <c r="M81" s="286" t="s">
        <v>47</v>
      </c>
      <c r="N81" s="171" t="s">
        <v>134</v>
      </c>
      <c r="O81" s="204" t="s">
        <v>558</v>
      </c>
      <c r="P81" s="170">
        <v>42531</v>
      </c>
      <c r="Q81" s="286"/>
      <c r="R81" s="169" t="s">
        <v>48</v>
      </c>
      <c r="S81" s="168"/>
      <c r="T81" s="169"/>
      <c r="U81" s="308">
        <f t="shared" ref="U81" si="32">DAYS360(G81,L81,0)+1</f>
        <v>29</v>
      </c>
      <c r="V81" s="300" t="str">
        <f t="shared" ref="V81" si="33">IF(U81&gt;7,"Inoportuno",(IF(U81&lt;0,"No ha formulado PM","Oportuno")))</f>
        <v>Inoportuno</v>
      </c>
      <c r="W81" s="308">
        <f t="shared" ref="W81" si="34">DAYS360(P81,S81,0)+1</f>
        <v>-41919</v>
      </c>
      <c r="X81" s="303" t="s">
        <v>334</v>
      </c>
    </row>
    <row r="82" spans="1:24" ht="234" customHeight="1" x14ac:dyDescent="0.2">
      <c r="A82" s="291">
        <f>+A81+1</f>
        <v>79</v>
      </c>
      <c r="B82" s="295" t="s">
        <v>331</v>
      </c>
      <c r="C82" s="286" t="s">
        <v>199</v>
      </c>
      <c r="D82" s="284" t="s">
        <v>40</v>
      </c>
      <c r="E82" s="295" t="s">
        <v>0</v>
      </c>
      <c r="F82" s="287" t="s">
        <v>104</v>
      </c>
      <c r="G82" s="31">
        <v>41908</v>
      </c>
      <c r="H82" s="357" t="s">
        <v>255</v>
      </c>
      <c r="I82" s="298" t="s">
        <v>75</v>
      </c>
      <c r="J82" s="298" t="s">
        <v>132</v>
      </c>
      <c r="K82" s="142" t="s">
        <v>76</v>
      </c>
      <c r="L82" s="31">
        <v>41942</v>
      </c>
      <c r="M82" s="286" t="s">
        <v>47</v>
      </c>
      <c r="N82" s="171" t="s">
        <v>223</v>
      </c>
      <c r="O82" s="204" t="s">
        <v>222</v>
      </c>
      <c r="P82" s="168">
        <v>42003</v>
      </c>
      <c r="Q82" s="286" t="s">
        <v>542</v>
      </c>
      <c r="R82" s="169" t="s">
        <v>52</v>
      </c>
      <c r="S82" s="168">
        <v>42472</v>
      </c>
      <c r="T82" s="286" t="s">
        <v>543</v>
      </c>
      <c r="U82" s="308">
        <f t="shared" ref="U82" si="35">DAYS360(G82,L82,0)+1</f>
        <v>35</v>
      </c>
      <c r="V82" s="300" t="str">
        <f t="shared" si="19"/>
        <v>Inoportuno</v>
      </c>
      <c r="W82" s="308">
        <f t="shared" ref="W82" si="36">DAYS360(P82,S82,0)+1</f>
        <v>463</v>
      </c>
      <c r="X82" s="303" t="s">
        <v>334</v>
      </c>
    </row>
    <row r="83" spans="1:24" ht="239.25" customHeight="1" x14ac:dyDescent="0.2">
      <c r="A83" s="291">
        <v>80</v>
      </c>
      <c r="B83" s="286" t="s">
        <v>60</v>
      </c>
      <c r="C83" s="286" t="s">
        <v>201</v>
      </c>
      <c r="D83" s="283" t="s">
        <v>40</v>
      </c>
      <c r="E83" s="285" t="s">
        <v>0</v>
      </c>
      <c r="F83" s="287" t="s">
        <v>56</v>
      </c>
      <c r="G83" s="31">
        <v>41878</v>
      </c>
      <c r="H83" s="357" t="s">
        <v>202</v>
      </c>
      <c r="I83" s="288" t="s">
        <v>75</v>
      </c>
      <c r="J83" s="288" t="s">
        <v>131</v>
      </c>
      <c r="K83" s="290" t="s">
        <v>76</v>
      </c>
      <c r="L83" s="31">
        <v>42130</v>
      </c>
      <c r="M83" s="286" t="s">
        <v>101</v>
      </c>
      <c r="N83" s="286" t="s">
        <v>148</v>
      </c>
      <c r="O83" s="204" t="s">
        <v>310</v>
      </c>
      <c r="P83" s="31">
        <v>42369</v>
      </c>
      <c r="Q83" s="286" t="s">
        <v>453</v>
      </c>
      <c r="R83" s="291" t="s">
        <v>48</v>
      </c>
      <c r="S83" s="31"/>
      <c r="T83" s="291"/>
      <c r="U83" s="308">
        <f t="shared" ref="U83" si="37">DAYS360(G83,L83,0)+1</f>
        <v>250</v>
      </c>
      <c r="V83" s="300" t="str">
        <f t="shared" ref="V83" si="38">IF(U83&gt;7,"Inoportuno",(IF(U83&lt;0,"No ha formulado PM","Oportuno")))</f>
        <v>Inoportuno</v>
      </c>
      <c r="W83" s="308">
        <f t="shared" ref="W83" si="39">DAYS360(P83,S83,0)+1</f>
        <v>-41759</v>
      </c>
      <c r="X83" s="302" t="s">
        <v>334</v>
      </c>
    </row>
    <row r="84" spans="1:24" ht="244.5" customHeight="1" x14ac:dyDescent="0.2">
      <c r="A84" s="291">
        <v>81</v>
      </c>
      <c r="B84" s="286" t="s">
        <v>46</v>
      </c>
      <c r="C84" s="286" t="s">
        <v>261</v>
      </c>
      <c r="D84" s="283" t="s">
        <v>40</v>
      </c>
      <c r="E84" s="285" t="s">
        <v>195</v>
      </c>
      <c r="F84" s="287" t="s">
        <v>56</v>
      </c>
      <c r="G84" s="31">
        <v>41969</v>
      </c>
      <c r="H84" s="353" t="s">
        <v>260</v>
      </c>
      <c r="I84" s="288" t="s">
        <v>75</v>
      </c>
      <c r="J84" s="288" t="s">
        <v>131</v>
      </c>
      <c r="K84" s="290" t="s">
        <v>76</v>
      </c>
      <c r="L84" s="31">
        <v>42228</v>
      </c>
      <c r="M84" s="286" t="s">
        <v>51</v>
      </c>
      <c r="N84" s="286" t="s">
        <v>336</v>
      </c>
      <c r="O84" s="204" t="s">
        <v>379</v>
      </c>
      <c r="P84" s="31">
        <v>42369</v>
      </c>
      <c r="Q84" s="286" t="s">
        <v>645</v>
      </c>
      <c r="R84" s="291" t="s">
        <v>48</v>
      </c>
      <c r="S84" s="31"/>
      <c r="T84" s="291"/>
      <c r="U84" s="308">
        <f t="shared" ref="U84" si="40">DAYS360(G84,L84,0)+1</f>
        <v>257</v>
      </c>
      <c r="V84" s="300" t="str">
        <f t="shared" ref="V84" si="41">IF(U84&gt;7,"Inoportuno",(IF(U84&lt;0,"No ha formulado PM","Oportuno")))</f>
        <v>Inoportuno</v>
      </c>
      <c r="W84" s="308">
        <f t="shared" ref="W84" si="42">DAYS360(P84,S84,0)+1</f>
        <v>-41759</v>
      </c>
      <c r="X84" s="303" t="s">
        <v>334</v>
      </c>
    </row>
    <row r="85" spans="1:24" ht="384" customHeight="1" x14ac:dyDescent="0.2">
      <c r="A85" s="291">
        <f t="shared" si="23"/>
        <v>82</v>
      </c>
      <c r="B85" s="286" t="s">
        <v>46</v>
      </c>
      <c r="C85" s="286" t="s">
        <v>261</v>
      </c>
      <c r="D85" s="457" t="s">
        <v>40</v>
      </c>
      <c r="E85" s="454" t="s">
        <v>195</v>
      </c>
      <c r="F85" s="287" t="s">
        <v>56</v>
      </c>
      <c r="G85" s="31">
        <v>41969</v>
      </c>
      <c r="H85" s="353" t="s">
        <v>454</v>
      </c>
      <c r="I85" s="467" t="s">
        <v>75</v>
      </c>
      <c r="J85" s="467" t="s">
        <v>132</v>
      </c>
      <c r="K85" s="438" t="s">
        <v>76</v>
      </c>
      <c r="L85" s="31">
        <v>42228</v>
      </c>
      <c r="M85" s="286" t="s">
        <v>101</v>
      </c>
      <c r="N85" s="286" t="s">
        <v>348</v>
      </c>
      <c r="O85" s="204" t="s">
        <v>380</v>
      </c>
      <c r="P85" s="31">
        <v>42277</v>
      </c>
      <c r="Q85" s="289" t="s">
        <v>646</v>
      </c>
      <c r="R85" s="280" t="s">
        <v>52</v>
      </c>
      <c r="S85" s="281">
        <v>42531</v>
      </c>
      <c r="T85" s="291"/>
      <c r="U85" s="308">
        <f t="shared" ref="U85:U116" si="43">DAYS360(G85,L85,0)+1</f>
        <v>257</v>
      </c>
      <c r="V85" s="300" t="str">
        <f t="shared" si="19"/>
        <v>Inoportuno</v>
      </c>
      <c r="W85" s="308">
        <f t="shared" ref="W85:W116" si="44">DAYS360(P85,S85,0)+1</f>
        <v>251</v>
      </c>
      <c r="X85" s="303" t="s">
        <v>334</v>
      </c>
    </row>
    <row r="86" spans="1:24" ht="285.75" customHeight="1" x14ac:dyDescent="0.2">
      <c r="A86" s="291">
        <f t="shared" si="23"/>
        <v>83</v>
      </c>
      <c r="B86" s="286" t="s">
        <v>46</v>
      </c>
      <c r="C86" s="286" t="s">
        <v>261</v>
      </c>
      <c r="D86" s="459"/>
      <c r="E86" s="456"/>
      <c r="F86" s="287" t="s">
        <v>56</v>
      </c>
      <c r="G86" s="31">
        <v>41969</v>
      </c>
      <c r="H86" s="363" t="s">
        <v>455</v>
      </c>
      <c r="I86" s="469"/>
      <c r="J86" s="469"/>
      <c r="K86" s="439"/>
      <c r="L86" s="31">
        <v>42228</v>
      </c>
      <c r="M86" s="286" t="s">
        <v>51</v>
      </c>
      <c r="N86" s="286" t="s">
        <v>348</v>
      </c>
      <c r="O86" s="204" t="s">
        <v>349</v>
      </c>
      <c r="P86" s="31">
        <v>42277</v>
      </c>
      <c r="Q86" s="286" t="s">
        <v>647</v>
      </c>
      <c r="R86" s="280" t="s">
        <v>52</v>
      </c>
      <c r="S86" s="281">
        <v>42509</v>
      </c>
      <c r="T86" s="282" t="s">
        <v>648</v>
      </c>
      <c r="U86" s="308">
        <f t="shared" ref="U86:U90" si="45">DAYS360(G86,L86,0)+1</f>
        <v>257</v>
      </c>
      <c r="V86" s="300" t="str">
        <f t="shared" ref="V86:V90" si="46">IF(U86&gt;7,"Inoportuno",(IF(U86&lt;0,"No ha formulado PM","Oportuno")))</f>
        <v>Inoportuno</v>
      </c>
      <c r="W86" s="308">
        <f t="shared" ref="W86:W90" si="47">DAYS360(P86,S86,0)+1</f>
        <v>230</v>
      </c>
      <c r="X86" s="303" t="s">
        <v>334</v>
      </c>
    </row>
    <row r="87" spans="1:24" ht="356.25" customHeight="1" x14ac:dyDescent="0.2">
      <c r="A87" s="291">
        <f t="shared" si="23"/>
        <v>84</v>
      </c>
      <c r="B87" s="286" t="s">
        <v>46</v>
      </c>
      <c r="C87" s="286" t="s">
        <v>261</v>
      </c>
      <c r="D87" s="457" t="s">
        <v>40</v>
      </c>
      <c r="E87" s="454" t="s">
        <v>195</v>
      </c>
      <c r="F87" s="287" t="s">
        <v>56</v>
      </c>
      <c r="G87" s="364" t="s">
        <v>337</v>
      </c>
      <c r="H87" s="353" t="s">
        <v>383</v>
      </c>
      <c r="I87" s="467" t="s">
        <v>75</v>
      </c>
      <c r="J87" s="467" t="s">
        <v>132</v>
      </c>
      <c r="K87" s="438" t="s">
        <v>76</v>
      </c>
      <c r="L87" s="31">
        <v>42228</v>
      </c>
      <c r="M87" s="286" t="s">
        <v>101</v>
      </c>
      <c r="N87" s="286" t="s">
        <v>338</v>
      </c>
      <c r="O87" s="204" t="s">
        <v>339</v>
      </c>
      <c r="P87" s="179">
        <v>42369</v>
      </c>
      <c r="Q87" s="286" t="s">
        <v>649</v>
      </c>
      <c r="R87" s="291" t="s">
        <v>52</v>
      </c>
      <c r="S87" s="31">
        <v>42541</v>
      </c>
      <c r="T87" s="286" t="s">
        <v>650</v>
      </c>
      <c r="U87" s="308" t="e">
        <f t="shared" ref="U87:U89" si="48">DAYS360(G87,L87,0)+1</f>
        <v>#VALUE!</v>
      </c>
      <c r="V87" s="300" t="e">
        <f t="shared" ref="V87:V89" si="49">IF(U87&gt;7,"Inoportuno",(IF(U87&lt;0,"No ha formulado PM","Oportuno")))</f>
        <v>#VALUE!</v>
      </c>
      <c r="W87" s="308">
        <f t="shared" ref="W87:W89" si="50">DAYS360(P87,S87,0)+1</f>
        <v>171</v>
      </c>
      <c r="X87" s="303" t="s">
        <v>334</v>
      </c>
    </row>
    <row r="88" spans="1:24" ht="356.25" customHeight="1" x14ac:dyDescent="0.2">
      <c r="A88" s="291">
        <f t="shared" si="23"/>
        <v>85</v>
      </c>
      <c r="B88" s="286" t="s">
        <v>46</v>
      </c>
      <c r="C88" s="286" t="s">
        <v>261</v>
      </c>
      <c r="D88" s="458"/>
      <c r="E88" s="455"/>
      <c r="F88" s="287" t="s">
        <v>56</v>
      </c>
      <c r="G88" s="364" t="s">
        <v>337</v>
      </c>
      <c r="H88" s="353" t="s">
        <v>343</v>
      </c>
      <c r="I88" s="468"/>
      <c r="J88" s="468"/>
      <c r="K88" s="443"/>
      <c r="L88" s="31">
        <v>42228</v>
      </c>
      <c r="M88" s="286" t="s">
        <v>47</v>
      </c>
      <c r="N88" s="286" t="s">
        <v>338</v>
      </c>
      <c r="O88" s="204" t="s">
        <v>340</v>
      </c>
      <c r="P88" s="31">
        <v>42369</v>
      </c>
      <c r="Q88" s="286" t="s">
        <v>651</v>
      </c>
      <c r="R88" s="291" t="s">
        <v>52</v>
      </c>
      <c r="S88" s="31">
        <v>42541</v>
      </c>
      <c r="T88" s="291"/>
      <c r="U88" s="308" t="e">
        <f t="shared" si="48"/>
        <v>#VALUE!</v>
      </c>
      <c r="V88" s="300" t="e">
        <f t="shared" si="49"/>
        <v>#VALUE!</v>
      </c>
      <c r="W88" s="308">
        <f t="shared" si="50"/>
        <v>171</v>
      </c>
      <c r="X88" s="303" t="s">
        <v>334</v>
      </c>
    </row>
    <row r="89" spans="1:24" ht="356.25" customHeight="1" x14ac:dyDescent="0.2">
      <c r="A89" s="291">
        <f t="shared" si="23"/>
        <v>86</v>
      </c>
      <c r="B89" s="286" t="s">
        <v>46</v>
      </c>
      <c r="C89" s="286" t="s">
        <v>261</v>
      </c>
      <c r="D89" s="459"/>
      <c r="E89" s="456"/>
      <c r="F89" s="287" t="s">
        <v>56</v>
      </c>
      <c r="G89" s="364" t="s">
        <v>337</v>
      </c>
      <c r="H89" s="353" t="s">
        <v>343</v>
      </c>
      <c r="I89" s="469"/>
      <c r="J89" s="469"/>
      <c r="K89" s="439"/>
      <c r="L89" s="31">
        <v>42228</v>
      </c>
      <c r="M89" s="286" t="s">
        <v>47</v>
      </c>
      <c r="N89" s="286" t="s">
        <v>338</v>
      </c>
      <c r="O89" s="204" t="s">
        <v>341</v>
      </c>
      <c r="P89" s="31">
        <v>42369</v>
      </c>
      <c r="Q89" s="286" t="s">
        <v>652</v>
      </c>
      <c r="R89" s="291" t="s">
        <v>52</v>
      </c>
      <c r="S89" s="31">
        <v>42541</v>
      </c>
      <c r="T89" s="291"/>
      <c r="U89" s="308" t="e">
        <f t="shared" si="48"/>
        <v>#VALUE!</v>
      </c>
      <c r="V89" s="300" t="e">
        <f t="shared" si="49"/>
        <v>#VALUE!</v>
      </c>
      <c r="W89" s="308">
        <f t="shared" si="50"/>
        <v>171</v>
      </c>
      <c r="X89" s="303" t="s">
        <v>334</v>
      </c>
    </row>
    <row r="90" spans="1:24" ht="238.5" customHeight="1" x14ac:dyDescent="0.2">
      <c r="A90" s="291">
        <f t="shared" si="23"/>
        <v>87</v>
      </c>
      <c r="B90" s="286" t="s">
        <v>46</v>
      </c>
      <c r="C90" s="286" t="s">
        <v>261</v>
      </c>
      <c r="D90" s="283" t="s">
        <v>40</v>
      </c>
      <c r="E90" s="285" t="s">
        <v>195</v>
      </c>
      <c r="F90" s="287" t="s">
        <v>56</v>
      </c>
      <c r="G90" s="31">
        <v>41969</v>
      </c>
      <c r="H90" s="353" t="s">
        <v>262</v>
      </c>
      <c r="I90" s="288" t="s">
        <v>75</v>
      </c>
      <c r="J90" s="288" t="s">
        <v>131</v>
      </c>
      <c r="K90" s="290" t="s">
        <v>76</v>
      </c>
      <c r="L90" s="31">
        <v>42228</v>
      </c>
      <c r="M90" s="286" t="s">
        <v>47</v>
      </c>
      <c r="N90" s="286" t="s">
        <v>342</v>
      </c>
      <c r="O90" s="204" t="s">
        <v>344</v>
      </c>
      <c r="P90" s="179">
        <v>42004</v>
      </c>
      <c r="Q90" s="289" t="s">
        <v>653</v>
      </c>
      <c r="R90" s="291" t="s">
        <v>48</v>
      </c>
      <c r="S90" s="31"/>
      <c r="T90" s="291"/>
      <c r="U90" s="308">
        <f t="shared" si="45"/>
        <v>257</v>
      </c>
      <c r="V90" s="300" t="str">
        <f t="shared" si="46"/>
        <v>Inoportuno</v>
      </c>
      <c r="W90" s="308">
        <f t="shared" si="47"/>
        <v>-41399</v>
      </c>
      <c r="X90" s="303" t="s">
        <v>334</v>
      </c>
    </row>
    <row r="91" spans="1:24" ht="107.25" customHeight="1" x14ac:dyDescent="0.2">
      <c r="A91" s="291">
        <f t="shared" si="23"/>
        <v>88</v>
      </c>
      <c r="B91" s="286" t="s">
        <v>263</v>
      </c>
      <c r="C91" s="286" t="s">
        <v>263</v>
      </c>
      <c r="D91" s="283" t="s">
        <v>40</v>
      </c>
      <c r="E91" s="295" t="s">
        <v>0</v>
      </c>
      <c r="F91" s="287" t="s">
        <v>53</v>
      </c>
      <c r="G91" s="31">
        <v>41999</v>
      </c>
      <c r="H91" s="295" t="s">
        <v>264</v>
      </c>
      <c r="I91" s="298" t="s">
        <v>75</v>
      </c>
      <c r="J91" s="288" t="s">
        <v>131</v>
      </c>
      <c r="K91" s="290" t="s">
        <v>76</v>
      </c>
      <c r="L91" s="31">
        <v>42052</v>
      </c>
      <c r="M91" s="286" t="s">
        <v>47</v>
      </c>
      <c r="N91" s="286" t="s">
        <v>363</v>
      </c>
      <c r="O91" s="204" t="s">
        <v>286</v>
      </c>
      <c r="P91" s="31">
        <v>42369</v>
      </c>
      <c r="Q91" s="286" t="s">
        <v>362</v>
      </c>
      <c r="R91" s="291" t="s">
        <v>48</v>
      </c>
      <c r="S91" s="31"/>
      <c r="T91" s="291"/>
      <c r="U91" s="308">
        <f t="shared" si="43"/>
        <v>52</v>
      </c>
      <c r="V91" s="300" t="str">
        <f t="shared" ref="V91:V116" si="51">IF(U91&gt;7,"Inoportuno",(IF(U91&lt;0,"No ha formulado PM","Oportuno")))</f>
        <v>Inoportuno</v>
      </c>
      <c r="W91" s="308">
        <f t="shared" si="44"/>
        <v>-41759</v>
      </c>
      <c r="X91" s="302" t="s">
        <v>334</v>
      </c>
    </row>
    <row r="92" spans="1:24" ht="138.75" customHeight="1" x14ac:dyDescent="0.2">
      <c r="A92" s="291">
        <f t="shared" si="23"/>
        <v>89</v>
      </c>
      <c r="B92" s="286" t="s">
        <v>60</v>
      </c>
      <c r="C92" s="286" t="s">
        <v>265</v>
      </c>
      <c r="D92" s="293" t="s">
        <v>40</v>
      </c>
      <c r="E92" s="285" t="s">
        <v>0</v>
      </c>
      <c r="F92" s="287" t="s">
        <v>56</v>
      </c>
      <c r="G92" s="31">
        <v>41995</v>
      </c>
      <c r="H92" s="357" t="s">
        <v>266</v>
      </c>
      <c r="I92" s="288" t="s">
        <v>75</v>
      </c>
      <c r="J92" s="288" t="s">
        <v>131</v>
      </c>
      <c r="K92" s="290" t="s">
        <v>76</v>
      </c>
      <c r="L92" s="31">
        <v>42010</v>
      </c>
      <c r="M92" s="286" t="s">
        <v>47</v>
      </c>
      <c r="N92" s="289" t="s">
        <v>278</v>
      </c>
      <c r="O92" s="204" t="s">
        <v>279</v>
      </c>
      <c r="P92" s="31">
        <v>42369</v>
      </c>
      <c r="Q92" s="286" t="s">
        <v>417</v>
      </c>
      <c r="R92" s="291" t="s">
        <v>48</v>
      </c>
      <c r="S92" s="31"/>
      <c r="T92" s="291"/>
      <c r="U92" s="308">
        <f t="shared" ref="U92" si="52">DAYS360(G92,L92,0)+1</f>
        <v>15</v>
      </c>
      <c r="V92" s="300" t="str">
        <f t="shared" si="51"/>
        <v>Inoportuno</v>
      </c>
      <c r="W92" s="308">
        <f t="shared" ref="W92" si="53">DAYS360(P92,S92,0)+1</f>
        <v>-41759</v>
      </c>
      <c r="X92" s="303" t="s">
        <v>334</v>
      </c>
    </row>
    <row r="93" spans="1:24" ht="149.25" customHeight="1" x14ac:dyDescent="0.2">
      <c r="A93" s="291">
        <f t="shared" si="23"/>
        <v>90</v>
      </c>
      <c r="B93" s="286" t="s">
        <v>60</v>
      </c>
      <c r="C93" s="286" t="s">
        <v>265</v>
      </c>
      <c r="D93" s="284" t="s">
        <v>40</v>
      </c>
      <c r="E93" s="295" t="s">
        <v>0</v>
      </c>
      <c r="F93" s="287" t="s">
        <v>56</v>
      </c>
      <c r="G93" s="31">
        <v>41995</v>
      </c>
      <c r="H93" s="357" t="s">
        <v>267</v>
      </c>
      <c r="I93" s="298" t="s">
        <v>75</v>
      </c>
      <c r="J93" s="298" t="s">
        <v>131</v>
      </c>
      <c r="K93" s="142" t="s">
        <v>77</v>
      </c>
      <c r="L93" s="31"/>
      <c r="M93" s="286"/>
      <c r="N93" s="286"/>
      <c r="O93" s="204"/>
      <c r="P93" s="31"/>
      <c r="Q93" s="286"/>
      <c r="R93" s="291"/>
      <c r="S93" s="31"/>
      <c r="T93" s="291"/>
      <c r="U93" s="308">
        <f t="shared" si="43"/>
        <v>-41391</v>
      </c>
      <c r="V93" s="300" t="str">
        <f t="shared" si="51"/>
        <v>No ha formulado PM</v>
      </c>
      <c r="W93" s="308">
        <f t="shared" si="44"/>
        <v>1</v>
      </c>
      <c r="X93" s="303" t="s">
        <v>334</v>
      </c>
    </row>
    <row r="94" spans="1:24" ht="102.75" customHeight="1" x14ac:dyDescent="0.2">
      <c r="A94" s="291">
        <f t="shared" si="23"/>
        <v>91</v>
      </c>
      <c r="B94" s="286" t="s">
        <v>60</v>
      </c>
      <c r="C94" s="286" t="s">
        <v>265</v>
      </c>
      <c r="D94" s="457" t="s">
        <v>40</v>
      </c>
      <c r="E94" s="454" t="s">
        <v>0</v>
      </c>
      <c r="F94" s="287" t="s">
        <v>56</v>
      </c>
      <c r="G94" s="31">
        <v>41995</v>
      </c>
      <c r="H94" s="357" t="s">
        <v>268</v>
      </c>
      <c r="I94" s="467" t="s">
        <v>75</v>
      </c>
      <c r="J94" s="467" t="s">
        <v>131</v>
      </c>
      <c r="K94" s="438" t="s">
        <v>76</v>
      </c>
      <c r="L94" s="31">
        <v>42010</v>
      </c>
      <c r="M94" s="286" t="s">
        <v>101</v>
      </c>
      <c r="N94" s="289" t="s">
        <v>282</v>
      </c>
      <c r="O94" s="204" t="s">
        <v>280</v>
      </c>
      <c r="P94" s="31">
        <v>42369</v>
      </c>
      <c r="Q94" s="286" t="s">
        <v>456</v>
      </c>
      <c r="R94" s="291" t="s">
        <v>48</v>
      </c>
      <c r="S94" s="31"/>
      <c r="T94" s="291"/>
      <c r="U94" s="308">
        <f t="shared" ref="U94:U97" si="54">DAYS360(G94,L94,0)+1</f>
        <v>15</v>
      </c>
      <c r="V94" s="300" t="str">
        <f t="shared" si="51"/>
        <v>Inoportuno</v>
      </c>
      <c r="W94" s="308">
        <f t="shared" ref="W94:W97" si="55">DAYS360(P94,S94,0)+1</f>
        <v>-41759</v>
      </c>
      <c r="X94" s="506" t="s">
        <v>334</v>
      </c>
    </row>
    <row r="95" spans="1:24" ht="131.25" customHeight="1" x14ac:dyDescent="0.2">
      <c r="A95" s="291">
        <f t="shared" si="23"/>
        <v>92</v>
      </c>
      <c r="B95" s="286" t="s">
        <v>60</v>
      </c>
      <c r="C95" s="286" t="s">
        <v>265</v>
      </c>
      <c r="D95" s="458"/>
      <c r="E95" s="455"/>
      <c r="F95" s="287" t="s">
        <v>56</v>
      </c>
      <c r="G95" s="31">
        <v>41995</v>
      </c>
      <c r="H95" s="357" t="s">
        <v>268</v>
      </c>
      <c r="I95" s="468"/>
      <c r="J95" s="468"/>
      <c r="K95" s="443"/>
      <c r="L95" s="31">
        <v>42010</v>
      </c>
      <c r="M95" s="286" t="s">
        <v>101</v>
      </c>
      <c r="N95" s="289" t="s">
        <v>282</v>
      </c>
      <c r="O95" s="204" t="s">
        <v>281</v>
      </c>
      <c r="P95" s="31">
        <v>42369</v>
      </c>
      <c r="Q95" s="286" t="s">
        <v>457</v>
      </c>
      <c r="R95" s="291" t="s">
        <v>48</v>
      </c>
      <c r="S95" s="31"/>
      <c r="T95" s="291"/>
      <c r="U95" s="308">
        <f t="shared" si="54"/>
        <v>15</v>
      </c>
      <c r="V95" s="300" t="str">
        <f t="shared" si="51"/>
        <v>Inoportuno</v>
      </c>
      <c r="W95" s="308">
        <f t="shared" si="55"/>
        <v>-41759</v>
      </c>
      <c r="X95" s="506" t="s">
        <v>334</v>
      </c>
    </row>
    <row r="96" spans="1:24" ht="220.5" customHeight="1" x14ac:dyDescent="0.2">
      <c r="A96" s="291">
        <f t="shared" si="23"/>
        <v>93</v>
      </c>
      <c r="B96" s="286" t="s">
        <v>60</v>
      </c>
      <c r="C96" s="286" t="s">
        <v>265</v>
      </c>
      <c r="D96" s="458"/>
      <c r="E96" s="455"/>
      <c r="F96" s="287" t="s">
        <v>56</v>
      </c>
      <c r="G96" s="31">
        <v>41995</v>
      </c>
      <c r="H96" s="357" t="s">
        <v>268</v>
      </c>
      <c r="I96" s="468"/>
      <c r="J96" s="468"/>
      <c r="K96" s="443"/>
      <c r="L96" s="31">
        <v>42010</v>
      </c>
      <c r="M96" s="286" t="s">
        <v>47</v>
      </c>
      <c r="N96" s="289" t="s">
        <v>282</v>
      </c>
      <c r="O96" s="204" t="s">
        <v>458</v>
      </c>
      <c r="P96" s="31">
        <v>42369</v>
      </c>
      <c r="Q96" s="289" t="s">
        <v>459</v>
      </c>
      <c r="R96" s="291" t="s">
        <v>48</v>
      </c>
      <c r="S96" s="31"/>
      <c r="T96" s="291"/>
      <c r="U96" s="308">
        <f t="shared" si="54"/>
        <v>15</v>
      </c>
      <c r="V96" s="300" t="str">
        <f t="shared" si="51"/>
        <v>Inoportuno</v>
      </c>
      <c r="W96" s="308">
        <f t="shared" si="55"/>
        <v>-41759</v>
      </c>
      <c r="X96" s="506" t="s">
        <v>334</v>
      </c>
    </row>
    <row r="97" spans="1:24" ht="96" customHeight="1" x14ac:dyDescent="0.2">
      <c r="A97" s="291">
        <f t="shared" si="23"/>
        <v>94</v>
      </c>
      <c r="B97" s="286" t="s">
        <v>60</v>
      </c>
      <c r="C97" s="286" t="s">
        <v>265</v>
      </c>
      <c r="D97" s="459"/>
      <c r="E97" s="456"/>
      <c r="F97" s="287" t="s">
        <v>56</v>
      </c>
      <c r="G97" s="31">
        <v>41995</v>
      </c>
      <c r="H97" s="357" t="s">
        <v>268</v>
      </c>
      <c r="I97" s="469"/>
      <c r="J97" s="469"/>
      <c r="K97" s="439"/>
      <c r="L97" s="31">
        <v>42010</v>
      </c>
      <c r="M97" s="286" t="s">
        <v>47</v>
      </c>
      <c r="N97" s="289" t="s">
        <v>282</v>
      </c>
      <c r="O97" s="204" t="s">
        <v>283</v>
      </c>
      <c r="P97" s="31">
        <v>42369</v>
      </c>
      <c r="Q97" s="286" t="s">
        <v>460</v>
      </c>
      <c r="R97" s="291" t="s">
        <v>48</v>
      </c>
      <c r="S97" s="31"/>
      <c r="T97" s="291"/>
      <c r="U97" s="308">
        <f t="shared" si="54"/>
        <v>15</v>
      </c>
      <c r="V97" s="300" t="str">
        <f t="shared" si="51"/>
        <v>Inoportuno</v>
      </c>
      <c r="W97" s="308">
        <f t="shared" si="55"/>
        <v>-41759</v>
      </c>
      <c r="X97" s="506" t="s">
        <v>334</v>
      </c>
    </row>
    <row r="98" spans="1:24" ht="238.5" customHeight="1" x14ac:dyDescent="0.2">
      <c r="A98" s="291">
        <f t="shared" si="23"/>
        <v>95</v>
      </c>
      <c r="B98" s="286" t="s">
        <v>60</v>
      </c>
      <c r="C98" s="286" t="s">
        <v>265</v>
      </c>
      <c r="D98" s="293" t="s">
        <v>40</v>
      </c>
      <c r="E98" s="285" t="s">
        <v>0</v>
      </c>
      <c r="F98" s="287" t="s">
        <v>56</v>
      </c>
      <c r="G98" s="31">
        <v>41995</v>
      </c>
      <c r="H98" s="357" t="s">
        <v>269</v>
      </c>
      <c r="I98" s="298" t="s">
        <v>75</v>
      </c>
      <c r="J98" s="298" t="s">
        <v>131</v>
      </c>
      <c r="K98" s="296" t="s">
        <v>76</v>
      </c>
      <c r="L98" s="31">
        <v>42010</v>
      </c>
      <c r="M98" s="286" t="s">
        <v>101</v>
      </c>
      <c r="N98" s="289" t="s">
        <v>282</v>
      </c>
      <c r="O98" s="204" t="s">
        <v>311</v>
      </c>
      <c r="P98" s="31">
        <v>42277</v>
      </c>
      <c r="Q98" s="289" t="s">
        <v>461</v>
      </c>
      <c r="R98" s="291" t="s">
        <v>48</v>
      </c>
      <c r="S98" s="31"/>
      <c r="T98" s="291"/>
      <c r="U98" s="308">
        <f t="shared" si="43"/>
        <v>15</v>
      </c>
      <c r="V98" s="300" t="str">
        <f t="shared" si="51"/>
        <v>Inoportuno</v>
      </c>
      <c r="W98" s="308">
        <f t="shared" si="44"/>
        <v>-41669</v>
      </c>
      <c r="X98" s="303" t="s">
        <v>334</v>
      </c>
    </row>
    <row r="99" spans="1:24" ht="216.75" customHeight="1" x14ac:dyDescent="0.2">
      <c r="A99" s="291">
        <f t="shared" si="23"/>
        <v>96</v>
      </c>
      <c r="B99" s="295" t="s">
        <v>333</v>
      </c>
      <c r="C99" s="286" t="s">
        <v>462</v>
      </c>
      <c r="D99" s="457" t="s">
        <v>40</v>
      </c>
      <c r="E99" s="454" t="s">
        <v>0</v>
      </c>
      <c r="F99" s="287" t="s">
        <v>57</v>
      </c>
      <c r="G99" s="31">
        <v>41985</v>
      </c>
      <c r="H99" s="357" t="s">
        <v>270</v>
      </c>
      <c r="I99" s="467" t="s">
        <v>75</v>
      </c>
      <c r="J99" s="467" t="s">
        <v>132</v>
      </c>
      <c r="K99" s="438" t="s">
        <v>76</v>
      </c>
      <c r="L99" s="31">
        <v>42023</v>
      </c>
      <c r="M99" s="286" t="s">
        <v>101</v>
      </c>
      <c r="N99" s="171" t="s">
        <v>287</v>
      </c>
      <c r="O99" s="368" t="s">
        <v>706</v>
      </c>
      <c r="P99" s="168">
        <v>42612</v>
      </c>
      <c r="Q99" s="286" t="s">
        <v>707</v>
      </c>
      <c r="R99" s="169" t="s">
        <v>52</v>
      </c>
      <c r="S99" s="168">
        <v>42663</v>
      </c>
      <c r="T99" s="171" t="s">
        <v>708</v>
      </c>
      <c r="U99" s="308">
        <f t="shared" si="43"/>
        <v>38</v>
      </c>
      <c r="V99" s="300" t="str">
        <f t="shared" si="51"/>
        <v>Inoportuno</v>
      </c>
      <c r="W99" s="308">
        <f t="shared" si="44"/>
        <v>51</v>
      </c>
      <c r="X99" s="507" t="s">
        <v>334</v>
      </c>
    </row>
    <row r="100" spans="1:24" ht="196.5" customHeight="1" x14ac:dyDescent="0.2">
      <c r="A100" s="291">
        <f t="shared" si="23"/>
        <v>97</v>
      </c>
      <c r="B100" s="295" t="s">
        <v>333</v>
      </c>
      <c r="C100" s="286" t="s">
        <v>462</v>
      </c>
      <c r="D100" s="459"/>
      <c r="E100" s="456"/>
      <c r="F100" s="287" t="s">
        <v>57</v>
      </c>
      <c r="G100" s="31">
        <v>41985</v>
      </c>
      <c r="H100" s="357" t="s">
        <v>270</v>
      </c>
      <c r="I100" s="469"/>
      <c r="J100" s="469"/>
      <c r="K100" s="439"/>
      <c r="L100" s="31">
        <v>42023</v>
      </c>
      <c r="M100" s="286" t="s">
        <v>47</v>
      </c>
      <c r="N100" s="171" t="s">
        <v>287</v>
      </c>
      <c r="O100" s="204" t="s">
        <v>701</v>
      </c>
      <c r="P100" s="168">
        <v>42551</v>
      </c>
      <c r="Q100" s="289" t="s">
        <v>702</v>
      </c>
      <c r="R100" s="169" t="s">
        <v>52</v>
      </c>
      <c r="S100" s="168"/>
      <c r="T100" s="169"/>
      <c r="U100" s="308">
        <f t="shared" ref="U100" si="56">DAYS360(G100,L100,0)+1</f>
        <v>38</v>
      </c>
      <c r="V100" s="300" t="str">
        <f t="shared" si="51"/>
        <v>Inoportuno</v>
      </c>
      <c r="W100" s="308">
        <f t="shared" ref="W100" si="57">DAYS360(P100,S100,0)+1</f>
        <v>-41939</v>
      </c>
      <c r="X100" s="509" t="s">
        <v>334</v>
      </c>
    </row>
    <row r="101" spans="1:24" ht="174.75" customHeight="1" x14ac:dyDescent="0.2">
      <c r="A101" s="291">
        <f t="shared" si="23"/>
        <v>98</v>
      </c>
      <c r="B101" s="295" t="s">
        <v>333</v>
      </c>
      <c r="C101" s="286" t="s">
        <v>462</v>
      </c>
      <c r="D101" s="284" t="s">
        <v>40</v>
      </c>
      <c r="E101" s="295" t="s">
        <v>0</v>
      </c>
      <c r="F101" s="287" t="s">
        <v>57</v>
      </c>
      <c r="G101" s="31">
        <v>41985</v>
      </c>
      <c r="H101" s="357" t="s">
        <v>463</v>
      </c>
      <c r="I101" s="298" t="s">
        <v>75</v>
      </c>
      <c r="J101" s="298" t="s">
        <v>132</v>
      </c>
      <c r="K101" s="142" t="s">
        <v>76</v>
      </c>
      <c r="L101" s="31">
        <v>42023</v>
      </c>
      <c r="M101" s="286" t="s">
        <v>101</v>
      </c>
      <c r="N101" s="286" t="s">
        <v>134</v>
      </c>
      <c r="O101" s="204" t="s">
        <v>709</v>
      </c>
      <c r="P101" s="31">
        <v>42612</v>
      </c>
      <c r="Q101" s="286" t="s">
        <v>710</v>
      </c>
      <c r="R101" s="291" t="s">
        <v>52</v>
      </c>
      <c r="S101" s="31">
        <v>42663</v>
      </c>
      <c r="T101" s="171" t="s">
        <v>697</v>
      </c>
      <c r="U101" s="308">
        <f t="shared" si="43"/>
        <v>38</v>
      </c>
      <c r="V101" s="300" t="str">
        <f t="shared" si="51"/>
        <v>Inoportuno</v>
      </c>
      <c r="W101" s="308">
        <f t="shared" si="44"/>
        <v>51</v>
      </c>
      <c r="X101" s="303" t="s">
        <v>334</v>
      </c>
    </row>
    <row r="102" spans="1:24" ht="92.25" customHeight="1" x14ac:dyDescent="0.2">
      <c r="A102" s="291">
        <f t="shared" si="23"/>
        <v>99</v>
      </c>
      <c r="B102" s="295" t="s">
        <v>333</v>
      </c>
      <c r="C102" s="286" t="s">
        <v>462</v>
      </c>
      <c r="D102" s="284" t="s">
        <v>40</v>
      </c>
      <c r="E102" s="295" t="s">
        <v>0</v>
      </c>
      <c r="F102" s="287" t="s">
        <v>57</v>
      </c>
      <c r="G102" s="31">
        <v>41985</v>
      </c>
      <c r="H102" s="357" t="s">
        <v>271</v>
      </c>
      <c r="I102" s="298" t="s">
        <v>75</v>
      </c>
      <c r="J102" s="298" t="s">
        <v>132</v>
      </c>
      <c r="K102" s="142" t="s">
        <v>76</v>
      </c>
      <c r="L102" s="31">
        <v>42023</v>
      </c>
      <c r="M102" s="286" t="s">
        <v>101</v>
      </c>
      <c r="N102" s="286" t="s">
        <v>134</v>
      </c>
      <c r="O102" s="204" t="s">
        <v>288</v>
      </c>
      <c r="P102" s="31">
        <v>42093</v>
      </c>
      <c r="Q102" s="286" t="s">
        <v>668</v>
      </c>
      <c r="R102" s="291" t="s">
        <v>52</v>
      </c>
      <c r="S102" s="31">
        <v>42537</v>
      </c>
      <c r="T102" s="291"/>
      <c r="U102" s="308">
        <f t="shared" si="43"/>
        <v>38</v>
      </c>
      <c r="V102" s="300" t="str">
        <f t="shared" si="51"/>
        <v>Inoportuno</v>
      </c>
      <c r="W102" s="308">
        <f t="shared" si="44"/>
        <v>437</v>
      </c>
      <c r="X102" s="303" t="s">
        <v>334</v>
      </c>
    </row>
    <row r="103" spans="1:24" ht="162.75" customHeight="1" x14ac:dyDescent="0.2">
      <c r="A103" s="291">
        <f t="shared" si="23"/>
        <v>100</v>
      </c>
      <c r="B103" s="295" t="s">
        <v>333</v>
      </c>
      <c r="C103" s="286" t="s">
        <v>462</v>
      </c>
      <c r="D103" s="457" t="s">
        <v>40</v>
      </c>
      <c r="E103" s="454" t="s">
        <v>0</v>
      </c>
      <c r="F103" s="287" t="s">
        <v>57</v>
      </c>
      <c r="G103" s="31">
        <v>41985</v>
      </c>
      <c r="H103" s="454" t="s">
        <v>272</v>
      </c>
      <c r="I103" s="467" t="s">
        <v>75</v>
      </c>
      <c r="J103" s="467" t="s">
        <v>131</v>
      </c>
      <c r="K103" s="438" t="s">
        <v>76</v>
      </c>
      <c r="L103" s="31">
        <v>42023</v>
      </c>
      <c r="M103" s="286" t="s">
        <v>101</v>
      </c>
      <c r="N103" s="286" t="s">
        <v>134</v>
      </c>
      <c r="O103" s="204" t="s">
        <v>712</v>
      </c>
      <c r="P103" s="31">
        <v>42368</v>
      </c>
      <c r="Q103" s="286" t="s">
        <v>711</v>
      </c>
      <c r="R103" s="291" t="s">
        <v>48</v>
      </c>
      <c r="S103" s="31">
        <v>42885</v>
      </c>
      <c r="T103" s="171"/>
      <c r="U103" s="308">
        <f t="shared" si="43"/>
        <v>38</v>
      </c>
      <c r="V103" s="300" t="str">
        <f t="shared" si="51"/>
        <v>Inoportuno</v>
      </c>
      <c r="W103" s="308">
        <f t="shared" si="44"/>
        <v>511</v>
      </c>
      <c r="X103" s="507" t="s">
        <v>334</v>
      </c>
    </row>
    <row r="104" spans="1:24" ht="92.25" customHeight="1" x14ac:dyDescent="0.2">
      <c r="A104" s="291">
        <f t="shared" si="23"/>
        <v>101</v>
      </c>
      <c r="B104" s="295" t="s">
        <v>333</v>
      </c>
      <c r="C104" s="286" t="s">
        <v>462</v>
      </c>
      <c r="D104" s="458"/>
      <c r="E104" s="455"/>
      <c r="F104" s="287" t="s">
        <v>57</v>
      </c>
      <c r="G104" s="31">
        <v>41985</v>
      </c>
      <c r="H104" s="455"/>
      <c r="I104" s="468"/>
      <c r="J104" s="468"/>
      <c r="K104" s="443"/>
      <c r="L104" s="31">
        <v>42023</v>
      </c>
      <c r="M104" s="286" t="s">
        <v>101</v>
      </c>
      <c r="N104" s="286" t="s">
        <v>134</v>
      </c>
      <c r="O104" s="204" t="s">
        <v>464</v>
      </c>
      <c r="P104" s="31">
        <v>42368</v>
      </c>
      <c r="Q104" s="286" t="s">
        <v>716</v>
      </c>
      <c r="R104" s="291" t="s">
        <v>52</v>
      </c>
      <c r="S104" s="31">
        <v>42381</v>
      </c>
      <c r="T104" s="171" t="s">
        <v>429</v>
      </c>
      <c r="U104" s="308">
        <f t="shared" ref="U104:U106" si="58">DAYS360(G104,L104,0)+1</f>
        <v>38</v>
      </c>
      <c r="V104" s="300" t="str">
        <f t="shared" si="51"/>
        <v>Inoportuno</v>
      </c>
      <c r="W104" s="308">
        <f t="shared" ref="W104:W106" si="59">DAYS360(P104,S104,0)+1</f>
        <v>13</v>
      </c>
      <c r="X104" s="508" t="s">
        <v>334</v>
      </c>
    </row>
    <row r="105" spans="1:24" ht="143.25" customHeight="1" x14ac:dyDescent="0.2">
      <c r="A105" s="291">
        <f t="shared" si="23"/>
        <v>102</v>
      </c>
      <c r="B105" s="295" t="s">
        <v>333</v>
      </c>
      <c r="C105" s="286" t="s">
        <v>462</v>
      </c>
      <c r="D105" s="458"/>
      <c r="E105" s="455"/>
      <c r="F105" s="287" t="s">
        <v>57</v>
      </c>
      <c r="G105" s="31">
        <v>41985</v>
      </c>
      <c r="H105" s="455"/>
      <c r="I105" s="468"/>
      <c r="J105" s="468"/>
      <c r="K105" s="443"/>
      <c r="L105" s="31">
        <v>42023</v>
      </c>
      <c r="M105" s="286" t="s">
        <v>47</v>
      </c>
      <c r="N105" s="286" t="s">
        <v>134</v>
      </c>
      <c r="O105" s="204" t="s">
        <v>289</v>
      </c>
      <c r="P105" s="31">
        <v>42368</v>
      </c>
      <c r="Q105" s="286" t="s">
        <v>669</v>
      </c>
      <c r="R105" s="291" t="s">
        <v>48</v>
      </c>
      <c r="S105" s="31"/>
      <c r="T105" s="291"/>
      <c r="U105" s="308">
        <f t="shared" si="58"/>
        <v>38</v>
      </c>
      <c r="V105" s="300" t="str">
        <f t="shared" si="51"/>
        <v>Inoportuno</v>
      </c>
      <c r="W105" s="308">
        <f t="shared" si="59"/>
        <v>-41759</v>
      </c>
      <c r="X105" s="508" t="s">
        <v>334</v>
      </c>
    </row>
    <row r="106" spans="1:24" ht="175.5" customHeight="1" x14ac:dyDescent="0.2">
      <c r="A106" s="291">
        <f t="shared" si="23"/>
        <v>103</v>
      </c>
      <c r="B106" s="295" t="s">
        <v>333</v>
      </c>
      <c r="C106" s="286" t="s">
        <v>462</v>
      </c>
      <c r="D106" s="459"/>
      <c r="E106" s="456"/>
      <c r="F106" s="287" t="s">
        <v>57</v>
      </c>
      <c r="G106" s="31">
        <v>41985</v>
      </c>
      <c r="H106" s="456"/>
      <c r="I106" s="469"/>
      <c r="J106" s="469"/>
      <c r="K106" s="439"/>
      <c r="L106" s="31">
        <v>42023</v>
      </c>
      <c r="M106" s="286" t="s">
        <v>47</v>
      </c>
      <c r="N106" s="286" t="s">
        <v>134</v>
      </c>
      <c r="O106" s="204" t="s">
        <v>465</v>
      </c>
      <c r="P106" s="31">
        <v>42368</v>
      </c>
      <c r="Q106" s="289" t="s">
        <v>670</v>
      </c>
      <c r="R106" s="291" t="s">
        <v>48</v>
      </c>
      <c r="S106" s="31"/>
      <c r="T106" s="291"/>
      <c r="U106" s="308">
        <f t="shared" si="58"/>
        <v>38</v>
      </c>
      <c r="V106" s="300" t="str">
        <f t="shared" si="51"/>
        <v>Inoportuno</v>
      </c>
      <c r="W106" s="308">
        <f t="shared" si="59"/>
        <v>-41759</v>
      </c>
      <c r="X106" s="509" t="s">
        <v>334</v>
      </c>
    </row>
    <row r="107" spans="1:24" ht="193.5" customHeight="1" x14ac:dyDescent="0.2">
      <c r="A107" s="291">
        <f t="shared" si="23"/>
        <v>104</v>
      </c>
      <c r="B107" s="295" t="s">
        <v>333</v>
      </c>
      <c r="C107" s="286" t="s">
        <v>462</v>
      </c>
      <c r="D107" s="457" t="s">
        <v>40</v>
      </c>
      <c r="E107" s="454" t="s">
        <v>0</v>
      </c>
      <c r="F107" s="287" t="s">
        <v>57</v>
      </c>
      <c r="G107" s="31">
        <v>41985</v>
      </c>
      <c r="H107" s="357" t="s">
        <v>273</v>
      </c>
      <c r="I107" s="467" t="s">
        <v>75</v>
      </c>
      <c r="J107" s="467" t="s">
        <v>132</v>
      </c>
      <c r="K107" s="438" t="s">
        <v>76</v>
      </c>
      <c r="L107" s="31">
        <v>42023</v>
      </c>
      <c r="M107" s="286" t="s">
        <v>101</v>
      </c>
      <c r="N107" s="286" t="s">
        <v>134</v>
      </c>
      <c r="O107" s="204" t="s">
        <v>290</v>
      </c>
      <c r="P107" s="31">
        <v>42368</v>
      </c>
      <c r="Q107" s="365" t="s">
        <v>431</v>
      </c>
      <c r="R107" s="291" t="s">
        <v>52</v>
      </c>
      <c r="S107" s="31">
        <v>42381</v>
      </c>
      <c r="T107" s="171" t="s">
        <v>429</v>
      </c>
      <c r="U107" s="308">
        <f t="shared" si="43"/>
        <v>38</v>
      </c>
      <c r="V107" s="300" t="str">
        <f t="shared" si="51"/>
        <v>Inoportuno</v>
      </c>
      <c r="W107" s="308">
        <f t="shared" si="44"/>
        <v>13</v>
      </c>
      <c r="X107" s="507" t="s">
        <v>334</v>
      </c>
    </row>
    <row r="108" spans="1:24" ht="157.5" customHeight="1" x14ac:dyDescent="0.2">
      <c r="A108" s="291">
        <f t="shared" si="23"/>
        <v>105</v>
      </c>
      <c r="B108" s="295" t="s">
        <v>333</v>
      </c>
      <c r="C108" s="286" t="s">
        <v>462</v>
      </c>
      <c r="D108" s="458"/>
      <c r="E108" s="455"/>
      <c r="F108" s="287" t="s">
        <v>57</v>
      </c>
      <c r="G108" s="31">
        <v>41985</v>
      </c>
      <c r="H108" s="357" t="s">
        <v>273</v>
      </c>
      <c r="I108" s="468"/>
      <c r="J108" s="468"/>
      <c r="K108" s="443"/>
      <c r="L108" s="31">
        <v>42023</v>
      </c>
      <c r="M108" s="286" t="s">
        <v>101</v>
      </c>
      <c r="N108" s="286" t="s">
        <v>134</v>
      </c>
      <c r="O108" s="204" t="s">
        <v>291</v>
      </c>
      <c r="P108" s="31">
        <v>42368</v>
      </c>
      <c r="Q108" s="286" t="s">
        <v>432</v>
      </c>
      <c r="R108" s="291" t="s">
        <v>52</v>
      </c>
      <c r="S108" s="31">
        <v>42381</v>
      </c>
      <c r="T108" s="171" t="s">
        <v>429</v>
      </c>
      <c r="U108" s="308">
        <f t="shared" ref="U108:U109" si="60">DAYS360(G108,L108,0)+1</f>
        <v>38</v>
      </c>
      <c r="V108" s="300" t="str">
        <f t="shared" si="51"/>
        <v>Inoportuno</v>
      </c>
      <c r="W108" s="308">
        <f t="shared" ref="W108:W109" si="61">DAYS360(P108,S108,0)+1</f>
        <v>13</v>
      </c>
      <c r="X108" s="508" t="s">
        <v>334</v>
      </c>
    </row>
    <row r="109" spans="1:24" ht="194.25" customHeight="1" x14ac:dyDescent="0.2">
      <c r="A109" s="291">
        <f t="shared" si="23"/>
        <v>106</v>
      </c>
      <c r="B109" s="295" t="s">
        <v>333</v>
      </c>
      <c r="C109" s="286" t="s">
        <v>462</v>
      </c>
      <c r="D109" s="459"/>
      <c r="E109" s="456"/>
      <c r="F109" s="287" t="s">
        <v>57</v>
      </c>
      <c r="G109" s="31">
        <v>41985</v>
      </c>
      <c r="H109" s="357" t="s">
        <v>273</v>
      </c>
      <c r="I109" s="469"/>
      <c r="J109" s="469"/>
      <c r="K109" s="439"/>
      <c r="L109" s="31">
        <v>42023</v>
      </c>
      <c r="M109" s="286" t="s">
        <v>101</v>
      </c>
      <c r="N109" s="286" t="s">
        <v>134</v>
      </c>
      <c r="O109" s="204" t="s">
        <v>292</v>
      </c>
      <c r="P109" s="31">
        <v>42368</v>
      </c>
      <c r="Q109" s="286" t="s">
        <v>432</v>
      </c>
      <c r="R109" s="291" t="s">
        <v>52</v>
      </c>
      <c r="S109" s="31">
        <v>42381</v>
      </c>
      <c r="T109" s="171" t="s">
        <v>429</v>
      </c>
      <c r="U109" s="308">
        <f t="shared" si="60"/>
        <v>38</v>
      </c>
      <c r="V109" s="300" t="str">
        <f t="shared" si="51"/>
        <v>Inoportuno</v>
      </c>
      <c r="W109" s="308">
        <f t="shared" si="61"/>
        <v>13</v>
      </c>
      <c r="X109" s="509" t="s">
        <v>334</v>
      </c>
    </row>
    <row r="110" spans="1:24" ht="244.5" customHeight="1" x14ac:dyDescent="0.2">
      <c r="A110" s="291">
        <f t="shared" si="23"/>
        <v>107</v>
      </c>
      <c r="B110" s="295" t="s">
        <v>333</v>
      </c>
      <c r="C110" s="286" t="s">
        <v>462</v>
      </c>
      <c r="D110" s="457" t="s">
        <v>40</v>
      </c>
      <c r="E110" s="454" t="s">
        <v>0</v>
      </c>
      <c r="F110" s="287" t="s">
        <v>57</v>
      </c>
      <c r="G110" s="31">
        <v>41985</v>
      </c>
      <c r="H110" s="454" t="s">
        <v>296</v>
      </c>
      <c r="I110" s="467" t="s">
        <v>75</v>
      </c>
      <c r="J110" s="467" t="s">
        <v>131</v>
      </c>
      <c r="K110" s="438" t="s">
        <v>76</v>
      </c>
      <c r="L110" s="31">
        <v>42023</v>
      </c>
      <c r="M110" s="286" t="s">
        <v>101</v>
      </c>
      <c r="N110" s="286" t="s">
        <v>134</v>
      </c>
      <c r="O110" s="204" t="s">
        <v>293</v>
      </c>
      <c r="P110" s="31">
        <v>42368</v>
      </c>
      <c r="Q110" s="286" t="s">
        <v>433</v>
      </c>
      <c r="R110" s="291" t="s">
        <v>52</v>
      </c>
      <c r="S110" s="31">
        <v>42381</v>
      </c>
      <c r="T110" s="171" t="s">
        <v>429</v>
      </c>
      <c r="U110" s="308">
        <f t="shared" si="43"/>
        <v>38</v>
      </c>
      <c r="V110" s="300" t="str">
        <f t="shared" si="51"/>
        <v>Inoportuno</v>
      </c>
      <c r="W110" s="308">
        <f t="shared" si="44"/>
        <v>13</v>
      </c>
      <c r="X110" s="507" t="s">
        <v>334</v>
      </c>
    </row>
    <row r="111" spans="1:24" ht="111" customHeight="1" x14ac:dyDescent="0.2">
      <c r="A111" s="291">
        <f t="shared" si="23"/>
        <v>108</v>
      </c>
      <c r="B111" s="295" t="s">
        <v>333</v>
      </c>
      <c r="C111" s="286" t="s">
        <v>462</v>
      </c>
      <c r="D111" s="458"/>
      <c r="E111" s="455"/>
      <c r="F111" s="287" t="s">
        <v>57</v>
      </c>
      <c r="G111" s="31">
        <v>41985</v>
      </c>
      <c r="H111" s="455"/>
      <c r="I111" s="468"/>
      <c r="J111" s="468"/>
      <c r="K111" s="443"/>
      <c r="L111" s="31">
        <v>42023</v>
      </c>
      <c r="M111" s="286" t="s">
        <v>101</v>
      </c>
      <c r="N111" s="286" t="s">
        <v>134</v>
      </c>
      <c r="O111" s="204" t="s">
        <v>466</v>
      </c>
      <c r="P111" s="31">
        <v>42368</v>
      </c>
      <c r="Q111" s="286" t="s">
        <v>434</v>
      </c>
      <c r="R111" s="291" t="s">
        <v>52</v>
      </c>
      <c r="S111" s="31">
        <v>42381</v>
      </c>
      <c r="T111" s="171" t="s">
        <v>429</v>
      </c>
      <c r="U111" s="308">
        <f t="shared" ref="U111:U115" si="62">DAYS360(G111,L111,0)+1</f>
        <v>38</v>
      </c>
      <c r="V111" s="300" t="str">
        <f t="shared" si="51"/>
        <v>Inoportuno</v>
      </c>
      <c r="W111" s="308">
        <f t="shared" ref="W111:W115" si="63">DAYS360(P111,S111,0)+1</f>
        <v>13</v>
      </c>
      <c r="X111" s="508" t="s">
        <v>334</v>
      </c>
    </row>
    <row r="112" spans="1:24" ht="244.5" customHeight="1" x14ac:dyDescent="0.2">
      <c r="A112" s="291">
        <f t="shared" si="23"/>
        <v>109</v>
      </c>
      <c r="B112" s="295" t="s">
        <v>333</v>
      </c>
      <c r="C112" s="286" t="s">
        <v>462</v>
      </c>
      <c r="D112" s="458"/>
      <c r="E112" s="455"/>
      <c r="F112" s="287" t="s">
        <v>57</v>
      </c>
      <c r="G112" s="31">
        <v>41985</v>
      </c>
      <c r="H112" s="455"/>
      <c r="I112" s="468"/>
      <c r="J112" s="468"/>
      <c r="K112" s="443"/>
      <c r="L112" s="31">
        <v>42023</v>
      </c>
      <c r="M112" s="286" t="s">
        <v>101</v>
      </c>
      <c r="N112" s="286" t="s">
        <v>134</v>
      </c>
      <c r="O112" s="204" t="s">
        <v>294</v>
      </c>
      <c r="P112" s="31">
        <v>42368</v>
      </c>
      <c r="Q112" s="289" t="s">
        <v>671</v>
      </c>
      <c r="R112" s="291" t="s">
        <v>48</v>
      </c>
      <c r="S112" s="31"/>
      <c r="T112" s="291"/>
      <c r="U112" s="308">
        <f t="shared" si="62"/>
        <v>38</v>
      </c>
      <c r="V112" s="300" t="str">
        <f t="shared" si="51"/>
        <v>Inoportuno</v>
      </c>
      <c r="W112" s="308">
        <f t="shared" si="63"/>
        <v>-41759</v>
      </c>
      <c r="X112" s="508" t="s">
        <v>334</v>
      </c>
    </row>
    <row r="113" spans="1:24" ht="231.75" customHeight="1" x14ac:dyDescent="0.2">
      <c r="A113" s="291">
        <f t="shared" si="23"/>
        <v>110</v>
      </c>
      <c r="B113" s="295" t="s">
        <v>333</v>
      </c>
      <c r="C113" s="286" t="s">
        <v>462</v>
      </c>
      <c r="D113" s="458"/>
      <c r="E113" s="455"/>
      <c r="F113" s="287" t="s">
        <v>57</v>
      </c>
      <c r="G113" s="31">
        <v>41985</v>
      </c>
      <c r="H113" s="455"/>
      <c r="I113" s="468"/>
      <c r="J113" s="468"/>
      <c r="K113" s="443"/>
      <c r="L113" s="31">
        <v>42023</v>
      </c>
      <c r="M113" s="286" t="s">
        <v>47</v>
      </c>
      <c r="N113" s="286" t="s">
        <v>134</v>
      </c>
      <c r="O113" s="204" t="s">
        <v>295</v>
      </c>
      <c r="P113" s="31">
        <v>42368</v>
      </c>
      <c r="Q113" s="286" t="s">
        <v>435</v>
      </c>
      <c r="R113" s="291" t="s">
        <v>52</v>
      </c>
      <c r="S113" s="31">
        <v>42381</v>
      </c>
      <c r="T113" s="171" t="s">
        <v>429</v>
      </c>
      <c r="U113" s="308">
        <f t="shared" si="62"/>
        <v>38</v>
      </c>
      <c r="V113" s="300" t="str">
        <f t="shared" si="51"/>
        <v>Inoportuno</v>
      </c>
      <c r="W113" s="308">
        <f t="shared" si="63"/>
        <v>13</v>
      </c>
      <c r="X113" s="508" t="s">
        <v>334</v>
      </c>
    </row>
    <row r="114" spans="1:24" ht="112.5" customHeight="1" x14ac:dyDescent="0.2">
      <c r="A114" s="291">
        <f t="shared" si="23"/>
        <v>111</v>
      </c>
      <c r="B114" s="295" t="s">
        <v>333</v>
      </c>
      <c r="C114" s="286" t="s">
        <v>462</v>
      </c>
      <c r="D114" s="458"/>
      <c r="E114" s="455"/>
      <c r="F114" s="287" t="s">
        <v>57</v>
      </c>
      <c r="G114" s="31">
        <v>41985</v>
      </c>
      <c r="H114" s="456"/>
      <c r="I114" s="468"/>
      <c r="J114" s="468"/>
      <c r="K114" s="443"/>
      <c r="L114" s="31">
        <v>42023</v>
      </c>
      <c r="M114" s="286" t="s">
        <v>47</v>
      </c>
      <c r="N114" s="286" t="s">
        <v>134</v>
      </c>
      <c r="O114" s="204" t="s">
        <v>467</v>
      </c>
      <c r="P114" s="31">
        <v>42885</v>
      </c>
      <c r="Q114" s="289" t="s">
        <v>717</v>
      </c>
      <c r="R114" s="291" t="s">
        <v>48</v>
      </c>
      <c r="S114" s="31"/>
      <c r="T114" s="291"/>
      <c r="U114" s="308">
        <f t="shared" si="62"/>
        <v>38</v>
      </c>
      <c r="V114" s="300" t="str">
        <f t="shared" si="51"/>
        <v>Inoportuno</v>
      </c>
      <c r="W114" s="308">
        <f t="shared" si="63"/>
        <v>-42269</v>
      </c>
      <c r="X114" s="508" t="s">
        <v>334</v>
      </c>
    </row>
    <row r="115" spans="1:24" ht="256.5" customHeight="1" x14ac:dyDescent="0.2">
      <c r="A115" s="291">
        <f t="shared" si="23"/>
        <v>112</v>
      </c>
      <c r="B115" s="295" t="s">
        <v>333</v>
      </c>
      <c r="C115" s="286" t="s">
        <v>462</v>
      </c>
      <c r="D115" s="459"/>
      <c r="E115" s="456"/>
      <c r="F115" s="287" t="s">
        <v>57</v>
      </c>
      <c r="G115" s="31">
        <v>41985</v>
      </c>
      <c r="H115" s="357" t="s">
        <v>296</v>
      </c>
      <c r="I115" s="469"/>
      <c r="J115" s="469"/>
      <c r="K115" s="439"/>
      <c r="L115" s="31">
        <v>42023</v>
      </c>
      <c r="M115" s="286" t="s">
        <v>47</v>
      </c>
      <c r="N115" s="286" t="s">
        <v>134</v>
      </c>
      <c r="O115" s="204" t="s">
        <v>718</v>
      </c>
      <c r="P115" s="31">
        <v>42794</v>
      </c>
      <c r="Q115" s="289" t="s">
        <v>719</v>
      </c>
      <c r="R115" s="291" t="s">
        <v>48</v>
      </c>
      <c r="S115" s="31"/>
      <c r="T115" s="291"/>
      <c r="U115" s="308">
        <f t="shared" si="62"/>
        <v>38</v>
      </c>
      <c r="V115" s="300" t="str">
        <f t="shared" si="51"/>
        <v>Inoportuno</v>
      </c>
      <c r="W115" s="308">
        <f t="shared" si="63"/>
        <v>-42179</v>
      </c>
      <c r="X115" s="509" t="s">
        <v>334</v>
      </c>
    </row>
    <row r="116" spans="1:24" ht="89.25" customHeight="1" x14ac:dyDescent="0.2">
      <c r="A116" s="291">
        <f t="shared" si="23"/>
        <v>113</v>
      </c>
      <c r="B116" s="295" t="s">
        <v>333</v>
      </c>
      <c r="C116" s="286" t="s">
        <v>462</v>
      </c>
      <c r="D116" s="284" t="s">
        <v>40</v>
      </c>
      <c r="E116" s="295" t="s">
        <v>0</v>
      </c>
      <c r="F116" s="287" t="s">
        <v>57</v>
      </c>
      <c r="G116" s="31">
        <v>41985</v>
      </c>
      <c r="H116" s="357" t="s">
        <v>274</v>
      </c>
      <c r="I116" s="298" t="s">
        <v>75</v>
      </c>
      <c r="J116" s="298" t="s">
        <v>131</v>
      </c>
      <c r="K116" s="142" t="s">
        <v>76</v>
      </c>
      <c r="L116" s="31">
        <v>42023</v>
      </c>
      <c r="M116" s="286" t="s">
        <v>47</v>
      </c>
      <c r="N116" s="286" t="s">
        <v>134</v>
      </c>
      <c r="O116" s="204" t="s">
        <v>468</v>
      </c>
      <c r="P116" s="31">
        <v>42368</v>
      </c>
      <c r="Q116" s="286" t="s">
        <v>720</v>
      </c>
      <c r="R116" s="291" t="s">
        <v>48</v>
      </c>
      <c r="S116" s="31"/>
      <c r="T116" s="291"/>
      <c r="U116" s="308">
        <f t="shared" si="43"/>
        <v>38</v>
      </c>
      <c r="V116" s="300" t="str">
        <f t="shared" si="51"/>
        <v>Inoportuno</v>
      </c>
      <c r="W116" s="308">
        <f t="shared" si="44"/>
        <v>-41759</v>
      </c>
      <c r="X116" s="303" t="s">
        <v>334</v>
      </c>
    </row>
    <row r="117" spans="1:24" ht="132.75" customHeight="1" x14ac:dyDescent="0.2">
      <c r="A117" s="291">
        <f t="shared" si="23"/>
        <v>114</v>
      </c>
      <c r="B117" s="286" t="s">
        <v>2</v>
      </c>
      <c r="C117" s="286" t="s">
        <v>2</v>
      </c>
      <c r="D117" s="293" t="s">
        <v>40</v>
      </c>
      <c r="E117" s="295" t="s">
        <v>0</v>
      </c>
      <c r="F117" s="287" t="s">
        <v>55</v>
      </c>
      <c r="G117" s="31">
        <v>42004</v>
      </c>
      <c r="H117" s="357" t="s">
        <v>275</v>
      </c>
      <c r="I117" s="298" t="s">
        <v>75</v>
      </c>
      <c r="J117" s="298" t="s">
        <v>131</v>
      </c>
      <c r="K117" s="305" t="s">
        <v>76</v>
      </c>
      <c r="L117" s="31">
        <v>42243</v>
      </c>
      <c r="M117" s="286" t="s">
        <v>47</v>
      </c>
      <c r="N117" s="176" t="s">
        <v>351</v>
      </c>
      <c r="O117" s="204" t="s">
        <v>352</v>
      </c>
      <c r="P117" s="31">
        <v>42368</v>
      </c>
      <c r="Q117" s="365" t="s">
        <v>469</v>
      </c>
      <c r="R117" s="291" t="s">
        <v>48</v>
      </c>
      <c r="S117" s="31"/>
      <c r="T117" s="286"/>
      <c r="U117" s="308">
        <f t="shared" ref="U117" si="64">DAYS360(G117,L117,0)+1</f>
        <v>238</v>
      </c>
      <c r="V117" s="300" t="str">
        <f t="shared" ref="V117" si="65">IF(U117&gt;7,"Inoportuno",(IF(U117&lt;0,"No ha formulado PM","Oportuno")))</f>
        <v>Inoportuno</v>
      </c>
      <c r="W117" s="308">
        <f t="shared" ref="W117" si="66">DAYS360(P117,S117,0)+1</f>
        <v>-41759</v>
      </c>
      <c r="X117" s="303" t="s">
        <v>334</v>
      </c>
    </row>
    <row r="118" spans="1:24" ht="198" customHeight="1" x14ac:dyDescent="0.2">
      <c r="A118" s="291">
        <f t="shared" si="23"/>
        <v>115</v>
      </c>
      <c r="B118" s="286" t="s">
        <v>34</v>
      </c>
      <c r="C118" s="286" t="s">
        <v>34</v>
      </c>
      <c r="D118" s="457" t="s">
        <v>40</v>
      </c>
      <c r="E118" s="454" t="s">
        <v>0</v>
      </c>
      <c r="F118" s="287" t="s">
        <v>104</v>
      </c>
      <c r="G118" s="31">
        <v>41997</v>
      </c>
      <c r="H118" s="357" t="s">
        <v>276</v>
      </c>
      <c r="I118" s="467" t="s">
        <v>75</v>
      </c>
      <c r="J118" s="467" t="s">
        <v>131</v>
      </c>
      <c r="K118" s="438" t="s">
        <v>76</v>
      </c>
      <c r="L118" s="31">
        <v>42011</v>
      </c>
      <c r="M118" s="286" t="s">
        <v>101</v>
      </c>
      <c r="N118" s="286" t="s">
        <v>284</v>
      </c>
      <c r="O118" s="204" t="s">
        <v>285</v>
      </c>
      <c r="P118" s="31">
        <v>42398</v>
      </c>
      <c r="Q118" s="286" t="s">
        <v>605</v>
      </c>
      <c r="R118" s="291" t="s">
        <v>52</v>
      </c>
      <c r="S118" s="31">
        <v>42495</v>
      </c>
      <c r="T118" s="291" t="s">
        <v>606</v>
      </c>
      <c r="U118" s="308">
        <f t="shared" ref="U118" si="67">DAYS360(G118,L118,0)+1</f>
        <v>14</v>
      </c>
      <c r="V118" s="300" t="str">
        <f t="shared" ref="V118" si="68">IF(U118&gt;7,"Inoportuno",(IF(U118&lt;0,"No ha formulado PM","Oportuno")))</f>
        <v>Inoportuno</v>
      </c>
      <c r="W118" s="308">
        <f t="shared" ref="W118" si="69">DAYS360(P118,S118,0)+1</f>
        <v>97</v>
      </c>
      <c r="X118" s="506" t="s">
        <v>334</v>
      </c>
    </row>
    <row r="119" spans="1:24" ht="165.75" customHeight="1" x14ac:dyDescent="0.2">
      <c r="A119" s="291">
        <f t="shared" si="23"/>
        <v>116</v>
      </c>
      <c r="B119" s="286" t="s">
        <v>34</v>
      </c>
      <c r="C119" s="286" t="s">
        <v>34</v>
      </c>
      <c r="D119" s="459"/>
      <c r="E119" s="456"/>
      <c r="F119" s="287" t="s">
        <v>104</v>
      </c>
      <c r="G119" s="31">
        <v>41997</v>
      </c>
      <c r="H119" s="357" t="s">
        <v>276</v>
      </c>
      <c r="I119" s="469"/>
      <c r="J119" s="469"/>
      <c r="K119" s="439"/>
      <c r="L119" s="31">
        <v>42011</v>
      </c>
      <c r="M119" s="286" t="s">
        <v>47</v>
      </c>
      <c r="N119" s="286" t="s">
        <v>284</v>
      </c>
      <c r="O119" s="204" t="s">
        <v>301</v>
      </c>
      <c r="P119" s="31">
        <v>42459</v>
      </c>
      <c r="Q119" s="286" t="s">
        <v>470</v>
      </c>
      <c r="R119" s="291" t="s">
        <v>48</v>
      </c>
      <c r="S119" s="31"/>
      <c r="T119" s="291"/>
      <c r="U119" s="308">
        <f t="shared" ref="U119" si="70">DAYS360(G119,L119,0)+1</f>
        <v>14</v>
      </c>
      <c r="V119" s="300" t="str">
        <f t="shared" ref="V119:V139" si="71">IF(U119&gt;7,"Inoportuno",(IF(U119&lt;0,"No ha formulado PM","Oportuno")))</f>
        <v>Inoportuno</v>
      </c>
      <c r="W119" s="308">
        <f t="shared" ref="W119" si="72">DAYS360(P119,S119,0)+1</f>
        <v>-41849</v>
      </c>
      <c r="X119" s="506" t="s">
        <v>334</v>
      </c>
    </row>
    <row r="120" spans="1:24" ht="409.5" x14ac:dyDescent="0.2">
      <c r="A120" s="291">
        <f t="shared" si="23"/>
        <v>117</v>
      </c>
      <c r="B120" s="286" t="s">
        <v>34</v>
      </c>
      <c r="C120" s="286" t="s">
        <v>34</v>
      </c>
      <c r="D120" s="293" t="s">
        <v>40</v>
      </c>
      <c r="E120" s="295" t="s">
        <v>0</v>
      </c>
      <c r="F120" s="287" t="s">
        <v>104</v>
      </c>
      <c r="G120" s="31">
        <v>41997</v>
      </c>
      <c r="H120" s="357" t="s">
        <v>277</v>
      </c>
      <c r="I120" s="298" t="s">
        <v>75</v>
      </c>
      <c r="J120" s="298" t="s">
        <v>131</v>
      </c>
      <c r="K120" s="305" t="s">
        <v>76</v>
      </c>
      <c r="L120" s="31">
        <v>42011</v>
      </c>
      <c r="M120" s="286" t="s">
        <v>47</v>
      </c>
      <c r="N120" s="286" t="s">
        <v>284</v>
      </c>
      <c r="O120" s="204" t="s">
        <v>302</v>
      </c>
      <c r="P120" s="31">
        <v>42277</v>
      </c>
      <c r="Q120" s="286" t="s">
        <v>607</v>
      </c>
      <c r="R120" s="291" t="s">
        <v>48</v>
      </c>
      <c r="S120" s="31"/>
      <c r="T120" s="304"/>
      <c r="U120" s="308">
        <f t="shared" ref="U120" si="73">DAYS360(G120,L120,0)+1</f>
        <v>14</v>
      </c>
      <c r="V120" s="300" t="str">
        <f t="shared" si="71"/>
        <v>Inoportuno</v>
      </c>
      <c r="W120" s="308">
        <f t="shared" ref="W120" si="74">DAYS360(P120,S120,0)+1</f>
        <v>-41669</v>
      </c>
      <c r="X120" s="303" t="s">
        <v>334</v>
      </c>
    </row>
    <row r="121" spans="1:24" ht="183.75" customHeight="1" x14ac:dyDescent="0.2">
      <c r="A121" s="291">
        <v>118</v>
      </c>
      <c r="B121" s="286" t="s">
        <v>21</v>
      </c>
      <c r="C121" s="286" t="s">
        <v>506</v>
      </c>
      <c r="D121" s="457" t="s">
        <v>40</v>
      </c>
      <c r="E121" s="454" t="s">
        <v>0</v>
      </c>
      <c r="F121" s="287" t="s">
        <v>56</v>
      </c>
      <c r="G121" s="31">
        <v>42004</v>
      </c>
      <c r="H121" s="357" t="s">
        <v>509</v>
      </c>
      <c r="I121" s="467" t="s">
        <v>75</v>
      </c>
      <c r="J121" s="467" t="s">
        <v>131</v>
      </c>
      <c r="K121" s="438" t="s">
        <v>76</v>
      </c>
      <c r="L121" s="31">
        <v>42117</v>
      </c>
      <c r="M121" s="286" t="s">
        <v>47</v>
      </c>
      <c r="N121" s="177" t="s">
        <v>321</v>
      </c>
      <c r="O121" s="330" t="s">
        <v>323</v>
      </c>
      <c r="P121" s="179">
        <v>42520</v>
      </c>
      <c r="Q121" s="286" t="s">
        <v>599</v>
      </c>
      <c r="R121" s="291" t="s">
        <v>48</v>
      </c>
      <c r="S121" s="31"/>
      <c r="T121" s="291"/>
      <c r="U121" s="308">
        <f t="shared" ref="U121" si="75">DAYS360(G121,L121,0)+1</f>
        <v>114</v>
      </c>
      <c r="V121" s="494" t="str">
        <f t="shared" si="71"/>
        <v>Inoportuno</v>
      </c>
      <c r="W121" s="308">
        <f t="shared" ref="W121" si="76">DAYS360(P121,S121,0)+1</f>
        <v>-41909</v>
      </c>
      <c r="X121" s="507" t="s">
        <v>334</v>
      </c>
    </row>
    <row r="122" spans="1:24" ht="117" customHeight="1" x14ac:dyDescent="0.2">
      <c r="A122" s="291">
        <f t="shared" ref="A122:A148" si="77">+A121+1</f>
        <v>119</v>
      </c>
      <c r="B122" s="286" t="s">
        <v>21</v>
      </c>
      <c r="C122" s="286" t="s">
        <v>181</v>
      </c>
      <c r="D122" s="458"/>
      <c r="E122" s="455"/>
      <c r="F122" s="287" t="s">
        <v>56</v>
      </c>
      <c r="G122" s="31">
        <v>42004</v>
      </c>
      <c r="H122" s="357" t="s">
        <v>509</v>
      </c>
      <c r="I122" s="468"/>
      <c r="J122" s="468"/>
      <c r="K122" s="443"/>
      <c r="L122" s="31">
        <v>42117</v>
      </c>
      <c r="M122" s="286" t="s">
        <v>47</v>
      </c>
      <c r="N122" s="286" t="s">
        <v>471</v>
      </c>
      <c r="O122" s="330" t="s">
        <v>324</v>
      </c>
      <c r="P122" s="179">
        <v>42520</v>
      </c>
      <c r="Q122" s="286" t="s">
        <v>600</v>
      </c>
      <c r="R122" s="291" t="s">
        <v>48</v>
      </c>
      <c r="S122" s="31"/>
      <c r="T122" s="291"/>
      <c r="U122" s="308">
        <f t="shared" ref="U122:U124" si="78">DAYS360(G122,L122,0)+1</f>
        <v>114</v>
      </c>
      <c r="V122" s="513"/>
      <c r="W122" s="308">
        <f t="shared" ref="W122:W124" si="79">DAYS360(P122,S122,0)+1</f>
        <v>-41909</v>
      </c>
      <c r="X122" s="508" t="s">
        <v>334</v>
      </c>
    </row>
    <row r="123" spans="1:24" ht="170.25" customHeight="1" x14ac:dyDescent="0.2">
      <c r="A123" s="291">
        <f t="shared" si="77"/>
        <v>120</v>
      </c>
      <c r="B123" s="286" t="s">
        <v>21</v>
      </c>
      <c r="C123" s="286" t="s">
        <v>181</v>
      </c>
      <c r="D123" s="458"/>
      <c r="E123" s="455"/>
      <c r="F123" s="287" t="s">
        <v>56</v>
      </c>
      <c r="G123" s="31">
        <v>42004</v>
      </c>
      <c r="H123" s="357" t="s">
        <v>509</v>
      </c>
      <c r="I123" s="468"/>
      <c r="J123" s="468"/>
      <c r="K123" s="443"/>
      <c r="L123" s="31">
        <v>42117</v>
      </c>
      <c r="M123" s="286" t="s">
        <v>47</v>
      </c>
      <c r="N123" s="286" t="s">
        <v>472</v>
      </c>
      <c r="O123" s="330" t="s">
        <v>325</v>
      </c>
      <c r="P123" s="179">
        <v>42520</v>
      </c>
      <c r="Q123" s="286" t="s">
        <v>601</v>
      </c>
      <c r="R123" s="291" t="s">
        <v>48</v>
      </c>
      <c r="S123" s="31"/>
      <c r="T123" s="291"/>
      <c r="U123" s="308">
        <f t="shared" si="78"/>
        <v>114</v>
      </c>
      <c r="V123" s="513"/>
      <c r="W123" s="308">
        <f t="shared" si="79"/>
        <v>-41909</v>
      </c>
      <c r="X123" s="508" t="s">
        <v>334</v>
      </c>
    </row>
    <row r="124" spans="1:24" ht="167.25" customHeight="1" x14ac:dyDescent="0.2">
      <c r="A124" s="291">
        <f t="shared" si="77"/>
        <v>121</v>
      </c>
      <c r="B124" s="286" t="s">
        <v>21</v>
      </c>
      <c r="C124" s="286" t="s">
        <v>181</v>
      </c>
      <c r="D124" s="459"/>
      <c r="E124" s="456"/>
      <c r="F124" s="287" t="s">
        <v>56</v>
      </c>
      <c r="G124" s="31">
        <v>42004</v>
      </c>
      <c r="H124" s="357" t="s">
        <v>509</v>
      </c>
      <c r="I124" s="469"/>
      <c r="J124" s="469"/>
      <c r="K124" s="439"/>
      <c r="L124" s="31">
        <v>42117</v>
      </c>
      <c r="M124" s="286" t="s">
        <v>47</v>
      </c>
      <c r="N124" s="286" t="s">
        <v>322</v>
      </c>
      <c r="O124" s="330" t="s">
        <v>326</v>
      </c>
      <c r="P124" s="179">
        <v>42520</v>
      </c>
      <c r="Q124" s="287" t="s">
        <v>518</v>
      </c>
      <c r="R124" s="291" t="s">
        <v>48</v>
      </c>
      <c r="S124" s="31"/>
      <c r="T124" s="291"/>
      <c r="U124" s="308">
        <f t="shared" si="78"/>
        <v>114</v>
      </c>
      <c r="V124" s="495"/>
      <c r="W124" s="308">
        <f t="shared" si="79"/>
        <v>-41909</v>
      </c>
      <c r="X124" s="509" t="s">
        <v>334</v>
      </c>
    </row>
    <row r="125" spans="1:24" ht="136.5" customHeight="1" x14ac:dyDescent="0.2">
      <c r="A125" s="291">
        <f t="shared" si="77"/>
        <v>122</v>
      </c>
      <c r="B125" s="224" t="s">
        <v>21</v>
      </c>
      <c r="C125" s="224" t="s">
        <v>181</v>
      </c>
      <c r="D125" s="457" t="s">
        <v>40</v>
      </c>
      <c r="E125" s="454" t="s">
        <v>0</v>
      </c>
      <c r="F125" s="287" t="s">
        <v>56</v>
      </c>
      <c r="G125" s="31">
        <v>42004</v>
      </c>
      <c r="H125" s="357" t="s">
        <v>510</v>
      </c>
      <c r="I125" s="467" t="s">
        <v>75</v>
      </c>
      <c r="J125" s="467" t="s">
        <v>132</v>
      </c>
      <c r="K125" s="438" t="s">
        <v>76</v>
      </c>
      <c r="L125" s="31">
        <v>42117</v>
      </c>
      <c r="M125" s="286" t="s">
        <v>47</v>
      </c>
      <c r="N125" s="286" t="s">
        <v>320</v>
      </c>
      <c r="O125" s="330" t="s">
        <v>514</v>
      </c>
      <c r="P125" s="179">
        <v>42369</v>
      </c>
      <c r="Q125" s="286" t="s">
        <v>519</v>
      </c>
      <c r="R125" s="291" t="s">
        <v>52</v>
      </c>
      <c r="S125" s="31">
        <v>42451</v>
      </c>
      <c r="T125" s="286" t="s">
        <v>512</v>
      </c>
      <c r="U125" s="308">
        <f t="shared" ref="U125:U126" si="80">DAYS360(G125,L125,0)+1</f>
        <v>114</v>
      </c>
      <c r="V125" s="513"/>
      <c r="W125" s="308">
        <f t="shared" ref="W125:W126" si="81">DAYS360(P125,S125,0)+1</f>
        <v>83</v>
      </c>
      <c r="X125" s="508" t="s">
        <v>334</v>
      </c>
    </row>
    <row r="126" spans="1:24" ht="135.75" customHeight="1" x14ac:dyDescent="0.2">
      <c r="A126" s="291">
        <f t="shared" si="77"/>
        <v>123</v>
      </c>
      <c r="B126" s="224" t="s">
        <v>21</v>
      </c>
      <c r="C126" s="224" t="s">
        <v>181</v>
      </c>
      <c r="D126" s="459"/>
      <c r="E126" s="456"/>
      <c r="F126" s="287" t="s">
        <v>56</v>
      </c>
      <c r="G126" s="31">
        <v>42004</v>
      </c>
      <c r="H126" s="357" t="s">
        <v>510</v>
      </c>
      <c r="I126" s="469"/>
      <c r="J126" s="469"/>
      <c r="K126" s="439"/>
      <c r="L126" s="31">
        <v>42117</v>
      </c>
      <c r="M126" s="286" t="s">
        <v>47</v>
      </c>
      <c r="N126" s="286" t="s">
        <v>320</v>
      </c>
      <c r="O126" s="330" t="s">
        <v>515</v>
      </c>
      <c r="P126" s="179">
        <v>42369</v>
      </c>
      <c r="Q126" s="286" t="s">
        <v>513</v>
      </c>
      <c r="R126" s="291" t="s">
        <v>52</v>
      </c>
      <c r="S126" s="31">
        <v>42451</v>
      </c>
      <c r="T126" s="286" t="s">
        <v>508</v>
      </c>
      <c r="U126" s="308">
        <f t="shared" si="80"/>
        <v>114</v>
      </c>
      <c r="V126" s="495"/>
      <c r="W126" s="308">
        <f t="shared" si="81"/>
        <v>83</v>
      </c>
      <c r="X126" s="509" t="s">
        <v>334</v>
      </c>
    </row>
    <row r="127" spans="1:24" ht="174.75" customHeight="1" x14ac:dyDescent="0.2">
      <c r="A127" s="291">
        <v>124</v>
      </c>
      <c r="B127" s="286" t="s">
        <v>62</v>
      </c>
      <c r="C127" s="286" t="s">
        <v>177</v>
      </c>
      <c r="D127" s="485" t="s">
        <v>177</v>
      </c>
      <c r="E127" s="454" t="s">
        <v>0</v>
      </c>
      <c r="F127" s="287" t="s">
        <v>55</v>
      </c>
      <c r="G127" s="31">
        <v>42095</v>
      </c>
      <c r="H127" s="357" t="s">
        <v>303</v>
      </c>
      <c r="I127" s="467" t="s">
        <v>75</v>
      </c>
      <c r="J127" s="467" t="s">
        <v>132</v>
      </c>
      <c r="K127" s="438" t="s">
        <v>76</v>
      </c>
      <c r="L127" s="31">
        <v>42095</v>
      </c>
      <c r="M127" s="286" t="s">
        <v>47</v>
      </c>
      <c r="N127" s="175" t="s">
        <v>304</v>
      </c>
      <c r="O127" s="204" t="s">
        <v>473</v>
      </c>
      <c r="P127" s="31">
        <v>42338</v>
      </c>
      <c r="Q127" s="286" t="s">
        <v>581</v>
      </c>
      <c r="R127" s="291" t="s">
        <v>52</v>
      </c>
      <c r="S127" s="31">
        <v>42394</v>
      </c>
      <c r="T127" s="286" t="s">
        <v>582</v>
      </c>
      <c r="U127" s="308">
        <f t="shared" ref="U127:U129" si="82">DAYS360(G127,L127,0)+1</f>
        <v>1</v>
      </c>
      <c r="V127" s="513"/>
      <c r="W127" s="308">
        <f t="shared" ref="W127:W226" si="83">DAYS360(P127,S127,0)+1</f>
        <v>56</v>
      </c>
      <c r="X127" s="511" t="s">
        <v>334</v>
      </c>
    </row>
    <row r="128" spans="1:24" ht="82.5" customHeight="1" x14ac:dyDescent="0.2">
      <c r="A128" s="291">
        <f t="shared" si="77"/>
        <v>125</v>
      </c>
      <c r="B128" s="286" t="s">
        <v>62</v>
      </c>
      <c r="C128" s="286" t="s">
        <v>177</v>
      </c>
      <c r="D128" s="486"/>
      <c r="E128" s="455"/>
      <c r="F128" s="287" t="s">
        <v>55</v>
      </c>
      <c r="G128" s="31">
        <v>42095</v>
      </c>
      <c r="H128" s="357" t="s">
        <v>303</v>
      </c>
      <c r="I128" s="468"/>
      <c r="J128" s="468"/>
      <c r="K128" s="443"/>
      <c r="L128" s="31">
        <v>42095</v>
      </c>
      <c r="M128" s="286" t="s">
        <v>47</v>
      </c>
      <c r="N128" s="175" t="s">
        <v>474</v>
      </c>
      <c r="O128" s="204" t="s">
        <v>475</v>
      </c>
      <c r="P128" s="31">
        <v>42308</v>
      </c>
      <c r="Q128" s="286" t="s">
        <v>583</v>
      </c>
      <c r="R128" s="291" t="s">
        <v>52</v>
      </c>
      <c r="S128" s="31">
        <v>42394</v>
      </c>
      <c r="T128" s="286" t="s">
        <v>579</v>
      </c>
      <c r="U128" s="308">
        <f t="shared" si="82"/>
        <v>1</v>
      </c>
      <c r="V128" s="513"/>
      <c r="W128" s="308">
        <f t="shared" si="83"/>
        <v>86</v>
      </c>
      <c r="X128" s="511" t="s">
        <v>334</v>
      </c>
    </row>
    <row r="129" spans="1:27" ht="110.25" customHeight="1" x14ac:dyDescent="0.2">
      <c r="A129" s="291">
        <f t="shared" si="77"/>
        <v>126</v>
      </c>
      <c r="B129" s="286" t="s">
        <v>62</v>
      </c>
      <c r="C129" s="286" t="s">
        <v>177</v>
      </c>
      <c r="D129" s="487"/>
      <c r="E129" s="456"/>
      <c r="F129" s="287" t="s">
        <v>55</v>
      </c>
      <c r="G129" s="31">
        <v>42095</v>
      </c>
      <c r="H129" s="357" t="s">
        <v>303</v>
      </c>
      <c r="I129" s="469"/>
      <c r="J129" s="469"/>
      <c r="K129" s="439"/>
      <c r="L129" s="31">
        <v>42095</v>
      </c>
      <c r="M129" s="286" t="s">
        <v>47</v>
      </c>
      <c r="N129" s="175" t="s">
        <v>56</v>
      </c>
      <c r="O129" s="204" t="s">
        <v>305</v>
      </c>
      <c r="P129" s="31">
        <v>42185</v>
      </c>
      <c r="Q129" s="286" t="s">
        <v>584</v>
      </c>
      <c r="R129" s="291" t="s">
        <v>52</v>
      </c>
      <c r="S129" s="31">
        <v>42467</v>
      </c>
      <c r="T129" s="286" t="s">
        <v>579</v>
      </c>
      <c r="U129" s="308">
        <f t="shared" si="82"/>
        <v>1</v>
      </c>
      <c r="V129" s="495"/>
      <c r="W129" s="308">
        <f t="shared" si="83"/>
        <v>278</v>
      </c>
      <c r="X129" s="512" t="s">
        <v>334</v>
      </c>
    </row>
    <row r="130" spans="1:27" ht="100.5" customHeight="1" x14ac:dyDescent="0.2">
      <c r="A130" s="291">
        <f t="shared" si="77"/>
        <v>127</v>
      </c>
      <c r="B130" s="286" t="s">
        <v>62</v>
      </c>
      <c r="C130" s="286" t="s">
        <v>177</v>
      </c>
      <c r="D130" s="262" t="s">
        <v>177</v>
      </c>
      <c r="E130" s="295" t="s">
        <v>0</v>
      </c>
      <c r="F130" s="287" t="s">
        <v>55</v>
      </c>
      <c r="G130" s="31">
        <v>42095</v>
      </c>
      <c r="H130" s="357" t="s">
        <v>306</v>
      </c>
      <c r="I130" s="298" t="s">
        <v>75</v>
      </c>
      <c r="J130" s="298" t="s">
        <v>132</v>
      </c>
      <c r="K130" s="142" t="s">
        <v>76</v>
      </c>
      <c r="L130" s="31">
        <v>42095</v>
      </c>
      <c r="M130" s="286" t="s">
        <v>101</v>
      </c>
      <c r="N130" s="175" t="s">
        <v>56</v>
      </c>
      <c r="O130" s="204" t="s">
        <v>307</v>
      </c>
      <c r="P130" s="31">
        <v>42185</v>
      </c>
      <c r="Q130" s="286" t="s">
        <v>585</v>
      </c>
      <c r="R130" s="291" t="s">
        <v>52</v>
      </c>
      <c r="S130" s="31">
        <v>42467</v>
      </c>
      <c r="T130" s="286" t="s">
        <v>586</v>
      </c>
      <c r="U130" s="308">
        <f t="shared" ref="U130:U131" si="84">DAYS360(G130,L130,0)+1</f>
        <v>1</v>
      </c>
      <c r="V130" s="300" t="str">
        <f t="shared" ref="V130:V131" si="85">IF(U130&gt;7,"Inoportuno",(IF(U130&lt;0,"No ha formulado PM","Oportuno")))</f>
        <v>Oportuno</v>
      </c>
      <c r="W130" s="308">
        <f t="shared" si="83"/>
        <v>278</v>
      </c>
      <c r="X130" s="182" t="s">
        <v>334</v>
      </c>
    </row>
    <row r="131" spans="1:27" ht="114" customHeight="1" x14ac:dyDescent="0.2">
      <c r="A131" s="291">
        <f t="shared" si="77"/>
        <v>128</v>
      </c>
      <c r="B131" s="286" t="s">
        <v>62</v>
      </c>
      <c r="C131" s="286" t="s">
        <v>177</v>
      </c>
      <c r="D131" s="262" t="s">
        <v>177</v>
      </c>
      <c r="E131" s="295" t="s">
        <v>0</v>
      </c>
      <c r="F131" s="287" t="s">
        <v>55</v>
      </c>
      <c r="G131" s="31">
        <v>42095</v>
      </c>
      <c r="H131" s="357" t="s">
        <v>309</v>
      </c>
      <c r="I131" s="298" t="s">
        <v>75</v>
      </c>
      <c r="J131" s="298" t="s">
        <v>132</v>
      </c>
      <c r="K131" s="142" t="s">
        <v>76</v>
      </c>
      <c r="L131" s="31">
        <v>42095</v>
      </c>
      <c r="M131" s="286" t="s">
        <v>47</v>
      </c>
      <c r="N131" s="175" t="s">
        <v>56</v>
      </c>
      <c r="O131" s="204" t="s">
        <v>308</v>
      </c>
      <c r="P131" s="31">
        <v>42185</v>
      </c>
      <c r="Q131" s="286" t="s">
        <v>587</v>
      </c>
      <c r="R131" s="291" t="s">
        <v>52</v>
      </c>
      <c r="S131" s="31">
        <v>42467</v>
      </c>
      <c r="T131" s="286" t="s">
        <v>586</v>
      </c>
      <c r="U131" s="308">
        <f t="shared" si="84"/>
        <v>1</v>
      </c>
      <c r="V131" s="300" t="str">
        <f t="shared" si="85"/>
        <v>Oportuno</v>
      </c>
      <c r="W131" s="308">
        <f t="shared" si="83"/>
        <v>278</v>
      </c>
      <c r="X131" s="182" t="s">
        <v>334</v>
      </c>
    </row>
    <row r="132" spans="1:27" ht="312.75" customHeight="1" x14ac:dyDescent="0.2">
      <c r="A132" s="291">
        <f t="shared" si="77"/>
        <v>129</v>
      </c>
      <c r="B132" s="286" t="s">
        <v>46</v>
      </c>
      <c r="C132" s="286" t="s">
        <v>312</v>
      </c>
      <c r="D132" s="262" t="s">
        <v>40</v>
      </c>
      <c r="E132" s="295" t="s">
        <v>0</v>
      </c>
      <c r="F132" s="287" t="s">
        <v>56</v>
      </c>
      <c r="G132" s="31">
        <v>42116</v>
      </c>
      <c r="H132" s="353" t="s">
        <v>313</v>
      </c>
      <c r="I132" s="298" t="s">
        <v>75</v>
      </c>
      <c r="J132" s="298" t="s">
        <v>131</v>
      </c>
      <c r="K132" s="142" t="s">
        <v>76</v>
      </c>
      <c r="L132" s="31">
        <v>42228</v>
      </c>
      <c r="M132" s="286" t="s">
        <v>47</v>
      </c>
      <c r="N132" s="207">
        <v>42369</v>
      </c>
      <c r="O132" s="204" t="s">
        <v>384</v>
      </c>
      <c r="P132" s="31">
        <v>42369</v>
      </c>
      <c r="Q132" s="289" t="s">
        <v>654</v>
      </c>
      <c r="R132" s="291" t="s">
        <v>48</v>
      </c>
      <c r="S132" s="31"/>
      <c r="T132" s="291"/>
      <c r="U132" s="308">
        <f t="shared" ref="U132:U134" si="86">DAYS360(G132,L132,0)+1</f>
        <v>111</v>
      </c>
      <c r="V132" s="300" t="str">
        <f t="shared" ref="V132:V134" si="87">IF(U132&gt;7,"Inoportuno",(IF(U132&lt;0,"No ha formulado PM","Oportuno")))</f>
        <v>Inoportuno</v>
      </c>
      <c r="W132" s="308">
        <f t="shared" ref="W132:W134" si="88">DAYS360(P132,S132,0)+1</f>
        <v>-41759</v>
      </c>
      <c r="X132" s="182" t="s">
        <v>334</v>
      </c>
    </row>
    <row r="133" spans="1:27" ht="238.5" customHeight="1" x14ac:dyDescent="0.2">
      <c r="A133" s="291">
        <f t="shared" si="77"/>
        <v>130</v>
      </c>
      <c r="B133" s="286" t="s">
        <v>46</v>
      </c>
      <c r="C133" s="286" t="s">
        <v>312</v>
      </c>
      <c r="D133" s="262" t="s">
        <v>40</v>
      </c>
      <c r="E133" s="295" t="s">
        <v>0</v>
      </c>
      <c r="F133" s="287" t="s">
        <v>56</v>
      </c>
      <c r="G133" s="31">
        <v>42116</v>
      </c>
      <c r="H133" s="353" t="s">
        <v>314</v>
      </c>
      <c r="I133" s="298" t="s">
        <v>75</v>
      </c>
      <c r="J133" s="298" t="s">
        <v>131</v>
      </c>
      <c r="K133" s="142" t="s">
        <v>76</v>
      </c>
      <c r="L133" s="31">
        <v>42228</v>
      </c>
      <c r="M133" s="286" t="s">
        <v>47</v>
      </c>
      <c r="N133" s="176" t="s">
        <v>346</v>
      </c>
      <c r="O133" s="204" t="s">
        <v>345</v>
      </c>
      <c r="P133" s="31">
        <v>42277</v>
      </c>
      <c r="Q133" s="289" t="s">
        <v>655</v>
      </c>
      <c r="R133" s="291" t="s">
        <v>48</v>
      </c>
      <c r="S133" s="31"/>
      <c r="T133" s="291"/>
      <c r="U133" s="308">
        <f t="shared" si="86"/>
        <v>111</v>
      </c>
      <c r="V133" s="300" t="str">
        <f t="shared" si="87"/>
        <v>Inoportuno</v>
      </c>
      <c r="W133" s="308">
        <f t="shared" si="88"/>
        <v>-41669</v>
      </c>
      <c r="X133" s="182" t="s">
        <v>334</v>
      </c>
    </row>
    <row r="134" spans="1:27" ht="281.25" customHeight="1" x14ac:dyDescent="0.2">
      <c r="A134" s="291">
        <f t="shared" si="77"/>
        <v>131</v>
      </c>
      <c r="B134" s="286" t="s">
        <v>46</v>
      </c>
      <c r="C134" s="286" t="s">
        <v>312</v>
      </c>
      <c r="D134" s="262" t="s">
        <v>40</v>
      </c>
      <c r="E134" s="295" t="s">
        <v>0</v>
      </c>
      <c r="F134" s="287" t="s">
        <v>56</v>
      </c>
      <c r="G134" s="31">
        <v>42116</v>
      </c>
      <c r="H134" s="353" t="s">
        <v>315</v>
      </c>
      <c r="I134" s="298" t="s">
        <v>75</v>
      </c>
      <c r="J134" s="298" t="s">
        <v>131</v>
      </c>
      <c r="K134" s="142" t="s">
        <v>76</v>
      </c>
      <c r="L134" s="31">
        <v>42228</v>
      </c>
      <c r="M134" s="286" t="s">
        <v>47</v>
      </c>
      <c r="N134" s="176" t="s">
        <v>350</v>
      </c>
      <c r="O134" s="204" t="s">
        <v>347</v>
      </c>
      <c r="P134" s="31">
        <v>42460</v>
      </c>
      <c r="Q134" s="289" t="s">
        <v>656</v>
      </c>
      <c r="R134" s="291" t="s">
        <v>48</v>
      </c>
      <c r="S134" s="31"/>
      <c r="T134" s="291"/>
      <c r="U134" s="308">
        <f t="shared" si="86"/>
        <v>111</v>
      </c>
      <c r="V134" s="300" t="str">
        <f t="shared" si="87"/>
        <v>Inoportuno</v>
      </c>
      <c r="W134" s="308">
        <f t="shared" si="88"/>
        <v>-41849</v>
      </c>
      <c r="X134" s="182" t="s">
        <v>334</v>
      </c>
    </row>
    <row r="135" spans="1:27" ht="66.75" customHeight="1" x14ac:dyDescent="0.2">
      <c r="A135" s="291">
        <f t="shared" si="77"/>
        <v>132</v>
      </c>
      <c r="B135" s="295" t="s">
        <v>331</v>
      </c>
      <c r="C135" s="286" t="s">
        <v>395</v>
      </c>
      <c r="D135" s="262" t="s">
        <v>40</v>
      </c>
      <c r="E135" s="295" t="s">
        <v>0</v>
      </c>
      <c r="F135" s="287" t="s">
        <v>49</v>
      </c>
      <c r="G135" s="31">
        <v>42130</v>
      </c>
      <c r="H135" s="357" t="s">
        <v>316</v>
      </c>
      <c r="I135" s="298" t="s">
        <v>75</v>
      </c>
      <c r="J135" s="298" t="s">
        <v>131</v>
      </c>
      <c r="K135" s="142" t="s">
        <v>76</v>
      </c>
      <c r="L135" s="31">
        <v>42508</v>
      </c>
      <c r="M135" s="286" t="s">
        <v>101</v>
      </c>
      <c r="N135" s="286" t="s">
        <v>134</v>
      </c>
      <c r="O135" s="204" t="s">
        <v>559</v>
      </c>
      <c r="P135" s="31">
        <v>42531</v>
      </c>
      <c r="Q135" s="286"/>
      <c r="R135" s="291" t="s">
        <v>48</v>
      </c>
      <c r="S135" s="31"/>
      <c r="T135" s="291"/>
      <c r="U135" s="308">
        <f t="shared" ref="U135:U226" si="89">DAYS360(G135,L135,0)+1</f>
        <v>373</v>
      </c>
      <c r="V135" s="300" t="str">
        <f t="shared" si="71"/>
        <v>Inoportuno</v>
      </c>
      <c r="W135" s="308">
        <f t="shared" si="83"/>
        <v>-41919</v>
      </c>
      <c r="X135" s="182" t="s">
        <v>334</v>
      </c>
    </row>
    <row r="136" spans="1:27" ht="100.5" customHeight="1" x14ac:dyDescent="0.2">
      <c r="A136" s="291">
        <f t="shared" si="77"/>
        <v>133</v>
      </c>
      <c r="B136" s="295" t="s">
        <v>331</v>
      </c>
      <c r="C136" s="286" t="s">
        <v>395</v>
      </c>
      <c r="D136" s="262" t="s">
        <v>40</v>
      </c>
      <c r="E136" s="295" t="s">
        <v>0</v>
      </c>
      <c r="F136" s="287" t="s">
        <v>49</v>
      </c>
      <c r="G136" s="31">
        <v>42130</v>
      </c>
      <c r="H136" s="286" t="s">
        <v>377</v>
      </c>
      <c r="I136" s="298" t="s">
        <v>75</v>
      </c>
      <c r="J136" s="298" t="s">
        <v>131</v>
      </c>
      <c r="K136" s="142" t="s">
        <v>76</v>
      </c>
      <c r="L136" s="31">
        <v>42508</v>
      </c>
      <c r="M136" s="286" t="s">
        <v>101</v>
      </c>
      <c r="N136" s="225" t="s">
        <v>560</v>
      </c>
      <c r="O136" s="366" t="s">
        <v>561</v>
      </c>
      <c r="P136" s="31">
        <v>42531</v>
      </c>
      <c r="Q136" s="286"/>
      <c r="R136" s="291" t="s">
        <v>48</v>
      </c>
      <c r="S136" s="31"/>
      <c r="T136" s="291"/>
      <c r="U136" s="308">
        <f t="shared" si="89"/>
        <v>373</v>
      </c>
      <c r="V136" s="300" t="str">
        <f t="shared" si="71"/>
        <v>Inoportuno</v>
      </c>
      <c r="W136" s="308">
        <f t="shared" si="83"/>
        <v>-41919</v>
      </c>
      <c r="X136" s="182" t="s">
        <v>334</v>
      </c>
    </row>
    <row r="137" spans="1:27" ht="96" customHeight="1" x14ac:dyDescent="0.2">
      <c r="A137" s="291">
        <f t="shared" si="77"/>
        <v>134</v>
      </c>
      <c r="B137" s="295" t="s">
        <v>331</v>
      </c>
      <c r="C137" s="286" t="s">
        <v>395</v>
      </c>
      <c r="D137" s="262" t="s">
        <v>40</v>
      </c>
      <c r="E137" s="295" t="s">
        <v>0</v>
      </c>
      <c r="F137" s="287" t="s">
        <v>49</v>
      </c>
      <c r="G137" s="31">
        <v>42130</v>
      </c>
      <c r="H137" s="286" t="s">
        <v>317</v>
      </c>
      <c r="I137" s="298" t="s">
        <v>75</v>
      </c>
      <c r="J137" s="298" t="s">
        <v>132</v>
      </c>
      <c r="K137" s="142" t="s">
        <v>76</v>
      </c>
      <c r="L137" s="31">
        <v>42130</v>
      </c>
      <c r="M137" s="286" t="s">
        <v>101</v>
      </c>
      <c r="N137" s="286" t="s">
        <v>516</v>
      </c>
      <c r="O137" s="204" t="s">
        <v>517</v>
      </c>
      <c r="P137" s="31">
        <v>42130</v>
      </c>
      <c r="Q137" s="204" t="s">
        <v>517</v>
      </c>
      <c r="R137" s="291" t="s">
        <v>52</v>
      </c>
      <c r="S137" s="31">
        <v>41765</v>
      </c>
      <c r="T137" s="204" t="s">
        <v>517</v>
      </c>
      <c r="U137" s="308">
        <f t="shared" si="89"/>
        <v>1</v>
      </c>
      <c r="V137" s="300" t="str">
        <f t="shared" si="71"/>
        <v>Oportuno</v>
      </c>
      <c r="W137" s="308">
        <f t="shared" si="83"/>
        <v>-359</v>
      </c>
      <c r="X137" s="182" t="s">
        <v>334</v>
      </c>
    </row>
    <row r="138" spans="1:27" ht="72" customHeight="1" x14ac:dyDescent="0.2">
      <c r="A138" s="291">
        <f t="shared" si="77"/>
        <v>135</v>
      </c>
      <c r="B138" s="295" t="s">
        <v>331</v>
      </c>
      <c r="C138" s="286" t="s">
        <v>395</v>
      </c>
      <c r="D138" s="262" t="s">
        <v>40</v>
      </c>
      <c r="E138" s="295" t="s">
        <v>0</v>
      </c>
      <c r="F138" s="287" t="s">
        <v>49</v>
      </c>
      <c r="G138" s="31">
        <v>42130</v>
      </c>
      <c r="H138" s="286" t="s">
        <v>318</v>
      </c>
      <c r="I138" s="298" t="s">
        <v>75</v>
      </c>
      <c r="J138" s="298" t="s">
        <v>132</v>
      </c>
      <c r="K138" s="142" t="s">
        <v>76</v>
      </c>
      <c r="L138" s="31">
        <v>42130</v>
      </c>
      <c r="M138" s="286" t="s">
        <v>101</v>
      </c>
      <c r="N138" s="286" t="s">
        <v>516</v>
      </c>
      <c r="O138" s="204" t="s">
        <v>517</v>
      </c>
      <c r="P138" s="31">
        <v>42130</v>
      </c>
      <c r="Q138" s="204" t="s">
        <v>517</v>
      </c>
      <c r="R138" s="291" t="s">
        <v>52</v>
      </c>
      <c r="S138" s="31">
        <v>41765</v>
      </c>
      <c r="T138" s="204" t="s">
        <v>517</v>
      </c>
      <c r="U138" s="308">
        <f t="shared" si="89"/>
        <v>1</v>
      </c>
      <c r="V138" s="300" t="str">
        <f t="shared" si="71"/>
        <v>Oportuno</v>
      </c>
      <c r="W138" s="308">
        <f t="shared" si="83"/>
        <v>-359</v>
      </c>
      <c r="X138" s="182" t="s">
        <v>334</v>
      </c>
    </row>
    <row r="139" spans="1:27" ht="69" customHeight="1" x14ac:dyDescent="0.2">
      <c r="A139" s="291">
        <f t="shared" si="77"/>
        <v>136</v>
      </c>
      <c r="B139" s="295" t="s">
        <v>331</v>
      </c>
      <c r="C139" s="286" t="s">
        <v>395</v>
      </c>
      <c r="D139" s="262" t="s">
        <v>40</v>
      </c>
      <c r="E139" s="295" t="s">
        <v>0</v>
      </c>
      <c r="F139" s="287" t="s">
        <v>49</v>
      </c>
      <c r="G139" s="31">
        <v>42130</v>
      </c>
      <c r="H139" s="286" t="s">
        <v>378</v>
      </c>
      <c r="I139" s="298" t="s">
        <v>75</v>
      </c>
      <c r="J139" s="298" t="s">
        <v>131</v>
      </c>
      <c r="K139" s="142" t="s">
        <v>76</v>
      </c>
      <c r="L139" s="31">
        <v>42508</v>
      </c>
      <c r="M139" s="286" t="s">
        <v>101</v>
      </c>
      <c r="N139" s="286" t="s">
        <v>134</v>
      </c>
      <c r="O139" s="366" t="s">
        <v>562</v>
      </c>
      <c r="P139" s="31">
        <v>42531</v>
      </c>
      <c r="Q139" s="286"/>
      <c r="R139" s="291" t="s">
        <v>48</v>
      </c>
      <c r="S139" s="31"/>
      <c r="T139" s="291"/>
      <c r="U139" s="308">
        <f t="shared" si="89"/>
        <v>373</v>
      </c>
      <c r="V139" s="300" t="str">
        <f t="shared" si="71"/>
        <v>Inoportuno</v>
      </c>
      <c r="W139" s="308">
        <f t="shared" si="83"/>
        <v>-41919</v>
      </c>
      <c r="X139" s="182" t="s">
        <v>334</v>
      </c>
    </row>
    <row r="140" spans="1:27" ht="102" customHeight="1" x14ac:dyDescent="0.2">
      <c r="A140" s="291">
        <v>137</v>
      </c>
      <c r="B140" s="286" t="s">
        <v>2</v>
      </c>
      <c r="C140" s="286" t="s">
        <v>2</v>
      </c>
      <c r="D140" s="293" t="s">
        <v>40</v>
      </c>
      <c r="E140" s="295" t="s">
        <v>0</v>
      </c>
      <c r="F140" s="357" t="s">
        <v>55</v>
      </c>
      <c r="G140" s="31">
        <v>42234</v>
      </c>
      <c r="H140" s="357" t="s">
        <v>353</v>
      </c>
      <c r="I140" s="298" t="s">
        <v>75</v>
      </c>
      <c r="J140" s="298" t="s">
        <v>131</v>
      </c>
      <c r="K140" s="305" t="s">
        <v>76</v>
      </c>
      <c r="L140" s="31">
        <v>42243</v>
      </c>
      <c r="M140" s="286" t="s">
        <v>47</v>
      </c>
      <c r="N140" s="176" t="s">
        <v>351</v>
      </c>
      <c r="O140" s="204" t="s">
        <v>355</v>
      </c>
      <c r="P140" s="178">
        <v>42248</v>
      </c>
      <c r="Q140" s="286" t="s">
        <v>476</v>
      </c>
      <c r="R140" s="291" t="s">
        <v>48</v>
      </c>
      <c r="S140" s="31"/>
      <c r="T140" s="291"/>
      <c r="U140" s="308"/>
      <c r="V140" s="300"/>
      <c r="W140" s="308">
        <f t="shared" ref="W140" si="90">DAYS360(P140,S140,0)+1</f>
        <v>-41640</v>
      </c>
      <c r="X140" s="303" t="s">
        <v>334</v>
      </c>
    </row>
    <row r="141" spans="1:27" ht="117.75" customHeight="1" x14ac:dyDescent="0.2">
      <c r="A141" s="291">
        <f t="shared" si="77"/>
        <v>138</v>
      </c>
      <c r="B141" s="286" t="s">
        <v>2</v>
      </c>
      <c r="C141" s="286" t="s">
        <v>2</v>
      </c>
      <c r="D141" s="293" t="s">
        <v>40</v>
      </c>
      <c r="E141" s="295" t="s">
        <v>0</v>
      </c>
      <c r="F141" s="357" t="s">
        <v>55</v>
      </c>
      <c r="G141" s="31">
        <v>42234</v>
      </c>
      <c r="H141" s="357" t="s">
        <v>354</v>
      </c>
      <c r="I141" s="298" t="s">
        <v>75</v>
      </c>
      <c r="J141" s="298" t="s">
        <v>131</v>
      </c>
      <c r="K141" s="305" t="s">
        <v>76</v>
      </c>
      <c r="L141" s="31">
        <v>42243</v>
      </c>
      <c r="M141" s="286" t="s">
        <v>47</v>
      </c>
      <c r="N141" s="176" t="s">
        <v>351</v>
      </c>
      <c r="O141" s="204" t="s">
        <v>356</v>
      </c>
      <c r="P141" s="178">
        <v>42369</v>
      </c>
      <c r="Q141" s="365" t="s">
        <v>376</v>
      </c>
      <c r="R141" s="291" t="s">
        <v>48</v>
      </c>
      <c r="S141" s="31"/>
      <c r="T141" s="291"/>
      <c r="U141" s="308"/>
      <c r="V141" s="300"/>
      <c r="W141" s="308">
        <f t="shared" ref="W141:W142" si="91">DAYS360(P141,S141,0)+1</f>
        <v>-41759</v>
      </c>
      <c r="X141" s="303" t="s">
        <v>334</v>
      </c>
    </row>
    <row r="142" spans="1:27" ht="157.5" customHeight="1" x14ac:dyDescent="0.2">
      <c r="A142" s="291">
        <f t="shared" si="77"/>
        <v>139</v>
      </c>
      <c r="B142" s="286" t="s">
        <v>2</v>
      </c>
      <c r="C142" s="286" t="s">
        <v>2</v>
      </c>
      <c r="D142" s="457" t="s">
        <v>40</v>
      </c>
      <c r="E142" s="454" t="s">
        <v>0</v>
      </c>
      <c r="F142" s="357" t="s">
        <v>55</v>
      </c>
      <c r="G142" s="31">
        <v>42234</v>
      </c>
      <c r="H142" s="357" t="s">
        <v>357</v>
      </c>
      <c r="I142" s="467" t="s">
        <v>75</v>
      </c>
      <c r="J142" s="467" t="s">
        <v>131</v>
      </c>
      <c r="K142" s="438" t="s">
        <v>76</v>
      </c>
      <c r="L142" s="31">
        <v>42243</v>
      </c>
      <c r="M142" s="286" t="s">
        <v>101</v>
      </c>
      <c r="N142" s="176" t="s">
        <v>351</v>
      </c>
      <c r="O142" s="204" t="s">
        <v>358</v>
      </c>
      <c r="P142" s="178">
        <v>42369</v>
      </c>
      <c r="Q142" s="286" t="s">
        <v>477</v>
      </c>
      <c r="R142" s="291" t="s">
        <v>48</v>
      </c>
      <c r="S142" s="31"/>
      <c r="T142" s="291"/>
      <c r="U142" s="503">
        <f t="shared" ref="U142:U144" si="92">DAYS360(G142,L142,0)+1</f>
        <v>10</v>
      </c>
      <c r="V142" s="494" t="str">
        <f t="shared" ref="V142:V144" si="93">IF(U142&gt;15,"Inoportuno",(IF(U142&lt;0,"No ha formulado PM","Oportuno")))</f>
        <v>Oportuno</v>
      </c>
      <c r="W142" s="308">
        <f t="shared" si="91"/>
        <v>-41759</v>
      </c>
      <c r="X142" s="303" t="s">
        <v>334</v>
      </c>
    </row>
    <row r="143" spans="1:27" ht="117.75" customHeight="1" x14ac:dyDescent="0.2">
      <c r="A143" s="291">
        <f t="shared" si="77"/>
        <v>140</v>
      </c>
      <c r="B143" s="286" t="s">
        <v>2</v>
      </c>
      <c r="C143" s="286" t="s">
        <v>2</v>
      </c>
      <c r="D143" s="459"/>
      <c r="E143" s="456"/>
      <c r="F143" s="357" t="s">
        <v>55</v>
      </c>
      <c r="G143" s="31">
        <v>42234</v>
      </c>
      <c r="H143" s="357" t="s">
        <v>357</v>
      </c>
      <c r="I143" s="469"/>
      <c r="J143" s="469"/>
      <c r="K143" s="439"/>
      <c r="L143" s="31">
        <v>42243</v>
      </c>
      <c r="M143" s="286" t="s">
        <v>47</v>
      </c>
      <c r="N143" s="176" t="s">
        <v>351</v>
      </c>
      <c r="O143" s="204" t="s">
        <v>359</v>
      </c>
      <c r="P143" s="178">
        <v>42369</v>
      </c>
      <c r="Q143" s="286"/>
      <c r="R143" s="291" t="s">
        <v>48</v>
      </c>
      <c r="S143" s="31"/>
      <c r="T143" s="291"/>
      <c r="U143" s="504"/>
      <c r="V143" s="495"/>
      <c r="W143" s="308">
        <f t="shared" ref="W143" si="94">DAYS360(P143,S143,0)+1</f>
        <v>-41759</v>
      </c>
      <c r="X143" s="303" t="s">
        <v>334</v>
      </c>
    </row>
    <row r="144" spans="1:27" s="187" customFormat="1" ht="64.5" customHeight="1" x14ac:dyDescent="0.2">
      <c r="A144" s="291">
        <f t="shared" si="77"/>
        <v>141</v>
      </c>
      <c r="B144" s="304" t="s">
        <v>59</v>
      </c>
      <c r="C144" s="304" t="s">
        <v>478</v>
      </c>
      <c r="D144" s="262" t="s">
        <v>40</v>
      </c>
      <c r="E144" s="3" t="s">
        <v>0</v>
      </c>
      <c r="F144" s="357" t="s">
        <v>55</v>
      </c>
      <c r="G144" s="179">
        <v>42277</v>
      </c>
      <c r="H144" s="304" t="s">
        <v>364</v>
      </c>
      <c r="I144" s="304" t="s">
        <v>75</v>
      </c>
      <c r="J144" s="184" t="s">
        <v>131</v>
      </c>
      <c r="K144" s="185" t="s">
        <v>76</v>
      </c>
      <c r="L144" s="179">
        <v>42291</v>
      </c>
      <c r="M144" s="304" t="s">
        <v>101</v>
      </c>
      <c r="N144" s="304" t="s">
        <v>366</v>
      </c>
      <c r="O144" s="204" t="s">
        <v>479</v>
      </c>
      <c r="P144" s="179">
        <v>42460</v>
      </c>
      <c r="Q144" s="304"/>
      <c r="R144" s="183" t="s">
        <v>48</v>
      </c>
      <c r="S144" s="179"/>
      <c r="T144" s="183"/>
      <c r="U144" s="336">
        <f t="shared" si="92"/>
        <v>15</v>
      </c>
      <c r="V144" s="186" t="str">
        <f t="shared" si="93"/>
        <v>Oportuno</v>
      </c>
      <c r="W144" s="336">
        <f t="shared" ref="W144" si="95">DAYS360(P144,S144,0)+1</f>
        <v>-41849</v>
      </c>
      <c r="X144" s="303" t="s">
        <v>334</v>
      </c>
      <c r="Y144" s="137"/>
      <c r="Z144" s="367"/>
      <c r="AA144" s="367"/>
    </row>
    <row r="145" spans="1:24" ht="66.75" customHeight="1" x14ac:dyDescent="0.2">
      <c r="A145" s="291">
        <v>142</v>
      </c>
      <c r="B145" s="286" t="s">
        <v>263</v>
      </c>
      <c r="C145" s="286" t="s">
        <v>367</v>
      </c>
      <c r="D145" s="284" t="s">
        <v>43</v>
      </c>
      <c r="E145" s="295" t="s">
        <v>0</v>
      </c>
      <c r="F145" s="287" t="s">
        <v>53</v>
      </c>
      <c r="G145" s="31">
        <v>42323</v>
      </c>
      <c r="H145" s="176" t="s">
        <v>368</v>
      </c>
      <c r="I145" s="287" t="s">
        <v>75</v>
      </c>
      <c r="J145" s="288" t="s">
        <v>131</v>
      </c>
      <c r="K145" s="142" t="s">
        <v>76</v>
      </c>
      <c r="L145" s="31">
        <v>42331</v>
      </c>
      <c r="M145" s="286" t="s">
        <v>47</v>
      </c>
      <c r="N145" s="204" t="s">
        <v>370</v>
      </c>
      <c r="O145" s="176" t="s">
        <v>371</v>
      </c>
      <c r="P145" s="203" t="s">
        <v>372</v>
      </c>
      <c r="Q145" s="286" t="s">
        <v>676</v>
      </c>
      <c r="R145" s="291" t="s">
        <v>48</v>
      </c>
      <c r="S145" s="31"/>
      <c r="T145" s="291"/>
      <c r="U145" s="308">
        <f t="shared" ref="U145" si="96">DAYS360(G145,L145,0)+1</f>
        <v>9</v>
      </c>
      <c r="V145" s="300" t="str">
        <f t="shared" ref="V145" si="97">IF(U145&gt;15,"Inoportuno",(IF(U145&lt;0,"No ha formulado PM","Oportuno")))</f>
        <v>Oportuno</v>
      </c>
      <c r="W145" s="308" t="e">
        <f t="shared" ref="W145" si="98">DAYS360(P145,S145,0)+1</f>
        <v>#VALUE!</v>
      </c>
      <c r="X145" s="299"/>
    </row>
    <row r="146" spans="1:24" ht="63.75" customHeight="1" x14ac:dyDescent="0.2">
      <c r="A146" s="291">
        <f t="shared" si="77"/>
        <v>143</v>
      </c>
      <c r="B146" s="286" t="s">
        <v>263</v>
      </c>
      <c r="C146" s="286" t="s">
        <v>367</v>
      </c>
      <c r="D146" s="284" t="s">
        <v>43</v>
      </c>
      <c r="E146" s="295" t="s">
        <v>0</v>
      </c>
      <c r="F146" s="287" t="s">
        <v>53</v>
      </c>
      <c r="G146" s="31">
        <v>42323</v>
      </c>
      <c r="H146" s="176" t="s">
        <v>369</v>
      </c>
      <c r="I146" s="287" t="s">
        <v>75</v>
      </c>
      <c r="J146" s="288" t="s">
        <v>131</v>
      </c>
      <c r="K146" s="142" t="s">
        <v>76</v>
      </c>
      <c r="L146" s="31">
        <v>42331</v>
      </c>
      <c r="M146" s="286" t="s">
        <v>47</v>
      </c>
      <c r="N146" s="204" t="s">
        <v>148</v>
      </c>
      <c r="O146" s="176" t="s">
        <v>373</v>
      </c>
      <c r="P146" s="31">
        <v>42369</v>
      </c>
      <c r="Q146" s="286" t="s">
        <v>677</v>
      </c>
      <c r="R146" s="291" t="s">
        <v>48</v>
      </c>
      <c r="S146" s="31"/>
      <c r="T146" s="291"/>
      <c r="U146" s="308">
        <f t="shared" ref="U146:U180" si="99">DAYS360(G146,L146,0)+1</f>
        <v>9</v>
      </c>
      <c r="V146" s="300" t="str">
        <f t="shared" ref="V146:V180" si="100">IF(U146&gt;15,"Inoportuno",(IF(U146&lt;0,"No ha formulado PM","Oportuno")))</f>
        <v>Oportuno</v>
      </c>
      <c r="W146" s="308">
        <f t="shared" ref="W146:W180" si="101">DAYS360(P146,S146,0)+1</f>
        <v>-41759</v>
      </c>
      <c r="X146" s="299"/>
    </row>
    <row r="147" spans="1:24" ht="189" customHeight="1" x14ac:dyDescent="0.2">
      <c r="A147" s="291">
        <v>144</v>
      </c>
      <c r="B147" s="286" t="s">
        <v>58</v>
      </c>
      <c r="C147" s="286" t="s">
        <v>374</v>
      </c>
      <c r="D147" s="457" t="s">
        <v>40</v>
      </c>
      <c r="E147" s="454" t="s">
        <v>0</v>
      </c>
      <c r="F147" s="287" t="s">
        <v>57</v>
      </c>
      <c r="G147" s="31">
        <v>42341</v>
      </c>
      <c r="H147" s="176" t="s">
        <v>480</v>
      </c>
      <c r="I147" s="464" t="s">
        <v>75</v>
      </c>
      <c r="J147" s="467" t="s">
        <v>131</v>
      </c>
      <c r="K147" s="438" t="s">
        <v>76</v>
      </c>
      <c r="L147" s="31">
        <v>42348</v>
      </c>
      <c r="M147" s="286" t="s">
        <v>101</v>
      </c>
      <c r="N147" s="204" t="s">
        <v>409</v>
      </c>
      <c r="O147" s="204" t="s">
        <v>481</v>
      </c>
      <c r="P147" s="31">
        <v>42475</v>
      </c>
      <c r="Q147" s="286"/>
      <c r="R147" s="291" t="s">
        <v>48</v>
      </c>
      <c r="S147" s="31"/>
      <c r="T147" s="291"/>
      <c r="U147" s="308">
        <f t="shared" si="99"/>
        <v>8</v>
      </c>
      <c r="V147" s="300" t="str">
        <f t="shared" ref="V147:V154" si="102">IF(U147&gt;7,"Inoportuno",(IF(U147&lt;0,"No ha formulado PM","Oportuno")))</f>
        <v>Inoportuno</v>
      </c>
      <c r="W147" s="308">
        <f t="shared" si="101"/>
        <v>-41864</v>
      </c>
      <c r="X147" s="299"/>
    </row>
    <row r="148" spans="1:24" ht="189" customHeight="1" x14ac:dyDescent="0.2">
      <c r="A148" s="291">
        <f t="shared" si="77"/>
        <v>145</v>
      </c>
      <c r="B148" s="286" t="s">
        <v>58</v>
      </c>
      <c r="C148" s="286" t="s">
        <v>374</v>
      </c>
      <c r="D148" s="459"/>
      <c r="E148" s="456"/>
      <c r="F148" s="287" t="s">
        <v>57</v>
      </c>
      <c r="G148" s="31">
        <v>42341</v>
      </c>
      <c r="H148" s="176" t="s">
        <v>480</v>
      </c>
      <c r="I148" s="466"/>
      <c r="J148" s="469"/>
      <c r="K148" s="439"/>
      <c r="L148" s="31">
        <v>42348</v>
      </c>
      <c r="M148" s="286" t="s">
        <v>47</v>
      </c>
      <c r="N148" s="204" t="s">
        <v>409</v>
      </c>
      <c r="O148" s="204" t="s">
        <v>411</v>
      </c>
      <c r="P148" s="31">
        <v>42109</v>
      </c>
      <c r="Q148" s="286"/>
      <c r="R148" s="291" t="s">
        <v>48</v>
      </c>
      <c r="S148" s="31"/>
      <c r="T148" s="291"/>
      <c r="U148" s="308">
        <f t="shared" si="99"/>
        <v>8</v>
      </c>
      <c r="V148" s="300" t="str">
        <f t="shared" si="102"/>
        <v>Inoportuno</v>
      </c>
      <c r="W148" s="308">
        <f t="shared" si="101"/>
        <v>-41504</v>
      </c>
      <c r="X148" s="299"/>
    </row>
    <row r="149" spans="1:24" ht="99" customHeight="1" x14ac:dyDescent="0.2">
      <c r="A149" s="291">
        <v>146</v>
      </c>
      <c r="B149" s="286" t="s">
        <v>58</v>
      </c>
      <c r="C149" s="286" t="s">
        <v>374</v>
      </c>
      <c r="D149" s="457" t="s">
        <v>40</v>
      </c>
      <c r="E149" s="454" t="s">
        <v>0</v>
      </c>
      <c r="F149" s="287" t="s">
        <v>57</v>
      </c>
      <c r="G149" s="31">
        <v>42341</v>
      </c>
      <c r="H149" s="176" t="s">
        <v>375</v>
      </c>
      <c r="I149" s="464" t="s">
        <v>75</v>
      </c>
      <c r="J149" s="467" t="s">
        <v>131</v>
      </c>
      <c r="K149" s="438" t="s">
        <v>76</v>
      </c>
      <c r="L149" s="31">
        <v>42348</v>
      </c>
      <c r="M149" s="286" t="s">
        <v>101</v>
      </c>
      <c r="N149" s="204" t="s">
        <v>409</v>
      </c>
      <c r="O149" s="176" t="s">
        <v>436</v>
      </c>
      <c r="P149" s="31">
        <v>42460</v>
      </c>
      <c r="Q149" s="286"/>
      <c r="R149" s="291" t="s">
        <v>48</v>
      </c>
      <c r="S149" s="31"/>
      <c r="T149" s="291"/>
      <c r="U149" s="308">
        <f t="shared" si="99"/>
        <v>8</v>
      </c>
      <c r="V149" s="300" t="str">
        <f t="shared" si="102"/>
        <v>Inoportuno</v>
      </c>
      <c r="W149" s="308">
        <f t="shared" si="101"/>
        <v>-41849</v>
      </c>
      <c r="X149" s="299"/>
    </row>
    <row r="150" spans="1:24" ht="94.5" customHeight="1" x14ac:dyDescent="0.2">
      <c r="A150" s="291">
        <f t="shared" ref="A150:A181" si="103">+A149+1</f>
        <v>147</v>
      </c>
      <c r="B150" s="286" t="s">
        <v>58</v>
      </c>
      <c r="C150" s="286" t="s">
        <v>374</v>
      </c>
      <c r="D150" s="458"/>
      <c r="E150" s="455"/>
      <c r="F150" s="287" t="s">
        <v>57</v>
      </c>
      <c r="G150" s="31">
        <v>42341</v>
      </c>
      <c r="H150" s="176" t="s">
        <v>375</v>
      </c>
      <c r="I150" s="465"/>
      <c r="J150" s="468"/>
      <c r="K150" s="443"/>
      <c r="L150" s="31">
        <v>42348</v>
      </c>
      <c r="M150" s="286" t="s">
        <v>101</v>
      </c>
      <c r="N150" s="204" t="s">
        <v>409</v>
      </c>
      <c r="O150" s="204" t="s">
        <v>482</v>
      </c>
      <c r="P150" s="31">
        <v>42460</v>
      </c>
      <c r="Q150" s="286"/>
      <c r="R150" s="291" t="s">
        <v>48</v>
      </c>
      <c r="S150" s="31"/>
      <c r="T150" s="291"/>
      <c r="U150" s="308">
        <f t="shared" si="99"/>
        <v>8</v>
      </c>
      <c r="V150" s="300" t="str">
        <f t="shared" si="102"/>
        <v>Inoportuno</v>
      </c>
      <c r="W150" s="308">
        <f t="shared" si="101"/>
        <v>-41849</v>
      </c>
      <c r="X150" s="299"/>
    </row>
    <row r="151" spans="1:24" ht="87.75" customHeight="1" x14ac:dyDescent="0.2">
      <c r="A151" s="291">
        <f t="shared" si="103"/>
        <v>148</v>
      </c>
      <c r="B151" s="286" t="s">
        <v>58</v>
      </c>
      <c r="C151" s="286" t="s">
        <v>374</v>
      </c>
      <c r="D151" s="458"/>
      <c r="E151" s="455"/>
      <c r="F151" s="287" t="s">
        <v>57</v>
      </c>
      <c r="G151" s="31">
        <v>42341</v>
      </c>
      <c r="H151" s="176" t="s">
        <v>375</v>
      </c>
      <c r="I151" s="465"/>
      <c r="J151" s="468"/>
      <c r="K151" s="443"/>
      <c r="L151" s="31">
        <v>42348</v>
      </c>
      <c r="M151" s="286" t="s">
        <v>47</v>
      </c>
      <c r="N151" s="204" t="s">
        <v>409</v>
      </c>
      <c r="O151" s="204" t="s">
        <v>483</v>
      </c>
      <c r="P151" s="31">
        <v>42460</v>
      </c>
      <c r="Q151" s="286"/>
      <c r="R151" s="291" t="s">
        <v>48</v>
      </c>
      <c r="S151" s="31"/>
      <c r="T151" s="291"/>
      <c r="U151" s="308">
        <f t="shared" si="99"/>
        <v>8</v>
      </c>
      <c r="V151" s="300" t="str">
        <f t="shared" si="102"/>
        <v>Inoportuno</v>
      </c>
      <c r="W151" s="308">
        <f t="shared" si="101"/>
        <v>-41849</v>
      </c>
      <c r="X151" s="299"/>
    </row>
    <row r="152" spans="1:24" ht="87.75" customHeight="1" x14ac:dyDescent="0.2">
      <c r="A152" s="291">
        <f t="shared" si="103"/>
        <v>149</v>
      </c>
      <c r="B152" s="286" t="s">
        <v>58</v>
      </c>
      <c r="C152" s="286" t="s">
        <v>374</v>
      </c>
      <c r="D152" s="458"/>
      <c r="E152" s="455"/>
      <c r="F152" s="287" t="s">
        <v>57</v>
      </c>
      <c r="G152" s="31">
        <v>42341</v>
      </c>
      <c r="H152" s="176" t="s">
        <v>375</v>
      </c>
      <c r="I152" s="465"/>
      <c r="J152" s="468"/>
      <c r="K152" s="443"/>
      <c r="L152" s="31">
        <v>42348</v>
      </c>
      <c r="M152" s="286" t="s">
        <v>47</v>
      </c>
      <c r="N152" s="204" t="s">
        <v>409</v>
      </c>
      <c r="O152" s="204" t="s">
        <v>410</v>
      </c>
      <c r="P152" s="31">
        <v>42460</v>
      </c>
      <c r="Q152" s="286"/>
      <c r="R152" s="291" t="s">
        <v>48</v>
      </c>
      <c r="S152" s="31"/>
      <c r="T152" s="291"/>
      <c r="U152" s="308">
        <f t="shared" si="99"/>
        <v>8</v>
      </c>
      <c r="V152" s="300" t="str">
        <f t="shared" si="102"/>
        <v>Inoportuno</v>
      </c>
      <c r="W152" s="308">
        <f t="shared" si="101"/>
        <v>-41849</v>
      </c>
      <c r="X152" s="299"/>
    </row>
    <row r="153" spans="1:24" ht="87.75" customHeight="1" x14ac:dyDescent="0.2">
      <c r="A153" s="291">
        <f t="shared" si="103"/>
        <v>150</v>
      </c>
      <c r="B153" s="286" t="s">
        <v>58</v>
      </c>
      <c r="C153" s="286" t="s">
        <v>374</v>
      </c>
      <c r="D153" s="458"/>
      <c r="E153" s="455"/>
      <c r="F153" s="287" t="s">
        <v>57</v>
      </c>
      <c r="G153" s="31">
        <v>42341</v>
      </c>
      <c r="H153" s="176" t="s">
        <v>375</v>
      </c>
      <c r="I153" s="465"/>
      <c r="J153" s="468"/>
      <c r="K153" s="443"/>
      <c r="L153" s="31">
        <v>42348</v>
      </c>
      <c r="M153" s="286" t="s">
        <v>47</v>
      </c>
      <c r="N153" s="204" t="s">
        <v>409</v>
      </c>
      <c r="O153" s="204" t="s">
        <v>422</v>
      </c>
      <c r="P153" s="31">
        <v>42400</v>
      </c>
      <c r="Q153" s="286" t="s">
        <v>484</v>
      </c>
      <c r="R153" s="291" t="s">
        <v>48</v>
      </c>
      <c r="S153" s="31"/>
      <c r="T153" s="291"/>
      <c r="U153" s="308">
        <f t="shared" si="99"/>
        <v>8</v>
      </c>
      <c r="V153" s="300" t="str">
        <f t="shared" si="102"/>
        <v>Inoportuno</v>
      </c>
      <c r="W153" s="308">
        <f t="shared" si="101"/>
        <v>-41789</v>
      </c>
      <c r="X153" s="299"/>
    </row>
    <row r="154" spans="1:24" ht="87.75" customHeight="1" x14ac:dyDescent="0.2">
      <c r="A154" s="291">
        <f t="shared" si="103"/>
        <v>151</v>
      </c>
      <c r="B154" s="286" t="s">
        <v>58</v>
      </c>
      <c r="C154" s="286" t="s">
        <v>374</v>
      </c>
      <c r="D154" s="459"/>
      <c r="E154" s="456"/>
      <c r="F154" s="287" t="s">
        <v>57</v>
      </c>
      <c r="G154" s="31">
        <v>42341</v>
      </c>
      <c r="H154" s="176" t="s">
        <v>375</v>
      </c>
      <c r="I154" s="466"/>
      <c r="J154" s="469"/>
      <c r="K154" s="439"/>
      <c r="L154" s="31">
        <v>42348</v>
      </c>
      <c r="M154" s="286" t="s">
        <v>47</v>
      </c>
      <c r="N154" s="204" t="s">
        <v>409</v>
      </c>
      <c r="O154" s="204" t="s">
        <v>485</v>
      </c>
      <c r="P154" s="31">
        <v>42460</v>
      </c>
      <c r="Q154" s="286"/>
      <c r="R154" s="291" t="s">
        <v>48</v>
      </c>
      <c r="S154" s="31"/>
      <c r="T154" s="291"/>
      <c r="U154" s="308">
        <f t="shared" si="99"/>
        <v>8</v>
      </c>
      <c r="V154" s="300" t="str">
        <f t="shared" si="102"/>
        <v>Inoportuno</v>
      </c>
      <c r="W154" s="308">
        <f t="shared" si="101"/>
        <v>-41849</v>
      </c>
      <c r="X154" s="299"/>
    </row>
    <row r="155" spans="1:24" ht="87.75" customHeight="1" x14ac:dyDescent="0.2">
      <c r="A155" s="291">
        <f t="shared" si="103"/>
        <v>152</v>
      </c>
      <c r="B155" s="286" t="s">
        <v>9</v>
      </c>
      <c r="C155" s="286" t="s">
        <v>392</v>
      </c>
      <c r="D155" s="284" t="s">
        <v>40</v>
      </c>
      <c r="E155" s="295" t="s">
        <v>0</v>
      </c>
      <c r="F155" s="287" t="s">
        <v>53</v>
      </c>
      <c r="G155" s="31">
        <v>42349</v>
      </c>
      <c r="H155" s="176" t="s">
        <v>391</v>
      </c>
      <c r="I155" s="294" t="s">
        <v>75</v>
      </c>
      <c r="J155" s="288" t="s">
        <v>131</v>
      </c>
      <c r="K155" s="142" t="s">
        <v>76</v>
      </c>
      <c r="L155" s="31">
        <v>42443</v>
      </c>
      <c r="M155" s="286" t="s">
        <v>47</v>
      </c>
      <c r="N155" s="204" t="s">
        <v>737</v>
      </c>
      <c r="O155" s="204" t="s">
        <v>736</v>
      </c>
      <c r="P155" s="31">
        <v>42673</v>
      </c>
      <c r="Q155" s="286"/>
      <c r="R155" s="291" t="s">
        <v>48</v>
      </c>
      <c r="S155" s="31"/>
      <c r="T155" s="291"/>
      <c r="U155" s="308">
        <f t="shared" ref="U155" si="104">DAYS360(G155,L155,0)+1</f>
        <v>94</v>
      </c>
      <c r="V155" s="300" t="str">
        <f t="shared" ref="V155" si="105">IF(U155&gt;15,"Inoportuno",(IF(U155&lt;0,"No ha formulado PM","Oportuno")))</f>
        <v>Inoportuno</v>
      </c>
      <c r="W155" s="308">
        <f t="shared" ref="W155" si="106">DAYS360(P155,S155,0)+1</f>
        <v>-42059</v>
      </c>
      <c r="X155" s="299"/>
    </row>
    <row r="156" spans="1:24" ht="87.75" customHeight="1" x14ac:dyDescent="0.2">
      <c r="A156" s="291">
        <f t="shared" si="103"/>
        <v>153</v>
      </c>
      <c r="B156" s="286" t="s">
        <v>9</v>
      </c>
      <c r="C156" s="286" t="s">
        <v>392</v>
      </c>
      <c r="D156" s="284" t="s">
        <v>40</v>
      </c>
      <c r="E156" s="295" t="s">
        <v>0</v>
      </c>
      <c r="F156" s="287" t="s">
        <v>53</v>
      </c>
      <c r="G156" s="31">
        <v>42349</v>
      </c>
      <c r="H156" s="176" t="s">
        <v>396</v>
      </c>
      <c r="I156" s="287" t="s">
        <v>75</v>
      </c>
      <c r="J156" s="288" t="s">
        <v>131</v>
      </c>
      <c r="K156" s="142" t="s">
        <v>76</v>
      </c>
      <c r="L156" s="31">
        <v>42443</v>
      </c>
      <c r="M156" s="286" t="s">
        <v>47</v>
      </c>
      <c r="N156" s="204" t="s">
        <v>737</v>
      </c>
      <c r="O156" s="204" t="s">
        <v>738</v>
      </c>
      <c r="P156" s="31">
        <v>42673</v>
      </c>
      <c r="Q156" s="286"/>
      <c r="R156" s="291" t="s">
        <v>48</v>
      </c>
      <c r="S156" s="31"/>
      <c r="T156" s="291"/>
      <c r="U156" s="308">
        <f t="shared" ref="U156:U168" si="107">DAYS360(G156,L156,0)+1</f>
        <v>94</v>
      </c>
      <c r="V156" s="300" t="str">
        <f t="shared" ref="V156:V168" si="108">IF(U156&gt;15,"Inoportuno",(IF(U156&lt;0,"No ha formulado PM","Oportuno")))</f>
        <v>Inoportuno</v>
      </c>
      <c r="W156" s="308">
        <f t="shared" ref="W156:W168" si="109">DAYS360(P156,S156,0)+1</f>
        <v>-42059</v>
      </c>
      <c r="X156" s="299"/>
    </row>
    <row r="157" spans="1:24" ht="87.75" customHeight="1" x14ac:dyDescent="0.2">
      <c r="A157" s="291">
        <f t="shared" si="103"/>
        <v>154</v>
      </c>
      <c r="B157" s="286" t="s">
        <v>9</v>
      </c>
      <c r="C157" s="286" t="s">
        <v>392</v>
      </c>
      <c r="D157" s="284" t="s">
        <v>40</v>
      </c>
      <c r="E157" s="295" t="s">
        <v>0</v>
      </c>
      <c r="F157" s="287" t="s">
        <v>53</v>
      </c>
      <c r="G157" s="31">
        <v>42349</v>
      </c>
      <c r="H157" s="176" t="s">
        <v>397</v>
      </c>
      <c r="I157" s="287" t="s">
        <v>75</v>
      </c>
      <c r="J157" s="288" t="s">
        <v>131</v>
      </c>
      <c r="K157" s="142" t="s">
        <v>76</v>
      </c>
      <c r="L157" s="31">
        <v>42443</v>
      </c>
      <c r="M157" s="286" t="s">
        <v>47</v>
      </c>
      <c r="N157" s="204" t="s">
        <v>751</v>
      </c>
      <c r="O157" s="204" t="s">
        <v>739</v>
      </c>
      <c r="P157" s="31">
        <v>42673</v>
      </c>
      <c r="Q157" s="286"/>
      <c r="R157" s="291" t="s">
        <v>48</v>
      </c>
      <c r="S157" s="31"/>
      <c r="T157" s="291"/>
      <c r="U157" s="308">
        <f t="shared" si="107"/>
        <v>94</v>
      </c>
      <c r="V157" s="300" t="str">
        <f t="shared" si="108"/>
        <v>Inoportuno</v>
      </c>
      <c r="W157" s="308">
        <f t="shared" si="109"/>
        <v>-42059</v>
      </c>
      <c r="X157" s="299"/>
    </row>
    <row r="158" spans="1:24" ht="87.75" customHeight="1" x14ac:dyDescent="0.2">
      <c r="A158" s="291">
        <f t="shared" si="103"/>
        <v>155</v>
      </c>
      <c r="B158" s="286" t="s">
        <v>9</v>
      </c>
      <c r="C158" s="286" t="s">
        <v>392</v>
      </c>
      <c r="D158" s="284" t="s">
        <v>40</v>
      </c>
      <c r="E158" s="295" t="s">
        <v>0</v>
      </c>
      <c r="F158" s="287" t="s">
        <v>53</v>
      </c>
      <c r="G158" s="31">
        <v>42349</v>
      </c>
      <c r="H158" s="176" t="s">
        <v>398</v>
      </c>
      <c r="I158" s="287" t="s">
        <v>75</v>
      </c>
      <c r="J158" s="288" t="s">
        <v>131</v>
      </c>
      <c r="K158" s="142" t="s">
        <v>76</v>
      </c>
      <c r="L158" s="31">
        <v>42443</v>
      </c>
      <c r="M158" s="286" t="s">
        <v>47</v>
      </c>
      <c r="N158" s="204" t="s">
        <v>737</v>
      </c>
      <c r="O158" s="204" t="s">
        <v>740</v>
      </c>
      <c r="P158" s="31">
        <v>42673</v>
      </c>
      <c r="Q158" s="286"/>
      <c r="R158" s="291" t="s">
        <v>48</v>
      </c>
      <c r="S158" s="31"/>
      <c r="T158" s="291"/>
      <c r="U158" s="308">
        <f t="shared" si="107"/>
        <v>94</v>
      </c>
      <c r="V158" s="300" t="str">
        <f t="shared" si="108"/>
        <v>Inoportuno</v>
      </c>
      <c r="W158" s="308">
        <f t="shared" si="109"/>
        <v>-42059</v>
      </c>
      <c r="X158" s="299"/>
    </row>
    <row r="159" spans="1:24" ht="87.75" customHeight="1" x14ac:dyDescent="0.2">
      <c r="A159" s="438">
        <v>156</v>
      </c>
      <c r="B159" s="395" t="s">
        <v>9</v>
      </c>
      <c r="C159" s="395" t="s">
        <v>392</v>
      </c>
      <c r="D159" s="394" t="s">
        <v>40</v>
      </c>
      <c r="E159" s="402" t="s">
        <v>0</v>
      </c>
      <c r="F159" s="396" t="s">
        <v>53</v>
      </c>
      <c r="G159" s="31">
        <v>42349</v>
      </c>
      <c r="H159" s="499" t="s">
        <v>400</v>
      </c>
      <c r="I159" s="396" t="s">
        <v>75</v>
      </c>
      <c r="J159" s="397" t="s">
        <v>131</v>
      </c>
      <c r="K159" s="142" t="s">
        <v>76</v>
      </c>
      <c r="L159" s="31">
        <v>42443</v>
      </c>
      <c r="M159" s="395" t="s">
        <v>101</v>
      </c>
      <c r="N159" s="204" t="s">
        <v>737</v>
      </c>
      <c r="O159" s="204" t="s">
        <v>742</v>
      </c>
      <c r="P159" s="31">
        <v>42500</v>
      </c>
      <c r="Q159" s="395"/>
      <c r="R159" s="398" t="s">
        <v>48</v>
      </c>
      <c r="S159" s="31"/>
      <c r="T159" s="398"/>
      <c r="U159" s="399"/>
      <c r="V159" s="400"/>
      <c r="W159" s="399"/>
      <c r="X159" s="401"/>
    </row>
    <row r="160" spans="1:24" ht="87.75" customHeight="1" x14ac:dyDescent="0.2">
      <c r="A160" s="439"/>
      <c r="B160" s="286" t="s">
        <v>9</v>
      </c>
      <c r="C160" s="286" t="s">
        <v>392</v>
      </c>
      <c r="D160" s="284" t="s">
        <v>40</v>
      </c>
      <c r="E160" s="295" t="s">
        <v>0</v>
      </c>
      <c r="F160" s="287" t="s">
        <v>53</v>
      </c>
      <c r="G160" s="31">
        <v>42349</v>
      </c>
      <c r="H160" s="500"/>
      <c r="I160" s="287" t="s">
        <v>75</v>
      </c>
      <c r="J160" s="288" t="s">
        <v>131</v>
      </c>
      <c r="K160" s="142" t="s">
        <v>76</v>
      </c>
      <c r="L160" s="31">
        <v>42443</v>
      </c>
      <c r="M160" s="286" t="s">
        <v>47</v>
      </c>
      <c r="N160" s="204" t="s">
        <v>737</v>
      </c>
      <c r="O160" s="204" t="s">
        <v>741</v>
      </c>
      <c r="P160" s="31">
        <v>42500</v>
      </c>
      <c r="Q160" s="286"/>
      <c r="R160" s="291" t="s">
        <v>48</v>
      </c>
      <c r="S160" s="31"/>
      <c r="T160" s="291"/>
      <c r="U160" s="308">
        <f t="shared" si="107"/>
        <v>94</v>
      </c>
      <c r="V160" s="300" t="str">
        <f t="shared" si="108"/>
        <v>Inoportuno</v>
      </c>
      <c r="W160" s="308">
        <f t="shared" si="109"/>
        <v>-41889</v>
      </c>
      <c r="X160" s="299"/>
    </row>
    <row r="161" spans="1:24" ht="87.75" customHeight="1" x14ac:dyDescent="0.2">
      <c r="A161" s="438">
        <f>+A159+1</f>
        <v>157</v>
      </c>
      <c r="B161" s="395" t="s">
        <v>9</v>
      </c>
      <c r="C161" s="395" t="s">
        <v>392</v>
      </c>
      <c r="D161" s="394" t="s">
        <v>40</v>
      </c>
      <c r="E161" s="402" t="s">
        <v>0</v>
      </c>
      <c r="F161" s="396" t="s">
        <v>53</v>
      </c>
      <c r="G161" s="31">
        <v>42349</v>
      </c>
      <c r="H161" s="499" t="s">
        <v>401</v>
      </c>
      <c r="I161" s="396" t="s">
        <v>75</v>
      </c>
      <c r="J161" s="397" t="s">
        <v>131</v>
      </c>
      <c r="K161" s="142" t="s">
        <v>76</v>
      </c>
      <c r="L161" s="31">
        <v>42443</v>
      </c>
      <c r="M161" s="395" t="s">
        <v>101</v>
      </c>
      <c r="N161" s="204" t="s">
        <v>752</v>
      </c>
      <c r="O161" s="204" t="s">
        <v>743</v>
      </c>
      <c r="P161" s="31">
        <v>42658</v>
      </c>
      <c r="Q161" s="395"/>
      <c r="R161" s="398" t="s">
        <v>48</v>
      </c>
      <c r="S161" s="31"/>
      <c r="T161" s="398"/>
      <c r="U161" s="399">
        <f t="shared" si="107"/>
        <v>94</v>
      </c>
      <c r="V161" s="400" t="str">
        <f t="shared" si="108"/>
        <v>Inoportuno</v>
      </c>
      <c r="W161" s="399">
        <f t="shared" si="109"/>
        <v>-42044</v>
      </c>
      <c r="X161" s="401"/>
    </row>
    <row r="162" spans="1:24" ht="87.75" customHeight="1" x14ac:dyDescent="0.2">
      <c r="A162" s="439"/>
      <c r="B162" s="286" t="s">
        <v>9</v>
      </c>
      <c r="C162" s="286" t="s">
        <v>392</v>
      </c>
      <c r="D162" s="284" t="s">
        <v>40</v>
      </c>
      <c r="E162" s="295" t="s">
        <v>0</v>
      </c>
      <c r="F162" s="287" t="s">
        <v>53</v>
      </c>
      <c r="G162" s="31">
        <v>42349</v>
      </c>
      <c r="H162" s="500"/>
      <c r="I162" s="287" t="s">
        <v>75</v>
      </c>
      <c r="J162" s="288" t="s">
        <v>131</v>
      </c>
      <c r="K162" s="142" t="s">
        <v>76</v>
      </c>
      <c r="L162" s="31">
        <v>42443</v>
      </c>
      <c r="M162" s="286" t="s">
        <v>51</v>
      </c>
      <c r="N162" s="204" t="s">
        <v>752</v>
      </c>
      <c r="O162" s="204" t="s">
        <v>744</v>
      </c>
      <c r="P162" s="31">
        <v>42658</v>
      </c>
      <c r="Q162" s="286"/>
      <c r="R162" s="291" t="s">
        <v>48</v>
      </c>
      <c r="S162" s="31"/>
      <c r="T162" s="291"/>
      <c r="U162" s="308">
        <f t="shared" si="107"/>
        <v>94</v>
      </c>
      <c r="V162" s="300" t="str">
        <f t="shared" si="108"/>
        <v>Inoportuno</v>
      </c>
      <c r="W162" s="308">
        <f t="shared" si="109"/>
        <v>-42044</v>
      </c>
      <c r="X162" s="299"/>
    </row>
    <row r="163" spans="1:24" ht="87.75" customHeight="1" x14ac:dyDescent="0.2">
      <c r="A163" s="438">
        <f>+A161+1</f>
        <v>158</v>
      </c>
      <c r="B163" s="395" t="s">
        <v>9</v>
      </c>
      <c r="C163" s="395" t="s">
        <v>392</v>
      </c>
      <c r="D163" s="394" t="s">
        <v>40</v>
      </c>
      <c r="E163" s="402" t="s">
        <v>0</v>
      </c>
      <c r="F163" s="396" t="s">
        <v>53</v>
      </c>
      <c r="G163" s="31">
        <v>42349</v>
      </c>
      <c r="H163" s="499" t="s">
        <v>402</v>
      </c>
      <c r="I163" s="396" t="s">
        <v>75</v>
      </c>
      <c r="J163" s="397" t="s">
        <v>131</v>
      </c>
      <c r="K163" s="142" t="s">
        <v>76</v>
      </c>
      <c r="L163" s="31">
        <v>42443</v>
      </c>
      <c r="M163" s="395" t="s">
        <v>47</v>
      </c>
      <c r="N163" s="204" t="s">
        <v>737</v>
      </c>
      <c r="O163" s="204" t="s">
        <v>745</v>
      </c>
      <c r="P163" s="31">
        <v>42658</v>
      </c>
      <c r="Q163" s="395"/>
      <c r="R163" s="398" t="s">
        <v>48</v>
      </c>
      <c r="S163" s="31"/>
      <c r="T163" s="398"/>
      <c r="U163" s="399"/>
      <c r="V163" s="400"/>
      <c r="W163" s="399">
        <f t="shared" si="109"/>
        <v>-42044</v>
      </c>
      <c r="X163" s="401"/>
    </row>
    <row r="164" spans="1:24" ht="87.75" customHeight="1" x14ac:dyDescent="0.2">
      <c r="A164" s="439"/>
      <c r="B164" s="286" t="s">
        <v>9</v>
      </c>
      <c r="C164" s="286" t="s">
        <v>392</v>
      </c>
      <c r="D164" s="284" t="s">
        <v>40</v>
      </c>
      <c r="E164" s="295" t="s">
        <v>0</v>
      </c>
      <c r="F164" s="287" t="s">
        <v>53</v>
      </c>
      <c r="G164" s="31">
        <v>42349</v>
      </c>
      <c r="H164" s="500"/>
      <c r="I164" s="287" t="s">
        <v>75</v>
      </c>
      <c r="J164" s="288" t="s">
        <v>131</v>
      </c>
      <c r="K164" s="142" t="s">
        <v>76</v>
      </c>
      <c r="L164" s="31">
        <v>42443</v>
      </c>
      <c r="M164" s="286" t="s">
        <v>51</v>
      </c>
      <c r="N164" s="204" t="s">
        <v>737</v>
      </c>
      <c r="O164" s="204" t="s">
        <v>746</v>
      </c>
      <c r="P164" s="31">
        <v>42658</v>
      </c>
      <c r="Q164" s="286"/>
      <c r="R164" s="291" t="s">
        <v>48</v>
      </c>
      <c r="S164" s="31"/>
      <c r="T164" s="291"/>
      <c r="U164" s="308">
        <f t="shared" si="107"/>
        <v>94</v>
      </c>
      <c r="V164" s="300" t="str">
        <f t="shared" si="108"/>
        <v>Inoportuno</v>
      </c>
      <c r="W164" s="308">
        <f t="shared" si="109"/>
        <v>-42044</v>
      </c>
      <c r="X164" s="299"/>
    </row>
    <row r="165" spans="1:24" ht="87.75" customHeight="1" x14ac:dyDescent="0.2">
      <c r="A165" s="438">
        <f>+A163+1</f>
        <v>159</v>
      </c>
      <c r="B165" s="395" t="s">
        <v>9</v>
      </c>
      <c r="C165" s="395" t="s">
        <v>392</v>
      </c>
      <c r="D165" s="394" t="s">
        <v>40</v>
      </c>
      <c r="E165" s="402" t="s">
        <v>0</v>
      </c>
      <c r="F165" s="396" t="s">
        <v>53</v>
      </c>
      <c r="G165" s="31">
        <v>42349</v>
      </c>
      <c r="H165" s="499" t="s">
        <v>403</v>
      </c>
      <c r="I165" s="396" t="s">
        <v>75</v>
      </c>
      <c r="J165" s="397" t="s">
        <v>131</v>
      </c>
      <c r="K165" s="142" t="s">
        <v>76</v>
      </c>
      <c r="L165" s="31">
        <v>42443</v>
      </c>
      <c r="M165" s="395" t="s">
        <v>101</v>
      </c>
      <c r="N165" s="204" t="s">
        <v>752</v>
      </c>
      <c r="O165" s="204" t="s">
        <v>747</v>
      </c>
      <c r="P165" s="31">
        <v>42500</v>
      </c>
      <c r="Q165" s="395"/>
      <c r="R165" s="398" t="s">
        <v>48</v>
      </c>
      <c r="S165" s="31"/>
      <c r="T165" s="398"/>
      <c r="U165" s="399"/>
      <c r="V165" s="400"/>
      <c r="W165" s="399">
        <f t="shared" si="109"/>
        <v>-41889</v>
      </c>
      <c r="X165" s="401"/>
    </row>
    <row r="166" spans="1:24" ht="87.75" customHeight="1" x14ac:dyDescent="0.2">
      <c r="A166" s="439"/>
      <c r="B166" s="286" t="s">
        <v>9</v>
      </c>
      <c r="C166" s="286" t="s">
        <v>392</v>
      </c>
      <c r="D166" s="284" t="s">
        <v>40</v>
      </c>
      <c r="E166" s="295" t="s">
        <v>0</v>
      </c>
      <c r="F166" s="287" t="s">
        <v>53</v>
      </c>
      <c r="G166" s="31">
        <v>42349</v>
      </c>
      <c r="H166" s="500"/>
      <c r="I166" s="287" t="s">
        <v>75</v>
      </c>
      <c r="J166" s="288" t="s">
        <v>131</v>
      </c>
      <c r="K166" s="142" t="s">
        <v>76</v>
      </c>
      <c r="L166" s="31">
        <v>42443</v>
      </c>
      <c r="M166" s="286" t="s">
        <v>51</v>
      </c>
      <c r="N166" s="204" t="s">
        <v>752</v>
      </c>
      <c r="O166" s="204" t="s">
        <v>748</v>
      </c>
      <c r="P166" s="31">
        <v>42500</v>
      </c>
      <c r="Q166" s="286"/>
      <c r="R166" s="291" t="s">
        <v>48</v>
      </c>
      <c r="S166" s="31"/>
      <c r="T166" s="291"/>
      <c r="U166" s="308">
        <f t="shared" si="107"/>
        <v>94</v>
      </c>
      <c r="V166" s="300" t="str">
        <f t="shared" si="108"/>
        <v>Inoportuno</v>
      </c>
      <c r="W166" s="308">
        <f t="shared" si="109"/>
        <v>-41889</v>
      </c>
      <c r="X166" s="299"/>
    </row>
    <row r="167" spans="1:24" ht="87.75" customHeight="1" x14ac:dyDescent="0.2">
      <c r="A167" s="438">
        <f>+A165+1</f>
        <v>160</v>
      </c>
      <c r="B167" s="395" t="s">
        <v>9</v>
      </c>
      <c r="C167" s="395" t="s">
        <v>392</v>
      </c>
      <c r="D167" s="394" t="s">
        <v>40</v>
      </c>
      <c r="E167" s="402" t="s">
        <v>0</v>
      </c>
      <c r="F167" s="396" t="s">
        <v>53</v>
      </c>
      <c r="G167" s="31">
        <v>42288</v>
      </c>
      <c r="H167" s="499" t="s">
        <v>404</v>
      </c>
      <c r="I167" s="396" t="s">
        <v>75</v>
      </c>
      <c r="J167" s="397" t="s">
        <v>131</v>
      </c>
      <c r="K167" s="142" t="s">
        <v>76</v>
      </c>
      <c r="L167" s="31">
        <v>42443</v>
      </c>
      <c r="M167" s="395" t="s">
        <v>101</v>
      </c>
      <c r="N167" s="204" t="s">
        <v>752</v>
      </c>
      <c r="O167" s="204" t="s">
        <v>749</v>
      </c>
      <c r="P167" s="31">
        <v>42500</v>
      </c>
      <c r="Q167" s="395"/>
      <c r="R167" s="398" t="s">
        <v>48</v>
      </c>
      <c r="S167" s="31"/>
      <c r="T167" s="398"/>
      <c r="U167" s="399"/>
      <c r="V167" s="400"/>
      <c r="W167" s="399"/>
      <c r="X167" s="401"/>
    </row>
    <row r="168" spans="1:24" ht="87.75" customHeight="1" x14ac:dyDescent="0.2">
      <c r="A168" s="439"/>
      <c r="B168" s="286" t="s">
        <v>9</v>
      </c>
      <c r="C168" s="286" t="s">
        <v>392</v>
      </c>
      <c r="D168" s="284" t="s">
        <v>40</v>
      </c>
      <c r="E168" s="295" t="s">
        <v>0</v>
      </c>
      <c r="F168" s="287" t="s">
        <v>53</v>
      </c>
      <c r="G168" s="31">
        <v>42349</v>
      </c>
      <c r="H168" s="500"/>
      <c r="I168" s="287" t="s">
        <v>75</v>
      </c>
      <c r="J168" s="288" t="s">
        <v>131</v>
      </c>
      <c r="K168" s="142" t="s">
        <v>76</v>
      </c>
      <c r="L168" s="31">
        <v>42443</v>
      </c>
      <c r="M168" s="286" t="s">
        <v>51</v>
      </c>
      <c r="N168" s="204" t="s">
        <v>752</v>
      </c>
      <c r="O168" s="204" t="s">
        <v>750</v>
      </c>
      <c r="P168" s="31">
        <v>42500</v>
      </c>
      <c r="Q168" s="286"/>
      <c r="R168" s="291" t="s">
        <v>48</v>
      </c>
      <c r="S168" s="31"/>
      <c r="T168" s="291"/>
      <c r="U168" s="308">
        <f t="shared" si="107"/>
        <v>94</v>
      </c>
      <c r="V168" s="300" t="str">
        <f t="shared" si="108"/>
        <v>Inoportuno</v>
      </c>
      <c r="W168" s="308">
        <f t="shared" si="109"/>
        <v>-41889</v>
      </c>
      <c r="X168" s="299"/>
    </row>
    <row r="169" spans="1:24" ht="87.75" customHeight="1" x14ac:dyDescent="0.2">
      <c r="A169" s="291">
        <v>161</v>
      </c>
      <c r="B169" s="286" t="s">
        <v>2</v>
      </c>
      <c r="C169" s="286" t="s">
        <v>406</v>
      </c>
      <c r="D169" s="284" t="s">
        <v>40</v>
      </c>
      <c r="E169" s="295" t="s">
        <v>0</v>
      </c>
      <c r="F169" s="287" t="s">
        <v>55</v>
      </c>
      <c r="G169" s="31">
        <v>42353</v>
      </c>
      <c r="H169" s="176" t="s">
        <v>407</v>
      </c>
      <c r="I169" s="287" t="s">
        <v>75</v>
      </c>
      <c r="J169" s="288" t="s">
        <v>131</v>
      </c>
      <c r="K169" s="142" t="s">
        <v>76</v>
      </c>
      <c r="L169" s="31">
        <v>42404</v>
      </c>
      <c r="M169" s="286" t="s">
        <v>47</v>
      </c>
      <c r="N169" s="176" t="s">
        <v>351</v>
      </c>
      <c r="O169" s="204" t="s">
        <v>486</v>
      </c>
      <c r="P169" s="31">
        <v>42459</v>
      </c>
      <c r="Q169" s="286"/>
      <c r="R169" s="291" t="s">
        <v>48</v>
      </c>
      <c r="S169" s="31"/>
      <c r="T169" s="291"/>
      <c r="U169" s="308">
        <f t="shared" ref="U169" si="110">DAYS360(G169,L169,0)+1</f>
        <v>50</v>
      </c>
      <c r="V169" s="300" t="str">
        <f t="shared" ref="V169" si="111">IF(U169&gt;15,"Inoportuno",(IF(U169&lt;0,"No ha formulado PM","Oportuno")))</f>
        <v>Inoportuno</v>
      </c>
      <c r="W169" s="308">
        <f t="shared" ref="W169" si="112">DAYS360(P169,S169,0)+1</f>
        <v>-41849</v>
      </c>
      <c r="X169" s="299"/>
    </row>
    <row r="170" spans="1:24" ht="87.75" customHeight="1" x14ac:dyDescent="0.2">
      <c r="A170" s="291">
        <v>162</v>
      </c>
      <c r="B170" s="286" t="s">
        <v>21</v>
      </c>
      <c r="C170" s="286" t="s">
        <v>393</v>
      </c>
      <c r="D170" s="284" t="s">
        <v>40</v>
      </c>
      <c r="E170" s="295" t="s">
        <v>0</v>
      </c>
      <c r="F170" s="287" t="s">
        <v>56</v>
      </c>
      <c r="G170" s="31">
        <v>42361</v>
      </c>
      <c r="H170" s="176" t="s">
        <v>487</v>
      </c>
      <c r="I170" s="287" t="s">
        <v>75</v>
      </c>
      <c r="J170" s="288" t="s">
        <v>131</v>
      </c>
      <c r="K170" s="142" t="s">
        <v>76</v>
      </c>
      <c r="L170" s="31">
        <v>42368</v>
      </c>
      <c r="M170" s="286" t="s">
        <v>47</v>
      </c>
      <c r="N170" s="204" t="s">
        <v>412</v>
      </c>
      <c r="O170" s="330" t="s">
        <v>488</v>
      </c>
      <c r="P170" s="179">
        <v>42520</v>
      </c>
      <c r="Q170" s="286" t="s">
        <v>520</v>
      </c>
      <c r="R170" s="291" t="s">
        <v>48</v>
      </c>
      <c r="S170" s="31"/>
      <c r="T170" s="291"/>
      <c r="U170" s="308">
        <f t="shared" ref="U170:U171" si="113">DAYS360(G170,L170,0)+1</f>
        <v>8</v>
      </c>
      <c r="V170" s="300" t="str">
        <f t="shared" ref="V170:V171" si="114">IF(U170&gt;15,"Inoportuno",(IF(U170&lt;0,"No ha formulado PM","Oportuno")))</f>
        <v>Oportuno</v>
      </c>
      <c r="W170" s="308">
        <f t="shared" ref="W170:W171" si="115">DAYS360(P170,S170,0)+1</f>
        <v>-41909</v>
      </c>
      <c r="X170" s="299"/>
    </row>
    <row r="171" spans="1:24" ht="143.25" customHeight="1" x14ac:dyDescent="0.2">
      <c r="A171" s="291">
        <f t="shared" si="103"/>
        <v>163</v>
      </c>
      <c r="B171" s="286" t="s">
        <v>21</v>
      </c>
      <c r="C171" s="286" t="s">
        <v>393</v>
      </c>
      <c r="D171" s="284" t="s">
        <v>40</v>
      </c>
      <c r="E171" s="295" t="s">
        <v>0</v>
      </c>
      <c r="F171" s="287" t="s">
        <v>56</v>
      </c>
      <c r="G171" s="31">
        <v>42361</v>
      </c>
      <c r="H171" s="176" t="s">
        <v>489</v>
      </c>
      <c r="I171" s="287" t="s">
        <v>75</v>
      </c>
      <c r="J171" s="288" t="s">
        <v>131</v>
      </c>
      <c r="K171" s="142" t="s">
        <v>76</v>
      </c>
      <c r="L171" s="31">
        <v>42368</v>
      </c>
      <c r="M171" s="286" t="s">
        <v>47</v>
      </c>
      <c r="N171" s="204" t="s">
        <v>413</v>
      </c>
      <c r="O171" s="330" t="s">
        <v>490</v>
      </c>
      <c r="P171" s="179">
        <v>42520</v>
      </c>
      <c r="Q171" s="286" t="s">
        <v>521</v>
      </c>
      <c r="R171" s="291" t="s">
        <v>48</v>
      </c>
      <c r="S171" s="31"/>
      <c r="T171" s="291"/>
      <c r="U171" s="308">
        <f t="shared" si="113"/>
        <v>8</v>
      </c>
      <c r="V171" s="300" t="str">
        <f t="shared" si="114"/>
        <v>Oportuno</v>
      </c>
      <c r="W171" s="308">
        <f t="shared" si="115"/>
        <v>-41909</v>
      </c>
      <c r="X171" s="299"/>
    </row>
    <row r="172" spans="1:24" ht="79.5" customHeight="1" x14ac:dyDescent="0.2">
      <c r="A172" s="438">
        <v>164</v>
      </c>
      <c r="B172" s="404" t="s">
        <v>46</v>
      </c>
      <c r="C172" s="404" t="s">
        <v>385</v>
      </c>
      <c r="D172" s="403" t="s">
        <v>40</v>
      </c>
      <c r="E172" s="404" t="s">
        <v>195</v>
      </c>
      <c r="F172" s="405" t="s">
        <v>56</v>
      </c>
      <c r="G172" s="31">
        <v>42361</v>
      </c>
      <c r="H172" s="454" t="s">
        <v>386</v>
      </c>
      <c r="I172" s="405" t="s">
        <v>75</v>
      </c>
      <c r="J172" s="405" t="s">
        <v>131</v>
      </c>
      <c r="K172" s="410" t="s">
        <v>76</v>
      </c>
      <c r="L172" s="31">
        <v>42677</v>
      </c>
      <c r="M172" s="404" t="s">
        <v>101</v>
      </c>
      <c r="N172" s="368" t="s">
        <v>757</v>
      </c>
      <c r="O172" s="415" t="s">
        <v>756</v>
      </c>
      <c r="P172" s="168">
        <v>42946</v>
      </c>
      <c r="Q172" s="404"/>
      <c r="R172" s="407" t="s">
        <v>48</v>
      </c>
      <c r="S172" s="31"/>
      <c r="T172" s="407"/>
      <c r="U172" s="414"/>
      <c r="V172" s="413"/>
      <c r="W172" s="414"/>
      <c r="X172" s="412"/>
    </row>
    <row r="173" spans="1:24" ht="79.5" customHeight="1" x14ac:dyDescent="0.2">
      <c r="A173" s="443"/>
      <c r="B173" s="404" t="s">
        <v>46</v>
      </c>
      <c r="C173" s="404" t="s">
        <v>385</v>
      </c>
      <c r="D173" s="403" t="s">
        <v>40</v>
      </c>
      <c r="E173" s="404" t="s">
        <v>195</v>
      </c>
      <c r="F173" s="405" t="s">
        <v>56</v>
      </c>
      <c r="G173" s="31">
        <v>42361</v>
      </c>
      <c r="H173" s="455"/>
      <c r="I173" s="405" t="s">
        <v>75</v>
      </c>
      <c r="J173" s="408" t="s">
        <v>131</v>
      </c>
      <c r="K173" s="410" t="s">
        <v>76</v>
      </c>
      <c r="L173" s="31">
        <v>42677</v>
      </c>
      <c r="M173" s="404" t="s">
        <v>47</v>
      </c>
      <c r="N173" s="368" t="s">
        <v>757</v>
      </c>
      <c r="O173" s="368" t="s">
        <v>758</v>
      </c>
      <c r="P173" s="168">
        <v>42946</v>
      </c>
      <c r="Q173" s="404"/>
      <c r="R173" s="407" t="s">
        <v>48</v>
      </c>
      <c r="S173" s="31"/>
      <c r="T173" s="407"/>
      <c r="U173" s="414"/>
      <c r="V173" s="413"/>
      <c r="W173" s="414"/>
      <c r="X173" s="412"/>
    </row>
    <row r="174" spans="1:24" ht="58.5" customHeight="1" x14ac:dyDescent="0.2">
      <c r="A174" s="439"/>
      <c r="B174" s="286" t="s">
        <v>46</v>
      </c>
      <c r="C174" s="286" t="s">
        <v>385</v>
      </c>
      <c r="D174" s="284" t="s">
        <v>40</v>
      </c>
      <c r="E174" s="295" t="s">
        <v>195</v>
      </c>
      <c r="F174" s="287" t="s">
        <v>56</v>
      </c>
      <c r="G174" s="31">
        <v>42361</v>
      </c>
      <c r="H174" s="456"/>
      <c r="I174" s="287" t="s">
        <v>75</v>
      </c>
      <c r="J174" s="288" t="s">
        <v>131</v>
      </c>
      <c r="K174" s="142" t="s">
        <v>76</v>
      </c>
      <c r="L174" s="31">
        <v>42677</v>
      </c>
      <c r="M174" s="286" t="s">
        <v>101</v>
      </c>
      <c r="N174" s="368" t="s">
        <v>757</v>
      </c>
      <c r="O174" s="368" t="s">
        <v>759</v>
      </c>
      <c r="P174" s="168">
        <v>42946</v>
      </c>
      <c r="Q174" s="286"/>
      <c r="R174" s="291" t="s">
        <v>48</v>
      </c>
      <c r="S174" s="31"/>
      <c r="T174" s="291"/>
      <c r="U174" s="308">
        <f t="shared" si="99"/>
        <v>311</v>
      </c>
      <c r="V174" s="300" t="str">
        <f t="shared" si="100"/>
        <v>Inoportuno</v>
      </c>
      <c r="W174" s="308">
        <f t="shared" si="101"/>
        <v>-42329</v>
      </c>
      <c r="X174" s="299"/>
    </row>
    <row r="175" spans="1:24" ht="58.5" customHeight="1" x14ac:dyDescent="0.2">
      <c r="A175" s="291">
        <v>165</v>
      </c>
      <c r="B175" s="286" t="s">
        <v>46</v>
      </c>
      <c r="C175" s="286" t="s">
        <v>385</v>
      </c>
      <c r="D175" s="284" t="s">
        <v>40</v>
      </c>
      <c r="E175" s="295" t="s">
        <v>195</v>
      </c>
      <c r="F175" s="287" t="s">
        <v>56</v>
      </c>
      <c r="G175" s="31">
        <v>42361</v>
      </c>
      <c r="H175" s="286" t="s">
        <v>387</v>
      </c>
      <c r="I175" s="287" t="s">
        <v>75</v>
      </c>
      <c r="J175" s="288" t="s">
        <v>131</v>
      </c>
      <c r="K175" s="142" t="s">
        <v>76</v>
      </c>
      <c r="L175" s="31">
        <v>42677</v>
      </c>
      <c r="M175" s="286" t="s">
        <v>101</v>
      </c>
      <c r="N175" s="405" t="s">
        <v>761</v>
      </c>
      <c r="O175" s="368" t="s">
        <v>760</v>
      </c>
      <c r="P175" s="31">
        <v>43008</v>
      </c>
      <c r="Q175" s="286"/>
      <c r="R175" s="291" t="s">
        <v>48</v>
      </c>
      <c r="S175" s="31"/>
      <c r="T175" s="291"/>
      <c r="U175" s="308">
        <f t="shared" si="99"/>
        <v>311</v>
      </c>
      <c r="V175" s="300" t="str">
        <f t="shared" si="100"/>
        <v>Inoportuno</v>
      </c>
      <c r="W175" s="308">
        <f t="shared" si="101"/>
        <v>-42389</v>
      </c>
      <c r="X175" s="299"/>
    </row>
    <row r="176" spans="1:24" ht="58.5" customHeight="1" x14ac:dyDescent="0.2">
      <c r="A176" s="291">
        <v>166</v>
      </c>
      <c r="B176" s="286" t="s">
        <v>46</v>
      </c>
      <c r="C176" s="286" t="s">
        <v>385</v>
      </c>
      <c r="D176" s="284" t="s">
        <v>40</v>
      </c>
      <c r="E176" s="295" t="s">
        <v>195</v>
      </c>
      <c r="F176" s="287" t="s">
        <v>56</v>
      </c>
      <c r="G176" s="31">
        <v>42361</v>
      </c>
      <c r="H176" s="286" t="s">
        <v>388</v>
      </c>
      <c r="I176" s="287" t="s">
        <v>75</v>
      </c>
      <c r="J176" s="288" t="s">
        <v>131</v>
      </c>
      <c r="K176" s="142" t="s">
        <v>76</v>
      </c>
      <c r="L176" s="31">
        <v>42677</v>
      </c>
      <c r="M176" s="286" t="s">
        <v>101</v>
      </c>
      <c r="N176" s="405" t="s">
        <v>757</v>
      </c>
      <c r="O176" s="204" t="s">
        <v>762</v>
      </c>
      <c r="P176" s="31">
        <v>42735</v>
      </c>
      <c r="Q176" s="286"/>
      <c r="R176" s="291" t="s">
        <v>48</v>
      </c>
      <c r="S176" s="31"/>
      <c r="T176" s="291"/>
      <c r="U176" s="308">
        <f t="shared" si="99"/>
        <v>311</v>
      </c>
      <c r="V176" s="300" t="str">
        <f t="shared" si="100"/>
        <v>Inoportuno</v>
      </c>
      <c r="W176" s="308">
        <f t="shared" si="101"/>
        <v>-42119</v>
      </c>
      <c r="X176" s="299"/>
    </row>
    <row r="177" spans="1:24" ht="58.5" customHeight="1" x14ac:dyDescent="0.2">
      <c r="A177" s="291">
        <f t="shared" si="103"/>
        <v>167</v>
      </c>
      <c r="B177" s="286" t="s">
        <v>62</v>
      </c>
      <c r="C177" s="286" t="s">
        <v>491</v>
      </c>
      <c r="D177" s="457" t="s">
        <v>40</v>
      </c>
      <c r="E177" s="454" t="s">
        <v>0</v>
      </c>
      <c r="F177" s="287" t="s">
        <v>190</v>
      </c>
      <c r="G177" s="31">
        <v>42366</v>
      </c>
      <c r="H177" s="286" t="s">
        <v>389</v>
      </c>
      <c r="I177" s="464" t="s">
        <v>75</v>
      </c>
      <c r="J177" s="467" t="s">
        <v>131</v>
      </c>
      <c r="K177" s="438" t="s">
        <v>76</v>
      </c>
      <c r="L177" s="31">
        <v>42530</v>
      </c>
      <c r="M177" s="286" t="s">
        <v>47</v>
      </c>
      <c r="N177" s="286" t="s">
        <v>589</v>
      </c>
      <c r="O177" s="204" t="s">
        <v>575</v>
      </c>
      <c r="P177" s="31">
        <v>42545</v>
      </c>
      <c r="Q177" s="286"/>
      <c r="R177" s="291" t="s">
        <v>48</v>
      </c>
      <c r="S177" s="31"/>
      <c r="T177" s="291"/>
      <c r="U177" s="308">
        <f t="shared" si="99"/>
        <v>162</v>
      </c>
      <c r="V177" s="300" t="str">
        <f t="shared" si="100"/>
        <v>Inoportuno</v>
      </c>
      <c r="W177" s="308">
        <f t="shared" si="101"/>
        <v>-41933</v>
      </c>
      <c r="X177" s="299"/>
    </row>
    <row r="178" spans="1:24" ht="58.5" customHeight="1" x14ac:dyDescent="0.2">
      <c r="A178" s="291">
        <f t="shared" si="103"/>
        <v>168</v>
      </c>
      <c r="B178" s="286" t="s">
        <v>62</v>
      </c>
      <c r="C178" s="286"/>
      <c r="D178" s="458"/>
      <c r="E178" s="455"/>
      <c r="F178" s="287" t="s">
        <v>190</v>
      </c>
      <c r="G178" s="31">
        <v>42366</v>
      </c>
      <c r="H178" s="286" t="s">
        <v>389</v>
      </c>
      <c r="I178" s="465"/>
      <c r="J178" s="468"/>
      <c r="K178" s="443"/>
      <c r="L178" s="31">
        <v>42530</v>
      </c>
      <c r="M178" s="286" t="s">
        <v>47</v>
      </c>
      <c r="N178" s="286" t="s">
        <v>590</v>
      </c>
      <c r="O178" s="204" t="s">
        <v>576</v>
      </c>
      <c r="P178" s="31">
        <v>42794</v>
      </c>
      <c r="Q178" s="286"/>
      <c r="R178" s="291" t="s">
        <v>48</v>
      </c>
      <c r="S178" s="31"/>
      <c r="T178" s="291"/>
      <c r="U178" s="308">
        <f t="shared" ref="U178:U179" si="116">DAYS360(G178,L178,0)+1</f>
        <v>162</v>
      </c>
      <c r="V178" s="300" t="str">
        <f t="shared" ref="V178:V179" si="117">IF(U178&gt;15,"Inoportuno",(IF(U178&lt;0,"No ha formulado PM","Oportuno")))</f>
        <v>Inoportuno</v>
      </c>
      <c r="W178" s="308">
        <f t="shared" ref="W178:W179" si="118">DAYS360(P178,S178,0)+1</f>
        <v>-42179</v>
      </c>
      <c r="X178" s="299"/>
    </row>
    <row r="179" spans="1:24" ht="58.5" customHeight="1" x14ac:dyDescent="0.2">
      <c r="A179" s="291">
        <f t="shared" si="103"/>
        <v>169</v>
      </c>
      <c r="B179" s="286" t="s">
        <v>62</v>
      </c>
      <c r="C179" s="286"/>
      <c r="D179" s="459"/>
      <c r="E179" s="456"/>
      <c r="F179" s="287" t="s">
        <v>190</v>
      </c>
      <c r="G179" s="31">
        <v>42366</v>
      </c>
      <c r="H179" s="286" t="s">
        <v>389</v>
      </c>
      <c r="I179" s="466"/>
      <c r="J179" s="469"/>
      <c r="K179" s="439"/>
      <c r="L179" s="31">
        <v>42530</v>
      </c>
      <c r="M179" s="286" t="s">
        <v>47</v>
      </c>
      <c r="N179" s="286" t="s">
        <v>590</v>
      </c>
      <c r="O179" s="204" t="s">
        <v>577</v>
      </c>
      <c r="P179" s="31">
        <v>42794</v>
      </c>
      <c r="Q179" s="286"/>
      <c r="R179" s="291" t="s">
        <v>48</v>
      </c>
      <c r="S179" s="31"/>
      <c r="T179" s="291"/>
      <c r="U179" s="308">
        <f t="shared" si="116"/>
        <v>162</v>
      </c>
      <c r="V179" s="300" t="str">
        <f t="shared" si="117"/>
        <v>Inoportuno</v>
      </c>
      <c r="W179" s="308">
        <f t="shared" si="118"/>
        <v>-42179</v>
      </c>
      <c r="X179" s="299"/>
    </row>
    <row r="180" spans="1:24" ht="57.75" customHeight="1" x14ac:dyDescent="0.2">
      <c r="A180" s="291">
        <v>170</v>
      </c>
      <c r="B180" s="286" t="s">
        <v>62</v>
      </c>
      <c r="C180" s="286" t="s">
        <v>491</v>
      </c>
      <c r="D180" s="284" t="s">
        <v>40</v>
      </c>
      <c r="E180" s="295" t="s">
        <v>0</v>
      </c>
      <c r="F180" s="287" t="s">
        <v>190</v>
      </c>
      <c r="G180" s="31">
        <v>42366</v>
      </c>
      <c r="H180" s="286" t="s">
        <v>390</v>
      </c>
      <c r="I180" s="287" t="s">
        <v>75</v>
      </c>
      <c r="J180" s="288" t="s">
        <v>131</v>
      </c>
      <c r="K180" s="142" t="s">
        <v>76</v>
      </c>
      <c r="L180" s="31">
        <v>42530</v>
      </c>
      <c r="M180" s="286" t="s">
        <v>47</v>
      </c>
      <c r="N180" s="286" t="s">
        <v>590</v>
      </c>
      <c r="O180" s="204" t="s">
        <v>588</v>
      </c>
      <c r="P180" s="31">
        <v>42734</v>
      </c>
      <c r="Q180" s="286"/>
      <c r="R180" s="291" t="s">
        <v>48</v>
      </c>
      <c r="S180" s="31"/>
      <c r="T180" s="291"/>
      <c r="U180" s="308">
        <f t="shared" si="99"/>
        <v>162</v>
      </c>
      <c r="V180" s="300" t="str">
        <f t="shared" si="100"/>
        <v>Inoportuno</v>
      </c>
      <c r="W180" s="308">
        <f t="shared" si="101"/>
        <v>-42119</v>
      </c>
      <c r="X180" s="299"/>
    </row>
    <row r="181" spans="1:24" ht="58.5" customHeight="1" x14ac:dyDescent="0.2">
      <c r="A181" s="291">
        <f t="shared" si="103"/>
        <v>171</v>
      </c>
      <c r="B181" s="286" t="s">
        <v>58</v>
      </c>
      <c r="C181" s="286" t="s">
        <v>374</v>
      </c>
      <c r="D181" s="284" t="s">
        <v>40</v>
      </c>
      <c r="E181" s="295" t="s">
        <v>0</v>
      </c>
      <c r="F181" s="287" t="s">
        <v>57</v>
      </c>
      <c r="G181" s="31">
        <v>42367</v>
      </c>
      <c r="H181" s="286" t="s">
        <v>414</v>
      </c>
      <c r="I181" s="287" t="s">
        <v>75</v>
      </c>
      <c r="J181" s="298" t="s">
        <v>131</v>
      </c>
      <c r="K181" s="142" t="s">
        <v>76</v>
      </c>
      <c r="L181" s="31">
        <v>42382</v>
      </c>
      <c r="M181" s="286" t="s">
        <v>101</v>
      </c>
      <c r="N181" s="204" t="s">
        <v>409</v>
      </c>
      <c r="O181" s="204" t="s">
        <v>492</v>
      </c>
      <c r="P181" s="31">
        <v>42745</v>
      </c>
      <c r="Q181" s="286"/>
      <c r="R181" s="291" t="s">
        <v>48</v>
      </c>
      <c r="S181" s="31"/>
      <c r="T181" s="291"/>
      <c r="U181" s="308">
        <f t="shared" ref="U181" si="119">DAYS360(G181,L181,0)+1</f>
        <v>15</v>
      </c>
      <c r="V181" s="300" t="str">
        <f t="shared" ref="V181" si="120">IF(U181&gt;15,"Inoportuno",(IF(U181&lt;0,"No ha formulado PM","Oportuno")))</f>
        <v>Oportuno</v>
      </c>
      <c r="W181" s="308">
        <f t="shared" ref="W181" si="121">DAYS360(P181,S181,0)+1</f>
        <v>-42129</v>
      </c>
      <c r="X181" s="299"/>
    </row>
    <row r="182" spans="1:24" ht="66" customHeight="1" x14ac:dyDescent="0.2">
      <c r="A182" s="291">
        <v>172</v>
      </c>
      <c r="B182" s="286" t="s">
        <v>60</v>
      </c>
      <c r="C182" s="286" t="s">
        <v>418</v>
      </c>
      <c r="D182" s="284" t="s">
        <v>40</v>
      </c>
      <c r="E182" s="295" t="s">
        <v>0</v>
      </c>
      <c r="F182" s="287" t="s">
        <v>49</v>
      </c>
      <c r="G182" s="31">
        <v>42368</v>
      </c>
      <c r="H182" s="286" t="s">
        <v>419</v>
      </c>
      <c r="I182" s="287" t="s">
        <v>75</v>
      </c>
      <c r="J182" s="288" t="s">
        <v>131</v>
      </c>
      <c r="K182" s="142" t="s">
        <v>76</v>
      </c>
      <c r="L182" s="31">
        <v>42381</v>
      </c>
      <c r="M182" s="286" t="s">
        <v>47</v>
      </c>
      <c r="N182" s="286" t="s">
        <v>420</v>
      </c>
      <c r="O182" s="286" t="s">
        <v>421</v>
      </c>
      <c r="P182" s="31">
        <v>42735</v>
      </c>
      <c r="Q182" s="286"/>
      <c r="R182" s="291" t="s">
        <v>48</v>
      </c>
      <c r="S182" s="31"/>
      <c r="T182" s="291"/>
      <c r="U182" s="308">
        <f t="shared" ref="U182:U187" si="122">DAYS360(G182,L182,0)+1</f>
        <v>13</v>
      </c>
      <c r="V182" s="300" t="str">
        <f t="shared" ref="V182:V187" si="123">IF(U182&gt;15,"Inoportuno",(IF(U182&lt;0,"No ha formulado PM","Oportuno")))</f>
        <v>Oportuno</v>
      </c>
      <c r="W182" s="308">
        <f t="shared" ref="W182:W187" si="124">DAYS360(P182,S182,0)+1</f>
        <v>-42119</v>
      </c>
      <c r="X182" s="299"/>
    </row>
    <row r="183" spans="1:24" ht="227.25" customHeight="1" x14ac:dyDescent="0.2">
      <c r="A183" s="291">
        <v>173</v>
      </c>
      <c r="B183" s="286" t="s">
        <v>60</v>
      </c>
      <c r="C183" s="286" t="s">
        <v>423</v>
      </c>
      <c r="D183" s="284" t="s">
        <v>40</v>
      </c>
      <c r="E183" s="295" t="s">
        <v>0</v>
      </c>
      <c r="F183" s="287" t="s">
        <v>57</v>
      </c>
      <c r="G183" s="31">
        <v>42368</v>
      </c>
      <c r="H183" s="286" t="s">
        <v>424</v>
      </c>
      <c r="I183" s="287" t="s">
        <v>75</v>
      </c>
      <c r="J183" s="288" t="s">
        <v>131</v>
      </c>
      <c r="K183" s="142" t="s">
        <v>76</v>
      </c>
      <c r="L183" s="31">
        <v>42396</v>
      </c>
      <c r="M183" s="286" t="s">
        <v>47</v>
      </c>
      <c r="N183" s="369" t="s">
        <v>495</v>
      </c>
      <c r="O183" s="370" t="s">
        <v>496</v>
      </c>
      <c r="P183" s="31">
        <v>42734</v>
      </c>
      <c r="Q183" s="286"/>
      <c r="R183" s="291" t="s">
        <v>48</v>
      </c>
      <c r="S183" s="31"/>
      <c r="T183" s="291"/>
      <c r="U183" s="308">
        <f t="shared" si="122"/>
        <v>28</v>
      </c>
      <c r="V183" s="300" t="str">
        <f t="shared" si="123"/>
        <v>Inoportuno</v>
      </c>
      <c r="W183" s="308">
        <f t="shared" si="124"/>
        <v>-42119</v>
      </c>
      <c r="X183" s="299"/>
    </row>
    <row r="184" spans="1:24" ht="126" customHeight="1" x14ac:dyDescent="0.2">
      <c r="A184" s="291">
        <v>174</v>
      </c>
      <c r="B184" s="286" t="s">
        <v>60</v>
      </c>
      <c r="C184" s="286" t="s">
        <v>423</v>
      </c>
      <c r="D184" s="458"/>
      <c r="E184" s="455"/>
      <c r="F184" s="287" t="s">
        <v>57</v>
      </c>
      <c r="G184" s="31">
        <v>42368</v>
      </c>
      <c r="H184" s="286" t="s">
        <v>425</v>
      </c>
      <c r="I184" s="465"/>
      <c r="J184" s="468"/>
      <c r="K184" s="443"/>
      <c r="L184" s="31">
        <v>42396</v>
      </c>
      <c r="M184" s="286" t="s">
        <v>47</v>
      </c>
      <c r="N184" s="369" t="s">
        <v>499</v>
      </c>
      <c r="O184" s="369" t="s">
        <v>497</v>
      </c>
      <c r="P184" s="31">
        <v>42734</v>
      </c>
      <c r="Q184" s="286"/>
      <c r="R184" s="291" t="s">
        <v>48</v>
      </c>
      <c r="S184" s="31"/>
      <c r="T184" s="291"/>
      <c r="U184" s="308">
        <f t="shared" si="122"/>
        <v>28</v>
      </c>
      <c r="V184" s="300" t="str">
        <f t="shared" si="123"/>
        <v>Inoportuno</v>
      </c>
      <c r="W184" s="308">
        <f t="shared" si="124"/>
        <v>-42119</v>
      </c>
      <c r="X184" s="299"/>
    </row>
    <row r="185" spans="1:24" ht="126" customHeight="1" x14ac:dyDescent="0.2">
      <c r="A185" s="291">
        <f t="shared" ref="A185:A195" si="125">+A184+1</f>
        <v>175</v>
      </c>
      <c r="B185" s="286" t="s">
        <v>60</v>
      </c>
      <c r="C185" s="286" t="s">
        <v>423</v>
      </c>
      <c r="D185" s="459"/>
      <c r="E185" s="456"/>
      <c r="F185" s="287" t="s">
        <v>57</v>
      </c>
      <c r="G185" s="31">
        <v>42368</v>
      </c>
      <c r="H185" s="286" t="s">
        <v>425</v>
      </c>
      <c r="I185" s="466"/>
      <c r="J185" s="469"/>
      <c r="K185" s="439"/>
      <c r="L185" s="31">
        <v>42396</v>
      </c>
      <c r="M185" s="286" t="s">
        <v>101</v>
      </c>
      <c r="N185" s="369" t="s">
        <v>499</v>
      </c>
      <c r="O185" s="369" t="s">
        <v>498</v>
      </c>
      <c r="P185" s="31">
        <v>42734</v>
      </c>
      <c r="Q185" s="286"/>
      <c r="R185" s="291" t="s">
        <v>48</v>
      </c>
      <c r="S185" s="31"/>
      <c r="T185" s="291"/>
      <c r="U185" s="308">
        <f t="shared" si="122"/>
        <v>28</v>
      </c>
      <c r="V185" s="300" t="str">
        <f t="shared" si="123"/>
        <v>Inoportuno</v>
      </c>
      <c r="W185" s="308">
        <f t="shared" si="124"/>
        <v>-42119</v>
      </c>
      <c r="X185" s="299"/>
    </row>
    <row r="186" spans="1:24" ht="86.25" customHeight="1" x14ac:dyDescent="0.2">
      <c r="A186" s="291">
        <v>176</v>
      </c>
      <c r="B186" s="286" t="s">
        <v>60</v>
      </c>
      <c r="C186" s="286" t="s">
        <v>423</v>
      </c>
      <c r="D186" s="457" t="s">
        <v>40</v>
      </c>
      <c r="E186" s="454" t="s">
        <v>0</v>
      </c>
      <c r="F186" s="287" t="s">
        <v>57</v>
      </c>
      <c r="G186" s="31">
        <v>42368</v>
      </c>
      <c r="H186" s="286" t="s">
        <v>426</v>
      </c>
      <c r="I186" s="464" t="s">
        <v>75</v>
      </c>
      <c r="J186" s="467" t="s">
        <v>131</v>
      </c>
      <c r="K186" s="438" t="s">
        <v>76</v>
      </c>
      <c r="L186" s="31">
        <v>42396</v>
      </c>
      <c r="M186" s="286" t="s">
        <v>47</v>
      </c>
      <c r="N186" s="369" t="s">
        <v>501</v>
      </c>
      <c r="O186" s="369" t="s">
        <v>502</v>
      </c>
      <c r="P186" s="31">
        <v>42551</v>
      </c>
      <c r="Q186" s="286"/>
      <c r="R186" s="291" t="s">
        <v>48</v>
      </c>
      <c r="S186" s="31"/>
      <c r="T186" s="291"/>
      <c r="U186" s="308">
        <f t="shared" si="122"/>
        <v>28</v>
      </c>
      <c r="V186" s="300" t="str">
        <f t="shared" si="123"/>
        <v>Inoportuno</v>
      </c>
      <c r="W186" s="308">
        <f t="shared" si="124"/>
        <v>-41939</v>
      </c>
      <c r="X186" s="299"/>
    </row>
    <row r="187" spans="1:24" ht="86.25" customHeight="1" x14ac:dyDescent="0.2">
      <c r="A187" s="291">
        <f t="shared" si="125"/>
        <v>177</v>
      </c>
      <c r="B187" s="286" t="s">
        <v>60</v>
      </c>
      <c r="C187" s="286" t="s">
        <v>423</v>
      </c>
      <c r="D187" s="459"/>
      <c r="E187" s="456"/>
      <c r="F187" s="287" t="s">
        <v>57</v>
      </c>
      <c r="G187" s="31">
        <v>42368</v>
      </c>
      <c r="H187" s="286" t="s">
        <v>426</v>
      </c>
      <c r="I187" s="466"/>
      <c r="J187" s="469"/>
      <c r="K187" s="439"/>
      <c r="L187" s="31">
        <v>42396</v>
      </c>
      <c r="M187" s="286" t="s">
        <v>47</v>
      </c>
      <c r="N187" s="369" t="s">
        <v>500</v>
      </c>
      <c r="O187" s="369" t="s">
        <v>503</v>
      </c>
      <c r="P187" s="31">
        <v>42551</v>
      </c>
      <c r="Q187" s="286"/>
      <c r="R187" s="291" t="s">
        <v>48</v>
      </c>
      <c r="S187" s="31"/>
      <c r="T187" s="291"/>
      <c r="U187" s="308">
        <f t="shared" si="122"/>
        <v>28</v>
      </c>
      <c r="V187" s="300" t="str">
        <f t="shared" si="123"/>
        <v>Inoportuno</v>
      </c>
      <c r="W187" s="308">
        <f t="shared" si="124"/>
        <v>-41939</v>
      </c>
      <c r="X187" s="299"/>
    </row>
    <row r="188" spans="1:24" ht="68.25" customHeight="1" x14ac:dyDescent="0.2">
      <c r="A188" s="291">
        <v>178</v>
      </c>
      <c r="B188" s="286" t="s">
        <v>263</v>
      </c>
      <c r="C188" s="404" t="s">
        <v>423</v>
      </c>
      <c r="D188" s="457" t="s">
        <v>43</v>
      </c>
      <c r="E188" s="454" t="s">
        <v>0</v>
      </c>
      <c r="F188" s="287" t="s">
        <v>493</v>
      </c>
      <c r="G188" s="31">
        <v>42480</v>
      </c>
      <c r="H188" s="286" t="s">
        <v>523</v>
      </c>
      <c r="I188" s="464" t="s">
        <v>75</v>
      </c>
      <c r="J188" s="467" t="s">
        <v>131</v>
      </c>
      <c r="K188" s="438" t="s">
        <v>76</v>
      </c>
      <c r="L188" s="31">
        <v>42495</v>
      </c>
      <c r="M188" s="286" t="s">
        <v>101</v>
      </c>
      <c r="N188" s="286" t="s">
        <v>524</v>
      </c>
      <c r="O188" s="286" t="s">
        <v>525</v>
      </c>
      <c r="P188" s="179">
        <v>42495</v>
      </c>
      <c r="Q188" s="286" t="s">
        <v>678</v>
      </c>
      <c r="R188" s="291" t="s">
        <v>52</v>
      </c>
      <c r="S188" s="31">
        <v>42535</v>
      </c>
      <c r="T188" s="291"/>
      <c r="U188" s="308">
        <f t="shared" ref="U188" si="126">DAYS360(G188,L188,0)+1</f>
        <v>16</v>
      </c>
      <c r="V188" s="300" t="str">
        <f t="shared" ref="V188" si="127">IF(U188&gt;15,"Inoportuno",(IF(U188&lt;0,"No ha formulado PM","Oportuno")))</f>
        <v>Inoportuno</v>
      </c>
      <c r="W188" s="308">
        <f t="shared" ref="W188" si="128">DAYS360(P188,S188,0)+1</f>
        <v>40</v>
      </c>
      <c r="X188" s="299"/>
    </row>
    <row r="189" spans="1:24" ht="68.25" customHeight="1" x14ac:dyDescent="0.2">
      <c r="A189" s="291">
        <f t="shared" si="125"/>
        <v>179</v>
      </c>
      <c r="B189" s="286" t="s">
        <v>263</v>
      </c>
      <c r="C189" s="286"/>
      <c r="D189" s="459"/>
      <c r="E189" s="456"/>
      <c r="F189" s="287" t="s">
        <v>493</v>
      </c>
      <c r="G189" s="31">
        <v>42480</v>
      </c>
      <c r="H189" s="286" t="s">
        <v>523</v>
      </c>
      <c r="I189" s="466"/>
      <c r="J189" s="469"/>
      <c r="K189" s="439"/>
      <c r="L189" s="31">
        <v>42495</v>
      </c>
      <c r="M189" s="286" t="s">
        <v>47</v>
      </c>
      <c r="N189" s="286" t="s">
        <v>524</v>
      </c>
      <c r="O189" s="286" t="s">
        <v>563</v>
      </c>
      <c r="P189" s="31">
        <v>42735</v>
      </c>
      <c r="Q189" s="286" t="s">
        <v>679</v>
      </c>
      <c r="R189" s="291" t="s">
        <v>48</v>
      </c>
      <c r="S189" s="31"/>
      <c r="T189" s="291"/>
      <c r="U189" s="308">
        <f t="shared" ref="U189" si="129">DAYS360(G189,L189,0)+1</f>
        <v>16</v>
      </c>
      <c r="V189" s="300" t="str">
        <f t="shared" ref="V189" si="130">IF(U189&gt;15,"Inoportuno",(IF(U189&lt;0,"No ha formulado PM","Oportuno")))</f>
        <v>Inoportuno</v>
      </c>
      <c r="W189" s="308">
        <f t="shared" ref="W189" si="131">DAYS360(P189,S189,0)+1</f>
        <v>-42119</v>
      </c>
      <c r="X189" s="299"/>
    </row>
    <row r="190" spans="1:24" ht="141.75" customHeight="1" x14ac:dyDescent="0.2">
      <c r="A190" s="291">
        <v>180</v>
      </c>
      <c r="B190" s="286" t="s">
        <v>263</v>
      </c>
      <c r="C190" s="404" t="s">
        <v>423</v>
      </c>
      <c r="D190" s="457" t="s">
        <v>43</v>
      </c>
      <c r="E190" s="454" t="s">
        <v>0</v>
      </c>
      <c r="F190" s="287" t="s">
        <v>493</v>
      </c>
      <c r="G190" s="31">
        <v>42480</v>
      </c>
      <c r="H190" s="286" t="s">
        <v>527</v>
      </c>
      <c r="I190" s="464" t="s">
        <v>75</v>
      </c>
      <c r="J190" s="467" t="s">
        <v>131</v>
      </c>
      <c r="K190" s="438" t="s">
        <v>76</v>
      </c>
      <c r="L190" s="31">
        <v>42495</v>
      </c>
      <c r="M190" s="286" t="s">
        <v>101</v>
      </c>
      <c r="N190" s="286" t="s">
        <v>526</v>
      </c>
      <c r="O190" s="286" t="s">
        <v>530</v>
      </c>
      <c r="P190" s="31">
        <v>42495</v>
      </c>
      <c r="Q190" s="289" t="s">
        <v>680</v>
      </c>
      <c r="R190" s="291" t="s">
        <v>48</v>
      </c>
      <c r="S190" s="31"/>
      <c r="T190" s="291"/>
      <c r="U190" s="308">
        <f t="shared" ref="U190:U194" si="132">DAYS360(G190,L190,0)+1</f>
        <v>16</v>
      </c>
      <c r="V190" s="300" t="str">
        <f t="shared" ref="V190:V194" si="133">IF(U190&gt;15,"Inoportuno",(IF(U190&lt;0,"No ha formulado PM","Oportuno")))</f>
        <v>Inoportuno</v>
      </c>
      <c r="W190" s="308">
        <f t="shared" ref="W190:W194" si="134">DAYS360(P190,S190,0)+1</f>
        <v>-41884</v>
      </c>
      <c r="X190" s="299"/>
    </row>
    <row r="191" spans="1:24" ht="68.25" customHeight="1" x14ac:dyDescent="0.2">
      <c r="A191" s="291">
        <f>+A190+1</f>
        <v>181</v>
      </c>
      <c r="B191" s="286" t="s">
        <v>263</v>
      </c>
      <c r="C191" s="286"/>
      <c r="D191" s="459"/>
      <c r="E191" s="456"/>
      <c r="F191" s="287" t="s">
        <v>493</v>
      </c>
      <c r="G191" s="31">
        <v>42480</v>
      </c>
      <c r="H191" s="286" t="s">
        <v>527</v>
      </c>
      <c r="I191" s="466"/>
      <c r="J191" s="469"/>
      <c r="K191" s="439"/>
      <c r="L191" s="31">
        <v>42495</v>
      </c>
      <c r="M191" s="286" t="s">
        <v>47</v>
      </c>
      <c r="N191" s="286" t="s">
        <v>526</v>
      </c>
      <c r="O191" s="286" t="s">
        <v>564</v>
      </c>
      <c r="P191" s="31">
        <v>42490</v>
      </c>
      <c r="Q191" s="289" t="s">
        <v>681</v>
      </c>
      <c r="R191" s="291" t="s">
        <v>48</v>
      </c>
      <c r="S191" s="31"/>
      <c r="T191" s="291"/>
      <c r="U191" s="308">
        <f t="shared" ref="U191" si="135">DAYS360(G191,L191,0)+1</f>
        <v>16</v>
      </c>
      <c r="V191" s="300" t="str">
        <f t="shared" ref="V191" si="136">IF(U191&gt;15,"Inoportuno",(IF(U191&lt;0,"No ha formulado PM","Oportuno")))</f>
        <v>Inoportuno</v>
      </c>
      <c r="W191" s="308">
        <f t="shared" ref="W191" si="137">DAYS360(P191,S191,0)+1</f>
        <v>-41879</v>
      </c>
      <c r="X191" s="299"/>
    </row>
    <row r="192" spans="1:24" ht="68.25" customHeight="1" x14ac:dyDescent="0.2">
      <c r="A192" s="291">
        <f>+A191+1</f>
        <v>182</v>
      </c>
      <c r="B192" s="286" t="s">
        <v>263</v>
      </c>
      <c r="C192" s="404" t="s">
        <v>423</v>
      </c>
      <c r="D192" s="457" t="s">
        <v>43</v>
      </c>
      <c r="E192" s="454" t="s">
        <v>0</v>
      </c>
      <c r="F192" s="287" t="s">
        <v>493</v>
      </c>
      <c r="G192" s="31">
        <v>42480</v>
      </c>
      <c r="H192" s="286" t="s">
        <v>528</v>
      </c>
      <c r="I192" s="464" t="s">
        <v>75</v>
      </c>
      <c r="J192" s="467" t="s">
        <v>131</v>
      </c>
      <c r="K192" s="438" t="s">
        <v>76</v>
      </c>
      <c r="L192" s="31">
        <v>42495</v>
      </c>
      <c r="M192" s="286" t="s">
        <v>101</v>
      </c>
      <c r="N192" s="286" t="s">
        <v>526</v>
      </c>
      <c r="O192" s="286" t="s">
        <v>565</v>
      </c>
      <c r="P192" s="31">
        <v>42520</v>
      </c>
      <c r="Q192" s="289" t="s">
        <v>682</v>
      </c>
      <c r="R192" s="291" t="s">
        <v>52</v>
      </c>
      <c r="S192" s="31">
        <v>42535</v>
      </c>
      <c r="T192" s="291"/>
      <c r="U192" s="308">
        <f t="shared" si="132"/>
        <v>16</v>
      </c>
      <c r="V192" s="300" t="str">
        <f t="shared" si="133"/>
        <v>Inoportuno</v>
      </c>
      <c r="W192" s="308">
        <f t="shared" si="134"/>
        <v>15</v>
      </c>
      <c r="X192" s="299"/>
    </row>
    <row r="193" spans="1:24" ht="68.25" customHeight="1" x14ac:dyDescent="0.2">
      <c r="A193" s="291">
        <f t="shared" si="125"/>
        <v>183</v>
      </c>
      <c r="B193" s="286" t="s">
        <v>263</v>
      </c>
      <c r="C193" s="286"/>
      <c r="D193" s="459"/>
      <c r="E193" s="456"/>
      <c r="F193" s="287" t="s">
        <v>493</v>
      </c>
      <c r="G193" s="31">
        <v>42480</v>
      </c>
      <c r="H193" s="286" t="s">
        <v>528</v>
      </c>
      <c r="I193" s="466"/>
      <c r="J193" s="469"/>
      <c r="K193" s="439"/>
      <c r="L193" s="31">
        <v>42495</v>
      </c>
      <c r="M193" s="286" t="s">
        <v>47</v>
      </c>
      <c r="N193" s="286" t="s">
        <v>526</v>
      </c>
      <c r="O193" s="286" t="s">
        <v>566</v>
      </c>
      <c r="P193" s="31">
        <v>42735</v>
      </c>
      <c r="Q193" s="286" t="s">
        <v>683</v>
      </c>
      <c r="R193" s="291" t="s">
        <v>48</v>
      </c>
      <c r="S193" s="31"/>
      <c r="T193" s="291"/>
      <c r="U193" s="308">
        <f t="shared" ref="U193" si="138">DAYS360(G193,L193,0)+1</f>
        <v>16</v>
      </c>
      <c r="V193" s="300" t="str">
        <f t="shared" ref="V193" si="139">IF(U193&gt;15,"Inoportuno",(IF(U193&lt;0,"No ha formulado PM","Oportuno")))</f>
        <v>Inoportuno</v>
      </c>
      <c r="W193" s="308">
        <f t="shared" ref="W193" si="140">DAYS360(P193,S193,0)+1</f>
        <v>-42119</v>
      </c>
      <c r="X193" s="299"/>
    </row>
    <row r="194" spans="1:24" ht="68.25" customHeight="1" x14ac:dyDescent="0.2">
      <c r="A194" s="291">
        <f>+A193+1</f>
        <v>184</v>
      </c>
      <c r="B194" s="286" t="s">
        <v>263</v>
      </c>
      <c r="C194" s="404" t="s">
        <v>423</v>
      </c>
      <c r="D194" s="457" t="s">
        <v>43</v>
      </c>
      <c r="E194" s="454" t="s">
        <v>0</v>
      </c>
      <c r="F194" s="287" t="s">
        <v>493</v>
      </c>
      <c r="G194" s="31">
        <v>42480</v>
      </c>
      <c r="H194" s="286" t="s">
        <v>529</v>
      </c>
      <c r="I194" s="464" t="s">
        <v>75</v>
      </c>
      <c r="J194" s="467" t="s">
        <v>131</v>
      </c>
      <c r="K194" s="438" t="s">
        <v>76</v>
      </c>
      <c r="L194" s="31">
        <v>42495</v>
      </c>
      <c r="M194" s="286" t="s">
        <v>101</v>
      </c>
      <c r="N194" s="164" t="s">
        <v>526</v>
      </c>
      <c r="O194" s="286" t="s">
        <v>567</v>
      </c>
      <c r="P194" s="31">
        <v>42495</v>
      </c>
      <c r="Q194" s="286" t="s">
        <v>684</v>
      </c>
      <c r="R194" s="291" t="s">
        <v>52</v>
      </c>
      <c r="S194" s="31">
        <v>42535</v>
      </c>
      <c r="T194" s="291"/>
      <c r="U194" s="308">
        <f t="shared" si="132"/>
        <v>16</v>
      </c>
      <c r="V194" s="300" t="str">
        <f t="shared" si="133"/>
        <v>Inoportuno</v>
      </c>
      <c r="W194" s="308">
        <f t="shared" si="134"/>
        <v>40</v>
      </c>
      <c r="X194" s="299"/>
    </row>
    <row r="195" spans="1:24" ht="68.25" customHeight="1" x14ac:dyDescent="0.2">
      <c r="A195" s="291">
        <f t="shared" si="125"/>
        <v>185</v>
      </c>
      <c r="B195" s="286" t="s">
        <v>263</v>
      </c>
      <c r="C195" s="286"/>
      <c r="D195" s="458"/>
      <c r="E195" s="455"/>
      <c r="F195" s="287" t="s">
        <v>493</v>
      </c>
      <c r="G195" s="31">
        <v>42480</v>
      </c>
      <c r="H195" s="286" t="s">
        <v>529</v>
      </c>
      <c r="I195" s="465"/>
      <c r="J195" s="468"/>
      <c r="K195" s="443"/>
      <c r="L195" s="31">
        <v>42495</v>
      </c>
      <c r="M195" s="286" t="s">
        <v>47</v>
      </c>
      <c r="N195" s="164" t="s">
        <v>526</v>
      </c>
      <c r="O195" s="286" t="s">
        <v>568</v>
      </c>
      <c r="P195" s="31">
        <v>42735</v>
      </c>
      <c r="Q195" s="286" t="s">
        <v>685</v>
      </c>
      <c r="R195" s="291" t="s">
        <v>48</v>
      </c>
      <c r="S195" s="31"/>
      <c r="T195" s="291"/>
      <c r="U195" s="308">
        <f t="shared" ref="U195" si="141">DAYS360(G195,L195,0)+1</f>
        <v>16</v>
      </c>
      <c r="V195" s="300" t="str">
        <f t="shared" ref="V195" si="142">IF(U195&gt;15,"Inoportuno",(IF(U195&lt;0,"No ha formulado PM","Oportuno")))</f>
        <v>Inoportuno</v>
      </c>
      <c r="W195" s="308">
        <f t="shared" ref="W195" si="143">DAYS360(P195,S195,0)+1</f>
        <v>-42119</v>
      </c>
      <c r="X195" s="299"/>
    </row>
    <row r="196" spans="1:24" ht="76.5" customHeight="1" x14ac:dyDescent="0.2">
      <c r="A196" s="291">
        <f>+A195+1</f>
        <v>186</v>
      </c>
      <c r="B196" s="286" t="s">
        <v>263</v>
      </c>
      <c r="C196" s="286"/>
      <c r="D196" s="459"/>
      <c r="E196" s="456"/>
      <c r="F196" s="287" t="s">
        <v>493</v>
      </c>
      <c r="G196" s="31">
        <v>42480</v>
      </c>
      <c r="H196" s="286" t="s">
        <v>529</v>
      </c>
      <c r="I196" s="466"/>
      <c r="J196" s="469"/>
      <c r="K196" s="439"/>
      <c r="L196" s="31">
        <v>42495</v>
      </c>
      <c r="M196" s="286" t="s">
        <v>47</v>
      </c>
      <c r="N196" s="164" t="s">
        <v>526</v>
      </c>
      <c r="O196" s="286" t="s">
        <v>569</v>
      </c>
      <c r="P196" s="31">
        <v>42735</v>
      </c>
      <c r="Q196" s="287" t="s">
        <v>686</v>
      </c>
      <c r="R196" s="291" t="s">
        <v>48</v>
      </c>
      <c r="S196" s="31"/>
      <c r="T196" s="291"/>
      <c r="U196" s="308">
        <f t="shared" ref="U196" si="144">DAYS360(G196,L196,0)+1</f>
        <v>16</v>
      </c>
      <c r="V196" s="300" t="str">
        <f t="shared" ref="V196" si="145">IF(U196&gt;15,"Inoportuno",(IF(U196&lt;0,"No ha formulado PM","Oportuno")))</f>
        <v>Inoportuno</v>
      </c>
      <c r="W196" s="308">
        <f t="shared" ref="W196" si="146">DAYS360(P196,S196,0)+1</f>
        <v>-42119</v>
      </c>
      <c r="X196" s="299"/>
    </row>
    <row r="197" spans="1:24" ht="45" customHeight="1" thickBot="1" x14ac:dyDescent="0.25">
      <c r="A197" s="291">
        <v>187</v>
      </c>
      <c r="B197" s="286" t="s">
        <v>331</v>
      </c>
      <c r="C197" s="404" t="s">
        <v>194</v>
      </c>
      <c r="D197" s="284" t="s">
        <v>43</v>
      </c>
      <c r="E197" s="295" t="s">
        <v>0</v>
      </c>
      <c r="F197" s="287" t="s">
        <v>55</v>
      </c>
      <c r="G197" s="31">
        <v>42480</v>
      </c>
      <c r="H197" s="409" t="s">
        <v>544</v>
      </c>
      <c r="I197" s="287" t="s">
        <v>75</v>
      </c>
      <c r="J197" s="288" t="s">
        <v>131</v>
      </c>
      <c r="K197" s="142" t="s">
        <v>77</v>
      </c>
      <c r="L197" s="31"/>
      <c r="M197" s="286"/>
      <c r="N197" s="286"/>
      <c r="O197" s="286"/>
      <c r="P197" s="31"/>
      <c r="Q197" s="286"/>
      <c r="R197" s="291"/>
      <c r="S197" s="31"/>
      <c r="T197" s="291"/>
      <c r="U197" s="308">
        <f t="shared" ref="U197:U225" si="147">DAYS360(G197,L197,0)+1</f>
        <v>-41869</v>
      </c>
      <c r="V197" s="300" t="str">
        <f t="shared" ref="V197:V225" si="148">IF(U197&gt;15,"Inoportuno",(IF(U197&lt;0,"No ha formulado PM","Oportuno")))</f>
        <v>No ha formulado PM</v>
      </c>
      <c r="W197" s="308">
        <f t="shared" ref="W197:W225" si="149">DAYS360(P197,S197,0)+1</f>
        <v>1</v>
      </c>
      <c r="X197" s="299"/>
    </row>
    <row r="198" spans="1:24" ht="27.75" customHeight="1" x14ac:dyDescent="0.2">
      <c r="A198" s="291">
        <v>188</v>
      </c>
      <c r="B198" s="286" t="s">
        <v>331</v>
      </c>
      <c r="C198" s="404" t="s">
        <v>194</v>
      </c>
      <c r="D198" s="284" t="s">
        <v>43</v>
      </c>
      <c r="E198" s="295" t="s">
        <v>0</v>
      </c>
      <c r="F198" s="287" t="s">
        <v>55</v>
      </c>
      <c r="G198" s="31">
        <v>42480</v>
      </c>
      <c r="H198" s="416" t="s">
        <v>545</v>
      </c>
      <c r="I198" s="287" t="s">
        <v>75</v>
      </c>
      <c r="J198" s="288" t="s">
        <v>131</v>
      </c>
      <c r="K198" s="142" t="s">
        <v>77</v>
      </c>
      <c r="L198" s="31"/>
      <c r="M198" s="286"/>
      <c r="N198" s="286"/>
      <c r="O198" s="286"/>
      <c r="P198" s="31"/>
      <c r="Q198" s="286"/>
      <c r="R198" s="291"/>
      <c r="S198" s="31"/>
      <c r="T198" s="291"/>
      <c r="U198" s="308">
        <f t="shared" si="147"/>
        <v>-41869</v>
      </c>
      <c r="V198" s="300" t="str">
        <f t="shared" si="148"/>
        <v>No ha formulado PM</v>
      </c>
      <c r="W198" s="308">
        <f t="shared" si="149"/>
        <v>1</v>
      </c>
      <c r="X198" s="299"/>
    </row>
    <row r="199" spans="1:24" ht="27.75" customHeight="1" x14ac:dyDescent="0.2">
      <c r="A199" s="291">
        <v>189</v>
      </c>
      <c r="B199" s="286" t="s">
        <v>331</v>
      </c>
      <c r="C199" s="404" t="s">
        <v>194</v>
      </c>
      <c r="D199" s="284" t="s">
        <v>43</v>
      </c>
      <c r="E199" s="295" t="s">
        <v>0</v>
      </c>
      <c r="F199" s="287" t="s">
        <v>55</v>
      </c>
      <c r="G199" s="31">
        <v>42480</v>
      </c>
      <c r="H199" s="286" t="s">
        <v>546</v>
      </c>
      <c r="I199" s="287" t="s">
        <v>75</v>
      </c>
      <c r="J199" s="411" t="s">
        <v>131</v>
      </c>
      <c r="K199" s="142" t="s">
        <v>77</v>
      </c>
      <c r="L199" s="31"/>
      <c r="M199" s="286"/>
      <c r="N199" s="286"/>
      <c r="O199" s="286"/>
      <c r="P199" s="31"/>
      <c r="Q199" s="286"/>
      <c r="R199" s="291"/>
      <c r="S199" s="31"/>
      <c r="T199" s="291"/>
      <c r="U199" s="308">
        <f t="shared" si="147"/>
        <v>-41869</v>
      </c>
      <c r="V199" s="300" t="str">
        <f t="shared" si="148"/>
        <v>No ha formulado PM</v>
      </c>
      <c r="W199" s="308">
        <f t="shared" si="149"/>
        <v>1</v>
      </c>
      <c r="X199" s="299"/>
    </row>
    <row r="200" spans="1:24" ht="54.75" customHeight="1" x14ac:dyDescent="0.2">
      <c r="A200" s="291">
        <v>190</v>
      </c>
      <c r="B200" s="286" t="s">
        <v>34</v>
      </c>
      <c r="C200" s="286" t="s">
        <v>194</v>
      </c>
      <c r="D200" s="284" t="s">
        <v>40</v>
      </c>
      <c r="E200" s="295" t="s">
        <v>0</v>
      </c>
      <c r="F200" s="287" t="s">
        <v>493</v>
      </c>
      <c r="G200" s="31">
        <v>42527</v>
      </c>
      <c r="H200" s="286" t="s">
        <v>608</v>
      </c>
      <c r="I200" s="287" t="s">
        <v>75</v>
      </c>
      <c r="J200" s="288" t="s">
        <v>131</v>
      </c>
      <c r="K200" s="142" t="s">
        <v>76</v>
      </c>
      <c r="L200" s="31">
        <v>42527</v>
      </c>
      <c r="M200" s="286" t="s">
        <v>47</v>
      </c>
      <c r="N200" s="404" t="s">
        <v>754</v>
      </c>
      <c r="O200" s="404" t="s">
        <v>753</v>
      </c>
      <c r="P200" s="31">
        <v>42643</v>
      </c>
      <c r="Q200" s="286"/>
      <c r="R200" s="291" t="s">
        <v>48</v>
      </c>
      <c r="S200" s="31"/>
      <c r="T200" s="291"/>
      <c r="U200" s="308">
        <f t="shared" si="147"/>
        <v>1</v>
      </c>
      <c r="V200" s="300" t="str">
        <f t="shared" si="148"/>
        <v>Oportuno</v>
      </c>
      <c r="W200" s="308">
        <f t="shared" si="149"/>
        <v>-42029</v>
      </c>
      <c r="X200" s="299"/>
    </row>
    <row r="201" spans="1:24" ht="78" customHeight="1" x14ac:dyDescent="0.2">
      <c r="A201" s="291">
        <f t="shared" ref="A201:A225" si="150">+A200+1</f>
        <v>191</v>
      </c>
      <c r="B201" s="286" t="s">
        <v>34</v>
      </c>
      <c r="C201" s="286" t="s">
        <v>194</v>
      </c>
      <c r="D201" s="284" t="s">
        <v>40</v>
      </c>
      <c r="E201" s="295" t="s">
        <v>0</v>
      </c>
      <c r="F201" s="287" t="s">
        <v>493</v>
      </c>
      <c r="G201" s="31">
        <v>42527</v>
      </c>
      <c r="H201" s="286" t="s">
        <v>609</v>
      </c>
      <c r="I201" s="287" t="s">
        <v>75</v>
      </c>
      <c r="J201" s="288" t="s">
        <v>131</v>
      </c>
      <c r="K201" s="142" t="s">
        <v>76</v>
      </c>
      <c r="L201" s="31">
        <v>42527</v>
      </c>
      <c r="M201" s="286" t="s">
        <v>47</v>
      </c>
      <c r="N201" s="404" t="s">
        <v>754</v>
      </c>
      <c r="O201" s="404" t="s">
        <v>755</v>
      </c>
      <c r="P201" s="31">
        <v>42643</v>
      </c>
      <c r="Q201" s="286"/>
      <c r="R201" s="291" t="s">
        <v>48</v>
      </c>
      <c r="S201" s="31"/>
      <c r="T201" s="291"/>
      <c r="U201" s="308">
        <f t="shared" si="147"/>
        <v>1</v>
      </c>
      <c r="V201" s="300" t="str">
        <f t="shared" si="148"/>
        <v>Oportuno</v>
      </c>
      <c r="W201" s="308">
        <f t="shared" si="149"/>
        <v>-42029</v>
      </c>
      <c r="X201" s="299"/>
    </row>
    <row r="202" spans="1:24" ht="127.5" customHeight="1" x14ac:dyDescent="0.2">
      <c r="A202" s="291">
        <v>192</v>
      </c>
      <c r="B202" s="286" t="s">
        <v>21</v>
      </c>
      <c r="C202" s="404" t="s">
        <v>194</v>
      </c>
      <c r="D202" s="284" t="s">
        <v>40</v>
      </c>
      <c r="E202" s="295" t="s">
        <v>195</v>
      </c>
      <c r="F202" s="287" t="s">
        <v>56</v>
      </c>
      <c r="G202" s="31">
        <v>42548</v>
      </c>
      <c r="H202" s="286" t="s">
        <v>602</v>
      </c>
      <c r="I202" s="287" t="s">
        <v>75</v>
      </c>
      <c r="J202" s="288" t="s">
        <v>131</v>
      </c>
      <c r="K202" s="142" t="s">
        <v>76</v>
      </c>
      <c r="L202" s="31">
        <v>42566</v>
      </c>
      <c r="M202" s="286" t="s">
        <v>47</v>
      </c>
      <c r="N202" s="389" t="s">
        <v>692</v>
      </c>
      <c r="O202" s="389" t="s">
        <v>691</v>
      </c>
      <c r="P202" s="31">
        <v>42612</v>
      </c>
      <c r="Q202" s="286"/>
      <c r="R202" s="291" t="s">
        <v>48</v>
      </c>
      <c r="S202" s="31"/>
      <c r="T202" s="291"/>
      <c r="U202" s="308">
        <f t="shared" si="147"/>
        <v>19</v>
      </c>
      <c r="V202" s="300" t="str">
        <f t="shared" si="148"/>
        <v>Inoportuno</v>
      </c>
      <c r="W202" s="308">
        <f t="shared" si="149"/>
        <v>-41999</v>
      </c>
      <c r="X202" s="299"/>
    </row>
    <row r="203" spans="1:24" ht="62.25" customHeight="1" x14ac:dyDescent="0.2">
      <c r="A203" s="291">
        <f t="shared" si="150"/>
        <v>193</v>
      </c>
      <c r="B203" s="286" t="s">
        <v>21</v>
      </c>
      <c r="C203" s="404" t="s">
        <v>194</v>
      </c>
      <c r="D203" s="284" t="s">
        <v>40</v>
      </c>
      <c r="E203" s="295" t="s">
        <v>195</v>
      </c>
      <c r="F203" s="287" t="s">
        <v>56</v>
      </c>
      <c r="G203" s="31">
        <v>42548</v>
      </c>
      <c r="H203" s="286" t="s">
        <v>603</v>
      </c>
      <c r="I203" s="287" t="s">
        <v>75</v>
      </c>
      <c r="J203" s="288" t="s">
        <v>131</v>
      </c>
      <c r="K203" s="142" t="s">
        <v>76</v>
      </c>
      <c r="L203" s="31">
        <v>42566</v>
      </c>
      <c r="M203" s="286" t="s">
        <v>47</v>
      </c>
      <c r="N203" s="389" t="s">
        <v>692</v>
      </c>
      <c r="O203" s="389" t="s">
        <v>693</v>
      </c>
      <c r="P203" s="31">
        <v>42612</v>
      </c>
      <c r="Q203" s="286"/>
      <c r="R203" s="291" t="s">
        <v>48</v>
      </c>
      <c r="S203" s="31"/>
      <c r="T203" s="291"/>
      <c r="U203" s="308">
        <f t="shared" si="147"/>
        <v>19</v>
      </c>
      <c r="V203" s="300" t="str">
        <f t="shared" si="148"/>
        <v>Inoportuno</v>
      </c>
      <c r="W203" s="308">
        <f t="shared" si="149"/>
        <v>-41999</v>
      </c>
      <c r="X203" s="299"/>
    </row>
    <row r="204" spans="1:24" ht="106.5" customHeight="1" x14ac:dyDescent="0.2">
      <c r="A204" s="291">
        <f t="shared" si="150"/>
        <v>194</v>
      </c>
      <c r="B204" s="286" t="s">
        <v>21</v>
      </c>
      <c r="C204" s="404" t="s">
        <v>194</v>
      </c>
      <c r="D204" s="284" t="s">
        <v>40</v>
      </c>
      <c r="E204" s="295" t="s">
        <v>195</v>
      </c>
      <c r="F204" s="287" t="s">
        <v>56</v>
      </c>
      <c r="G204" s="31">
        <v>42548</v>
      </c>
      <c r="H204" s="286" t="s">
        <v>604</v>
      </c>
      <c r="I204" s="287" t="s">
        <v>75</v>
      </c>
      <c r="J204" s="288" t="s">
        <v>131</v>
      </c>
      <c r="K204" s="142" t="s">
        <v>76</v>
      </c>
      <c r="L204" s="31">
        <v>42566</v>
      </c>
      <c r="M204" s="286" t="s">
        <v>47</v>
      </c>
      <c r="N204" s="389" t="s">
        <v>692</v>
      </c>
      <c r="O204" s="389" t="s">
        <v>694</v>
      </c>
      <c r="P204" s="31">
        <v>42581</v>
      </c>
      <c r="Q204" s="286"/>
      <c r="R204" s="291" t="s">
        <v>48</v>
      </c>
      <c r="S204" s="31"/>
      <c r="T204" s="291"/>
      <c r="U204" s="308">
        <f t="shared" si="147"/>
        <v>19</v>
      </c>
      <c r="V204" s="300" t="str">
        <f t="shared" si="148"/>
        <v>Inoportuno</v>
      </c>
      <c r="W204" s="308">
        <f t="shared" si="149"/>
        <v>-41969</v>
      </c>
      <c r="X204" s="299"/>
    </row>
    <row r="205" spans="1:24" ht="74.25" customHeight="1" x14ac:dyDescent="0.2">
      <c r="A205" s="291">
        <v>195</v>
      </c>
      <c r="B205" s="286" t="s">
        <v>33</v>
      </c>
      <c r="C205" s="286" t="s">
        <v>408</v>
      </c>
      <c r="D205" s="284" t="s">
        <v>40</v>
      </c>
      <c r="E205" s="295" t="s">
        <v>0</v>
      </c>
      <c r="F205" s="287" t="s">
        <v>53</v>
      </c>
      <c r="G205" s="31">
        <v>42550</v>
      </c>
      <c r="H205" s="286" t="s">
        <v>659</v>
      </c>
      <c r="I205" s="287" t="s">
        <v>75</v>
      </c>
      <c r="J205" s="288" t="s">
        <v>131</v>
      </c>
      <c r="K205" s="142" t="s">
        <v>76</v>
      </c>
      <c r="L205" s="31">
        <v>42572</v>
      </c>
      <c r="M205" s="286" t="s">
        <v>51</v>
      </c>
      <c r="N205" s="286" t="s">
        <v>690</v>
      </c>
      <c r="O205" s="286" t="s">
        <v>687</v>
      </c>
      <c r="P205" s="31">
        <v>42735</v>
      </c>
      <c r="Q205" s="286"/>
      <c r="R205" s="291" t="s">
        <v>48</v>
      </c>
      <c r="S205" s="31"/>
      <c r="T205" s="291"/>
      <c r="U205" s="308">
        <f t="shared" ref="U205:U207" si="151">DAYS360(G205,L205,0)+1</f>
        <v>23</v>
      </c>
      <c r="V205" s="300" t="str">
        <f t="shared" ref="V205:V207" si="152">IF(U205&gt;15,"Inoportuno",(IF(U205&lt;0,"No ha formulado PM","Oportuno")))</f>
        <v>Inoportuno</v>
      </c>
      <c r="W205" s="308">
        <f t="shared" ref="W205:W207" si="153">DAYS360(P205,S205,0)+1</f>
        <v>-42119</v>
      </c>
      <c r="X205" s="299"/>
    </row>
    <row r="206" spans="1:24" ht="36.75" customHeight="1" x14ac:dyDescent="0.2">
      <c r="A206" s="291">
        <f t="shared" si="150"/>
        <v>196</v>
      </c>
      <c r="B206" s="286" t="s">
        <v>33</v>
      </c>
      <c r="C206" s="286" t="s">
        <v>408</v>
      </c>
      <c r="D206" s="284" t="s">
        <v>40</v>
      </c>
      <c r="E206" s="295" t="s">
        <v>0</v>
      </c>
      <c r="F206" s="287" t="s">
        <v>53</v>
      </c>
      <c r="G206" s="31">
        <v>42550</v>
      </c>
      <c r="H206" s="286" t="s">
        <v>660</v>
      </c>
      <c r="I206" s="287" t="s">
        <v>75</v>
      </c>
      <c r="J206" s="288" t="s">
        <v>131</v>
      </c>
      <c r="K206" s="142" t="s">
        <v>76</v>
      </c>
      <c r="L206" s="31">
        <v>42572</v>
      </c>
      <c r="M206" s="286" t="s">
        <v>51</v>
      </c>
      <c r="N206" s="286" t="s">
        <v>690</v>
      </c>
      <c r="O206" s="286" t="s">
        <v>688</v>
      </c>
      <c r="P206" s="31">
        <v>42735</v>
      </c>
      <c r="Q206" s="286"/>
      <c r="R206" s="291" t="s">
        <v>48</v>
      </c>
      <c r="S206" s="31"/>
      <c r="T206" s="291"/>
      <c r="U206" s="308">
        <f t="shared" si="151"/>
        <v>23</v>
      </c>
      <c r="V206" s="300" t="str">
        <f t="shared" si="152"/>
        <v>Inoportuno</v>
      </c>
      <c r="W206" s="308">
        <f t="shared" si="153"/>
        <v>-42119</v>
      </c>
      <c r="X206" s="299"/>
    </row>
    <row r="207" spans="1:24" ht="66.75" customHeight="1" x14ac:dyDescent="0.2">
      <c r="A207" s="291">
        <v>197</v>
      </c>
      <c r="B207" s="286" t="s">
        <v>33</v>
      </c>
      <c r="C207" s="286" t="s">
        <v>408</v>
      </c>
      <c r="D207" s="284" t="s">
        <v>40</v>
      </c>
      <c r="E207" s="295" t="s">
        <v>0</v>
      </c>
      <c r="F207" s="287" t="s">
        <v>53</v>
      </c>
      <c r="G207" s="31">
        <v>42550</v>
      </c>
      <c r="H207" s="286" t="s">
        <v>399</v>
      </c>
      <c r="I207" s="287" t="s">
        <v>75</v>
      </c>
      <c r="J207" s="288" t="s">
        <v>131</v>
      </c>
      <c r="K207" s="142" t="s">
        <v>76</v>
      </c>
      <c r="L207" s="31">
        <v>42572</v>
      </c>
      <c r="M207" s="286" t="s">
        <v>51</v>
      </c>
      <c r="N207" s="286" t="s">
        <v>690</v>
      </c>
      <c r="O207" s="286" t="s">
        <v>689</v>
      </c>
      <c r="P207" s="31">
        <v>42735</v>
      </c>
      <c r="Q207" s="286"/>
      <c r="R207" s="291" t="s">
        <v>48</v>
      </c>
      <c r="S207" s="31"/>
      <c r="T207" s="291"/>
      <c r="U207" s="308">
        <f t="shared" si="151"/>
        <v>23</v>
      </c>
      <c r="V207" s="300" t="str">
        <f t="shared" si="152"/>
        <v>Inoportuno</v>
      </c>
      <c r="W207" s="308">
        <f t="shared" si="153"/>
        <v>-42119</v>
      </c>
      <c r="X207" s="299"/>
    </row>
    <row r="208" spans="1:24" ht="116.25" customHeight="1" x14ac:dyDescent="0.2">
      <c r="A208" s="291">
        <f t="shared" si="150"/>
        <v>198</v>
      </c>
      <c r="B208" s="286" t="s">
        <v>46</v>
      </c>
      <c r="C208" s="286" t="s">
        <v>735</v>
      </c>
      <c r="D208" s="284" t="s">
        <v>40</v>
      </c>
      <c r="E208" s="295" t="s">
        <v>195</v>
      </c>
      <c r="F208" s="287" t="s">
        <v>56</v>
      </c>
      <c r="G208" s="31">
        <v>42551</v>
      </c>
      <c r="H208" s="286" t="s">
        <v>657</v>
      </c>
      <c r="I208" s="287" t="s">
        <v>75</v>
      </c>
      <c r="J208" s="288" t="s">
        <v>131</v>
      </c>
      <c r="K208" s="142" t="s">
        <v>76</v>
      </c>
      <c r="L208" s="31">
        <v>42677</v>
      </c>
      <c r="M208" s="286" t="s">
        <v>101</v>
      </c>
      <c r="N208" s="404" t="s">
        <v>757</v>
      </c>
      <c r="O208" s="404" t="s">
        <v>763</v>
      </c>
      <c r="P208" s="31">
        <v>42735</v>
      </c>
      <c r="Q208" s="286"/>
      <c r="R208" s="291" t="s">
        <v>48</v>
      </c>
      <c r="S208" s="31"/>
      <c r="T208" s="291"/>
      <c r="U208" s="308">
        <f t="shared" si="147"/>
        <v>124</v>
      </c>
      <c r="V208" s="300" t="str">
        <f t="shared" si="148"/>
        <v>Inoportuno</v>
      </c>
      <c r="W208" s="308">
        <f t="shared" si="149"/>
        <v>-42119</v>
      </c>
      <c r="X208" s="299"/>
    </row>
    <row r="209" spans="1:24" ht="70.5" customHeight="1" x14ac:dyDescent="0.2">
      <c r="A209" s="291">
        <v>199</v>
      </c>
      <c r="B209" s="286" t="s">
        <v>46</v>
      </c>
      <c r="C209" s="286" t="s">
        <v>735</v>
      </c>
      <c r="D209" s="284" t="s">
        <v>40</v>
      </c>
      <c r="E209" s="295" t="s">
        <v>195</v>
      </c>
      <c r="F209" s="287" t="s">
        <v>56</v>
      </c>
      <c r="G209" s="31">
        <v>42551</v>
      </c>
      <c r="H209" s="286" t="s">
        <v>658</v>
      </c>
      <c r="I209" s="287" t="s">
        <v>75</v>
      </c>
      <c r="J209" s="411" t="s">
        <v>131</v>
      </c>
      <c r="K209" s="142" t="s">
        <v>76</v>
      </c>
      <c r="L209" s="31">
        <v>42677</v>
      </c>
      <c r="M209" s="286" t="s">
        <v>101</v>
      </c>
      <c r="N209" s="404" t="s">
        <v>757</v>
      </c>
      <c r="O209" s="404" t="s">
        <v>764</v>
      </c>
      <c r="P209" s="31">
        <v>42735</v>
      </c>
      <c r="Q209" s="286"/>
      <c r="R209" s="291" t="s">
        <v>48</v>
      </c>
      <c r="S209" s="31"/>
      <c r="T209" s="291"/>
      <c r="U209" s="308">
        <f t="shared" ref="U209" si="154">DAYS360(G209,L209,0)+1</f>
        <v>124</v>
      </c>
      <c r="V209" s="300" t="str">
        <f t="shared" ref="V209" si="155">IF(U209&gt;15,"Inoportuno",(IF(U209&lt;0,"No ha formulado PM","Oportuno")))</f>
        <v>Inoportuno</v>
      </c>
      <c r="W209" s="308">
        <f t="shared" ref="W209" si="156">DAYS360(P209,S209,0)+1</f>
        <v>-42119</v>
      </c>
      <c r="X209" s="299"/>
    </row>
    <row r="210" spans="1:24" ht="104.25" customHeight="1" x14ac:dyDescent="0.2">
      <c r="A210" s="291">
        <f t="shared" si="150"/>
        <v>200</v>
      </c>
      <c r="B210" s="286" t="s">
        <v>333</v>
      </c>
      <c r="C210" s="404" t="s">
        <v>194</v>
      </c>
      <c r="D210" s="284" t="s">
        <v>40</v>
      </c>
      <c r="E210" s="295" t="s">
        <v>0</v>
      </c>
      <c r="F210" s="287" t="s">
        <v>494</v>
      </c>
      <c r="G210" s="31">
        <v>42551</v>
      </c>
      <c r="H210" s="286" t="s">
        <v>672</v>
      </c>
      <c r="I210" s="287" t="s">
        <v>75</v>
      </c>
      <c r="J210" s="288" t="s">
        <v>131</v>
      </c>
      <c r="K210" s="142" t="s">
        <v>76</v>
      </c>
      <c r="L210" s="31">
        <v>42551</v>
      </c>
      <c r="M210" s="286" t="s">
        <v>47</v>
      </c>
      <c r="N210" s="286" t="s">
        <v>134</v>
      </c>
      <c r="O210" s="204" t="e">
        <f>- Reporte y control del Diseño y desarrollo</f>
        <v>#NAME?</v>
      </c>
      <c r="P210" s="31">
        <v>42765</v>
      </c>
      <c r="Q210" s="392" t="s">
        <v>721</v>
      </c>
      <c r="R210" s="291" t="s">
        <v>48</v>
      </c>
      <c r="S210" s="31"/>
      <c r="T210" s="291"/>
      <c r="U210" s="308">
        <f t="shared" ref="U210:U211" si="157">DAYS360(G210,L210,0)+1</f>
        <v>1</v>
      </c>
      <c r="V210" s="300" t="str">
        <f t="shared" ref="V210:V211" si="158">IF(U210&gt;15,"Inoportuno",(IF(U210&lt;0,"No ha formulado PM","Oportuno")))</f>
        <v>Oportuno</v>
      </c>
      <c r="W210" s="308">
        <f t="shared" ref="W210:W211" si="159">DAYS360(P210,S210,0)+1</f>
        <v>-42149</v>
      </c>
      <c r="X210" s="299"/>
    </row>
    <row r="211" spans="1:24" ht="52.5" customHeight="1" x14ac:dyDescent="0.2">
      <c r="A211" s="291">
        <f t="shared" si="150"/>
        <v>201</v>
      </c>
      <c r="B211" s="286" t="s">
        <v>333</v>
      </c>
      <c r="C211" s="404" t="s">
        <v>194</v>
      </c>
      <c r="D211" s="284" t="s">
        <v>40</v>
      </c>
      <c r="E211" s="295" t="s">
        <v>0</v>
      </c>
      <c r="F211" s="287" t="s">
        <v>494</v>
      </c>
      <c r="G211" s="31">
        <v>42551</v>
      </c>
      <c r="H211" s="286" t="s">
        <v>673</v>
      </c>
      <c r="I211" s="287" t="s">
        <v>75</v>
      </c>
      <c r="J211" s="288" t="s">
        <v>132</v>
      </c>
      <c r="K211" s="142" t="s">
        <v>76</v>
      </c>
      <c r="L211" s="31">
        <v>42581</v>
      </c>
      <c r="M211" s="286" t="s">
        <v>47</v>
      </c>
      <c r="N211" s="286" t="s">
        <v>134</v>
      </c>
      <c r="O211" s="204" t="e">
        <f>- Actualización del normograma</f>
        <v>#NAME?</v>
      </c>
      <c r="P211" s="31">
        <v>42612</v>
      </c>
      <c r="Q211" s="392" t="s">
        <v>722</v>
      </c>
      <c r="R211" s="291" t="s">
        <v>52</v>
      </c>
      <c r="S211" s="31"/>
      <c r="T211" s="291"/>
      <c r="U211" s="308">
        <f t="shared" si="157"/>
        <v>31</v>
      </c>
      <c r="V211" s="300" t="str">
        <f t="shared" si="158"/>
        <v>Inoportuno</v>
      </c>
      <c r="W211" s="308">
        <f t="shared" si="159"/>
        <v>-41999</v>
      </c>
      <c r="X211" s="299"/>
    </row>
    <row r="212" spans="1:24" ht="68.25" customHeight="1" x14ac:dyDescent="0.2">
      <c r="A212" s="438">
        <v>202</v>
      </c>
      <c r="B212" s="404" t="s">
        <v>9</v>
      </c>
      <c r="C212" s="404" t="s">
        <v>194</v>
      </c>
      <c r="D212" s="403" t="s">
        <v>40</v>
      </c>
      <c r="E212" s="409" t="s">
        <v>0</v>
      </c>
      <c r="F212" s="405" t="s">
        <v>493</v>
      </c>
      <c r="G212" s="31">
        <v>42551</v>
      </c>
      <c r="H212" s="467" t="s">
        <v>675</v>
      </c>
      <c r="I212" s="405" t="s">
        <v>75</v>
      </c>
      <c r="J212" s="406" t="s">
        <v>131</v>
      </c>
      <c r="K212" s="142" t="s">
        <v>76</v>
      </c>
      <c r="L212" s="31">
        <v>42443</v>
      </c>
      <c r="M212" s="404" t="s">
        <v>101</v>
      </c>
      <c r="N212" s="404" t="s">
        <v>737</v>
      </c>
      <c r="O212" s="405" t="s">
        <v>765</v>
      </c>
      <c r="P212" s="31">
        <v>42536</v>
      </c>
      <c r="Q212" s="404"/>
      <c r="R212" s="407" t="s">
        <v>48</v>
      </c>
      <c r="S212" s="31"/>
      <c r="T212" s="407"/>
      <c r="U212" s="414"/>
      <c r="V212" s="413"/>
      <c r="W212" s="414"/>
      <c r="X212" s="412"/>
    </row>
    <row r="213" spans="1:24" ht="64.5" customHeight="1" x14ac:dyDescent="0.2">
      <c r="A213" s="439"/>
      <c r="B213" s="286" t="s">
        <v>9</v>
      </c>
      <c r="C213" s="404" t="s">
        <v>194</v>
      </c>
      <c r="D213" s="284" t="s">
        <v>40</v>
      </c>
      <c r="E213" s="295" t="s">
        <v>0</v>
      </c>
      <c r="F213" s="287" t="s">
        <v>493</v>
      </c>
      <c r="G213" s="31">
        <v>42551</v>
      </c>
      <c r="H213" s="469"/>
      <c r="I213" s="287" t="s">
        <v>75</v>
      </c>
      <c r="J213" s="411" t="s">
        <v>131</v>
      </c>
      <c r="K213" s="142" t="s">
        <v>76</v>
      </c>
      <c r="L213" s="31">
        <v>42443</v>
      </c>
      <c r="M213" s="286" t="s">
        <v>51</v>
      </c>
      <c r="N213" s="404" t="s">
        <v>737</v>
      </c>
      <c r="O213" s="405" t="s">
        <v>766</v>
      </c>
      <c r="P213" s="31">
        <v>42536</v>
      </c>
      <c r="Q213" s="286"/>
      <c r="R213" s="291" t="s">
        <v>48</v>
      </c>
      <c r="S213" s="31"/>
      <c r="T213" s="291"/>
      <c r="U213" s="308">
        <f t="shared" ref="U213" si="160">DAYS360(G213,L213,0)+1</f>
        <v>-105</v>
      </c>
      <c r="V213" s="300" t="str">
        <f t="shared" ref="V213" si="161">IF(U213&gt;15,"Inoportuno",(IF(U213&lt;0,"No ha formulado PM","Oportuno")))</f>
        <v>No ha formulado PM</v>
      </c>
      <c r="W213" s="308">
        <f t="shared" ref="W213" si="162">DAYS360(P213,S213,0)+1</f>
        <v>-41924</v>
      </c>
      <c r="X213" s="299"/>
    </row>
    <row r="214" spans="1:24" ht="204" customHeight="1" x14ac:dyDescent="0.2">
      <c r="A214" s="291">
        <v>203</v>
      </c>
      <c r="B214" s="286" t="s">
        <v>333</v>
      </c>
      <c r="C214" s="286" t="s">
        <v>723</v>
      </c>
      <c r="D214" s="284" t="s">
        <v>40</v>
      </c>
      <c r="E214" s="295" t="s">
        <v>0</v>
      </c>
      <c r="F214" s="287" t="s">
        <v>494</v>
      </c>
      <c r="G214" s="31">
        <v>42663</v>
      </c>
      <c r="H214" s="420" t="s">
        <v>724</v>
      </c>
      <c r="I214" s="287" t="s">
        <v>75</v>
      </c>
      <c r="J214" s="288" t="s">
        <v>131</v>
      </c>
      <c r="K214" s="142" t="s">
        <v>76</v>
      </c>
      <c r="L214" s="31">
        <v>42551</v>
      </c>
      <c r="M214" s="286" t="s">
        <v>47</v>
      </c>
      <c r="N214" s="286" t="s">
        <v>142</v>
      </c>
      <c r="O214" s="286" t="s">
        <v>727</v>
      </c>
      <c r="P214" s="31">
        <v>42765</v>
      </c>
      <c r="Q214" s="286"/>
      <c r="R214" s="291" t="s">
        <v>48</v>
      </c>
      <c r="S214" s="31"/>
      <c r="T214" s="291"/>
      <c r="U214" s="308">
        <f t="shared" ref="U214:U222" si="163">DAYS360(G214,L214,0)+1</f>
        <v>-109</v>
      </c>
      <c r="V214" s="300" t="str">
        <f t="shared" ref="V214:V222" si="164">IF(U214&gt;15,"Inoportuno",(IF(U214&lt;0,"No ha formulado PM","Oportuno")))</f>
        <v>No ha formulado PM</v>
      </c>
      <c r="W214" s="308">
        <f t="shared" ref="W214:W222" si="165">DAYS360(P214,S214,0)+1</f>
        <v>-42149</v>
      </c>
      <c r="X214" s="299"/>
    </row>
    <row r="215" spans="1:24" ht="106.5" customHeight="1" x14ac:dyDescent="0.2">
      <c r="A215" s="291">
        <f t="shared" si="150"/>
        <v>204</v>
      </c>
      <c r="B215" s="286" t="s">
        <v>333</v>
      </c>
      <c r="C215" s="286" t="s">
        <v>723</v>
      </c>
      <c r="D215" s="284" t="s">
        <v>40</v>
      </c>
      <c r="E215" s="295" t="s">
        <v>0</v>
      </c>
      <c r="F215" s="287" t="s">
        <v>494</v>
      </c>
      <c r="G215" s="31">
        <v>42663</v>
      </c>
      <c r="H215" s="28" t="s">
        <v>725</v>
      </c>
      <c r="I215" s="287" t="s">
        <v>75</v>
      </c>
      <c r="J215" s="288" t="s">
        <v>131</v>
      </c>
      <c r="K215" s="142" t="s">
        <v>76</v>
      </c>
      <c r="L215" s="31">
        <v>42644</v>
      </c>
      <c r="M215" s="286" t="s">
        <v>47</v>
      </c>
      <c r="N215" s="286" t="s">
        <v>726</v>
      </c>
      <c r="O215" s="286" t="s">
        <v>728</v>
      </c>
      <c r="P215" s="31">
        <v>42794</v>
      </c>
      <c r="Q215" s="286"/>
      <c r="R215" s="291" t="s">
        <v>48</v>
      </c>
      <c r="S215" s="31"/>
      <c r="T215" s="291"/>
      <c r="U215" s="308">
        <f t="shared" si="163"/>
        <v>-18</v>
      </c>
      <c r="V215" s="300" t="str">
        <f t="shared" si="164"/>
        <v>No ha formulado PM</v>
      </c>
      <c r="W215" s="308">
        <f t="shared" si="165"/>
        <v>-42179</v>
      </c>
      <c r="X215" s="299"/>
    </row>
    <row r="216" spans="1:24" ht="82.5" customHeight="1" x14ac:dyDescent="0.2">
      <c r="A216" s="291">
        <f t="shared" si="150"/>
        <v>205</v>
      </c>
      <c r="B216" s="286" t="s">
        <v>33</v>
      </c>
      <c r="C216" s="286" t="s">
        <v>723</v>
      </c>
      <c r="D216" s="284" t="s">
        <v>40</v>
      </c>
      <c r="E216" s="295" t="s">
        <v>0</v>
      </c>
      <c r="F216" s="287"/>
      <c r="G216" s="31">
        <v>42628</v>
      </c>
      <c r="H216" s="393" t="s">
        <v>729</v>
      </c>
      <c r="I216" s="287" t="s">
        <v>75</v>
      </c>
      <c r="J216" s="288" t="s">
        <v>131</v>
      </c>
      <c r="K216" s="142" t="s">
        <v>76</v>
      </c>
      <c r="L216" s="31">
        <v>42590</v>
      </c>
      <c r="M216" s="286" t="s">
        <v>47</v>
      </c>
      <c r="N216" s="392" t="s">
        <v>330</v>
      </c>
      <c r="O216" s="392" t="s">
        <v>733</v>
      </c>
      <c r="P216" s="31">
        <v>42735</v>
      </c>
      <c r="Q216" s="286"/>
      <c r="R216" s="291" t="s">
        <v>48</v>
      </c>
      <c r="S216" s="31"/>
      <c r="T216" s="291"/>
      <c r="U216" s="308">
        <f t="shared" si="163"/>
        <v>-36</v>
      </c>
      <c r="V216" s="300" t="str">
        <f t="shared" si="164"/>
        <v>No ha formulado PM</v>
      </c>
      <c r="W216" s="308">
        <f t="shared" si="165"/>
        <v>-42119</v>
      </c>
      <c r="X216" s="299"/>
    </row>
    <row r="217" spans="1:24" ht="101.25" x14ac:dyDescent="0.2">
      <c r="A217" s="291">
        <f t="shared" si="150"/>
        <v>206</v>
      </c>
      <c r="B217" s="286" t="s">
        <v>33</v>
      </c>
      <c r="C217" s="392" t="s">
        <v>723</v>
      </c>
      <c r="D217" s="284" t="s">
        <v>40</v>
      </c>
      <c r="E217" s="295" t="s">
        <v>0</v>
      </c>
      <c r="F217" s="287"/>
      <c r="G217" s="31">
        <v>42628</v>
      </c>
      <c r="H217" s="393" t="s">
        <v>730</v>
      </c>
      <c r="I217" s="287" t="s">
        <v>75</v>
      </c>
      <c r="J217" s="288" t="s">
        <v>131</v>
      </c>
      <c r="K217" s="142" t="s">
        <v>76</v>
      </c>
      <c r="L217" s="31">
        <v>42590</v>
      </c>
      <c r="M217" s="286" t="s">
        <v>51</v>
      </c>
      <c r="N217" s="392" t="s">
        <v>330</v>
      </c>
      <c r="O217" s="392" t="s">
        <v>732</v>
      </c>
      <c r="P217" s="31">
        <v>42735</v>
      </c>
      <c r="Q217" s="286"/>
      <c r="R217" s="291" t="s">
        <v>48</v>
      </c>
      <c r="S217" s="31"/>
      <c r="T217" s="291"/>
      <c r="U217" s="308">
        <f t="shared" si="163"/>
        <v>-36</v>
      </c>
      <c r="V217" s="300" t="str">
        <f t="shared" si="164"/>
        <v>No ha formulado PM</v>
      </c>
      <c r="W217" s="308">
        <f t="shared" si="165"/>
        <v>-42119</v>
      </c>
      <c r="X217" s="299"/>
    </row>
    <row r="218" spans="1:24" ht="45" x14ac:dyDescent="0.2">
      <c r="A218" s="291">
        <f t="shared" si="150"/>
        <v>207</v>
      </c>
      <c r="B218" s="286" t="s">
        <v>33</v>
      </c>
      <c r="C218" s="404" t="s">
        <v>194</v>
      </c>
      <c r="D218" s="284" t="s">
        <v>40</v>
      </c>
      <c r="E218" s="295" t="s">
        <v>0</v>
      </c>
      <c r="F218" s="287"/>
      <c r="G218" s="31">
        <v>42628</v>
      </c>
      <c r="H218" s="393" t="s">
        <v>731</v>
      </c>
      <c r="I218" s="287" t="s">
        <v>75</v>
      </c>
      <c r="J218" s="411" t="s">
        <v>131</v>
      </c>
      <c r="K218" s="142" t="s">
        <v>76</v>
      </c>
      <c r="L218" s="31">
        <v>42590</v>
      </c>
      <c r="M218" s="286" t="s">
        <v>51</v>
      </c>
      <c r="N218" s="392" t="s">
        <v>330</v>
      </c>
      <c r="O218" s="392" t="s">
        <v>734</v>
      </c>
      <c r="P218" s="31">
        <v>42622</v>
      </c>
      <c r="Q218" s="286"/>
      <c r="R218" s="291" t="s">
        <v>48</v>
      </c>
      <c r="S218" s="31"/>
      <c r="T218" s="291"/>
      <c r="U218" s="308">
        <f t="shared" si="163"/>
        <v>-36</v>
      </c>
      <c r="V218" s="300" t="str">
        <f t="shared" si="164"/>
        <v>No ha formulado PM</v>
      </c>
      <c r="W218" s="308">
        <f t="shared" si="165"/>
        <v>-42008</v>
      </c>
      <c r="X218" s="299"/>
    </row>
    <row r="219" spans="1:24" x14ac:dyDescent="0.2">
      <c r="A219" s="291">
        <f t="shared" si="150"/>
        <v>208</v>
      </c>
      <c r="B219" s="286"/>
      <c r="C219" s="286"/>
      <c r="D219" s="284"/>
      <c r="E219" s="295"/>
      <c r="F219" s="287"/>
      <c r="G219" s="31">
        <v>42628</v>
      </c>
      <c r="H219" s="286"/>
      <c r="I219" s="287"/>
      <c r="J219" s="288"/>
      <c r="K219" s="142"/>
      <c r="L219" s="31"/>
      <c r="M219" s="286"/>
      <c r="N219" s="286"/>
      <c r="O219" s="286"/>
      <c r="P219" s="31"/>
      <c r="Q219" s="286"/>
      <c r="R219" s="291"/>
      <c r="S219" s="31"/>
      <c r="T219" s="291"/>
      <c r="U219" s="308">
        <f t="shared" si="163"/>
        <v>-42014</v>
      </c>
      <c r="V219" s="300" t="str">
        <f t="shared" si="164"/>
        <v>No ha formulado PM</v>
      </c>
      <c r="W219" s="308">
        <f t="shared" si="165"/>
        <v>1</v>
      </c>
      <c r="X219" s="299"/>
    </row>
    <row r="220" spans="1:24" x14ac:dyDescent="0.2">
      <c r="A220" s="291">
        <f t="shared" si="150"/>
        <v>209</v>
      </c>
      <c r="B220" s="286"/>
      <c r="C220" s="286"/>
      <c r="D220" s="284"/>
      <c r="E220" s="295"/>
      <c r="F220" s="287"/>
      <c r="G220" s="31">
        <v>42628</v>
      </c>
      <c r="H220" s="286"/>
      <c r="I220" s="287"/>
      <c r="J220" s="288"/>
      <c r="K220" s="142"/>
      <c r="L220" s="31"/>
      <c r="M220" s="286"/>
      <c r="N220" s="286"/>
      <c r="O220" s="286"/>
      <c r="P220" s="31"/>
      <c r="Q220" s="286"/>
      <c r="R220" s="291"/>
      <c r="S220" s="31"/>
      <c r="T220" s="291"/>
      <c r="U220" s="308">
        <f t="shared" si="163"/>
        <v>-42014</v>
      </c>
      <c r="V220" s="300" t="str">
        <f t="shared" si="164"/>
        <v>No ha formulado PM</v>
      </c>
      <c r="W220" s="308">
        <f t="shared" si="165"/>
        <v>1</v>
      </c>
      <c r="X220" s="299"/>
    </row>
    <row r="221" spans="1:24" x14ac:dyDescent="0.2">
      <c r="A221" s="291">
        <f t="shared" si="150"/>
        <v>210</v>
      </c>
      <c r="B221" s="286"/>
      <c r="C221" s="286"/>
      <c r="D221" s="284"/>
      <c r="E221" s="295"/>
      <c r="F221" s="287"/>
      <c r="G221" s="31"/>
      <c r="H221" s="286"/>
      <c r="I221" s="287"/>
      <c r="J221" s="288"/>
      <c r="K221" s="142"/>
      <c r="L221" s="31"/>
      <c r="M221" s="286"/>
      <c r="N221" s="286"/>
      <c r="O221" s="286"/>
      <c r="P221" s="31"/>
      <c r="Q221" s="286"/>
      <c r="R221" s="291"/>
      <c r="S221" s="31"/>
      <c r="T221" s="291"/>
      <c r="U221" s="308">
        <f t="shared" si="163"/>
        <v>1</v>
      </c>
      <c r="V221" s="300" t="str">
        <f t="shared" si="164"/>
        <v>Oportuno</v>
      </c>
      <c r="W221" s="308">
        <f t="shared" si="165"/>
        <v>1</v>
      </c>
      <c r="X221" s="299"/>
    </row>
    <row r="222" spans="1:24" x14ac:dyDescent="0.2">
      <c r="A222" s="291">
        <f t="shared" si="150"/>
        <v>211</v>
      </c>
      <c r="B222" s="286"/>
      <c r="C222" s="286"/>
      <c r="D222" s="284"/>
      <c r="E222" s="295"/>
      <c r="F222" s="287"/>
      <c r="G222" s="31"/>
      <c r="H222" s="286"/>
      <c r="I222" s="287"/>
      <c r="J222" s="288"/>
      <c r="K222" s="142"/>
      <c r="L222" s="31"/>
      <c r="M222" s="286"/>
      <c r="N222" s="286"/>
      <c r="O222" s="286"/>
      <c r="P222" s="31"/>
      <c r="Q222" s="286"/>
      <c r="R222" s="291"/>
      <c r="S222" s="31"/>
      <c r="T222" s="291"/>
      <c r="U222" s="308">
        <f t="shared" si="163"/>
        <v>1</v>
      </c>
      <c r="V222" s="300" t="str">
        <f t="shared" si="164"/>
        <v>Oportuno</v>
      </c>
      <c r="W222" s="308">
        <f t="shared" si="165"/>
        <v>1</v>
      </c>
      <c r="X222" s="299"/>
    </row>
    <row r="223" spans="1:24" x14ac:dyDescent="0.2">
      <c r="A223" s="291">
        <f t="shared" si="150"/>
        <v>212</v>
      </c>
      <c r="B223" s="286"/>
      <c r="C223" s="286"/>
      <c r="D223" s="284"/>
      <c r="E223" s="295"/>
      <c r="F223" s="287"/>
      <c r="G223" s="31"/>
      <c r="H223" s="286"/>
      <c r="I223" s="287"/>
      <c r="J223" s="288"/>
      <c r="K223" s="142"/>
      <c r="L223" s="31"/>
      <c r="M223" s="286"/>
      <c r="N223" s="286"/>
      <c r="O223" s="286"/>
      <c r="P223" s="31"/>
      <c r="Q223" s="286"/>
      <c r="R223" s="291"/>
      <c r="S223" s="31"/>
      <c r="T223" s="291"/>
      <c r="U223" s="308">
        <f t="shared" si="147"/>
        <v>1</v>
      </c>
      <c r="V223" s="300" t="str">
        <f t="shared" si="148"/>
        <v>Oportuno</v>
      </c>
      <c r="W223" s="308">
        <f t="shared" si="149"/>
        <v>1</v>
      </c>
      <c r="X223" s="299"/>
    </row>
    <row r="224" spans="1:24" x14ac:dyDescent="0.2">
      <c r="A224" s="291">
        <f t="shared" si="150"/>
        <v>213</v>
      </c>
      <c r="B224" s="286"/>
      <c r="C224" s="286"/>
      <c r="D224" s="284"/>
      <c r="E224" s="295"/>
      <c r="F224" s="287"/>
      <c r="G224" s="31"/>
      <c r="H224" s="286"/>
      <c r="I224" s="287"/>
      <c r="J224" s="288"/>
      <c r="K224" s="142"/>
      <c r="L224" s="31"/>
      <c r="M224" s="286"/>
      <c r="N224" s="286"/>
      <c r="O224" s="286"/>
      <c r="P224" s="31"/>
      <c r="Q224" s="286"/>
      <c r="R224" s="291"/>
      <c r="S224" s="31"/>
      <c r="T224" s="291"/>
      <c r="U224" s="308">
        <f t="shared" si="147"/>
        <v>1</v>
      </c>
      <c r="V224" s="300" t="str">
        <f t="shared" si="148"/>
        <v>Oportuno</v>
      </c>
      <c r="W224" s="308">
        <f t="shared" si="149"/>
        <v>1</v>
      </c>
      <c r="X224" s="299"/>
    </row>
    <row r="225" spans="1:31" x14ac:dyDescent="0.2">
      <c r="A225" s="291">
        <f t="shared" si="150"/>
        <v>214</v>
      </c>
      <c r="B225" s="286"/>
      <c r="C225" s="286"/>
      <c r="D225" s="284"/>
      <c r="E225" s="295"/>
      <c r="F225" s="287"/>
      <c r="G225" s="31"/>
      <c r="H225" s="286"/>
      <c r="I225" s="287"/>
      <c r="J225" s="288"/>
      <c r="K225" s="142"/>
      <c r="L225" s="31"/>
      <c r="M225" s="286"/>
      <c r="N225" s="286"/>
      <c r="O225" s="286"/>
      <c r="P225" s="31"/>
      <c r="Q225" s="286"/>
      <c r="R225" s="291"/>
      <c r="S225" s="31"/>
      <c r="T225" s="291"/>
      <c r="U225" s="308">
        <f t="shared" si="147"/>
        <v>1</v>
      </c>
      <c r="V225" s="300" t="str">
        <f t="shared" si="148"/>
        <v>Oportuno</v>
      </c>
      <c r="W225" s="308">
        <f t="shared" si="149"/>
        <v>1</v>
      </c>
      <c r="X225" s="299"/>
    </row>
    <row r="226" spans="1:31" x14ac:dyDescent="0.2">
      <c r="A226" s="291"/>
      <c r="B226" s="38"/>
      <c r="C226" s="38"/>
      <c r="D226" s="309"/>
      <c r="E226" s="295"/>
      <c r="F226" s="287"/>
      <c r="G226" s="31"/>
      <c r="H226" s="286"/>
      <c r="I226" s="287"/>
      <c r="J226" s="298"/>
      <c r="K226" s="305"/>
      <c r="L226" s="31"/>
      <c r="M226" s="286"/>
      <c r="N226" s="286"/>
      <c r="O226" s="286"/>
      <c r="P226" s="31"/>
      <c r="Q226" s="286"/>
      <c r="R226" s="291"/>
      <c r="S226" s="31"/>
      <c r="T226" s="291"/>
      <c r="U226" s="308">
        <f t="shared" si="89"/>
        <v>1</v>
      </c>
      <c r="V226" s="308"/>
      <c r="W226" s="308">
        <f t="shared" si="83"/>
        <v>1</v>
      </c>
      <c r="X226" s="299"/>
    </row>
    <row r="227" spans="1:31" x14ac:dyDescent="0.2">
      <c r="B227" s="337" t="s">
        <v>78</v>
      </c>
      <c r="W227" s="308">
        <f>DAYS360(P227,S227,0)+1</f>
        <v>1</v>
      </c>
    </row>
    <row r="228" spans="1:31" x14ac:dyDescent="0.2">
      <c r="B228" s="338"/>
      <c r="C228" s="17" t="s">
        <v>192</v>
      </c>
    </row>
    <row r="229" spans="1:31" ht="16.5" thickBot="1" x14ac:dyDescent="0.25">
      <c r="C229" s="491" t="s">
        <v>127</v>
      </c>
      <c r="D229" s="491"/>
      <c r="E229" s="491"/>
      <c r="F229" s="491"/>
      <c r="G229" s="491"/>
      <c r="H229" s="491"/>
      <c r="I229" s="491"/>
      <c r="J229" s="491"/>
      <c r="K229" s="491"/>
      <c r="L229" s="491"/>
      <c r="Q229" s="491"/>
      <c r="R229" s="491"/>
      <c r="S229" s="491"/>
      <c r="T229" s="491"/>
      <c r="U229" s="491"/>
      <c r="V229" s="491"/>
      <c r="W229" s="491"/>
      <c r="Y229" s="17">
        <f>COUNTIF(X4:X141,"X")</f>
        <v>138</v>
      </c>
    </row>
    <row r="230" spans="1:31" ht="15.75" x14ac:dyDescent="0.2">
      <c r="C230" s="427" t="s">
        <v>80</v>
      </c>
      <c r="D230" s="428"/>
      <c r="E230" s="489" t="s">
        <v>3</v>
      </c>
      <c r="F230" s="490"/>
      <c r="G230" s="147"/>
      <c r="H230" s="162" t="s">
        <v>81</v>
      </c>
      <c r="I230" s="198" t="s">
        <v>40</v>
      </c>
      <c r="J230" s="45" t="s">
        <v>41</v>
      </c>
      <c r="K230" s="194" t="s">
        <v>43</v>
      </c>
      <c r="L230" s="46" t="s">
        <v>177</v>
      </c>
      <c r="P230" s="147"/>
      <c r="Q230" s="147"/>
      <c r="R230" s="148"/>
      <c r="S230" s="148"/>
      <c r="T230" s="149"/>
      <c r="U230" s="147"/>
      <c r="V230" s="147"/>
      <c r="W230" s="373"/>
      <c r="X230" s="148"/>
    </row>
    <row r="231" spans="1:31" x14ac:dyDescent="0.2">
      <c r="C231" s="374" t="s">
        <v>75</v>
      </c>
      <c r="D231" s="263">
        <f>COUNTIF($I$4:I227,"No Conformidad")</f>
        <v>145</v>
      </c>
      <c r="E231" s="55" t="s">
        <v>76</v>
      </c>
      <c r="F231" s="206">
        <f>COUNTIF($K$4:K227,"Si")</f>
        <v>141</v>
      </c>
      <c r="G231" s="84"/>
      <c r="H231" s="375" t="s">
        <v>75</v>
      </c>
      <c r="I231" s="199">
        <f>COUNTIFS($I$4:I227,"No Conformidad",$D$4:D227,"Auditoria")</f>
        <v>120</v>
      </c>
      <c r="J231" s="305">
        <f>COUNTIFS($I$4:I227,"No Conformidad",$D$4:D227,"Especial")</f>
        <v>0</v>
      </c>
      <c r="K231" s="195">
        <f>COUNTIFS($I$4:I227,"No Conformidad",$D$4:D227,"Informes")</f>
        <v>21</v>
      </c>
      <c r="L231" s="56">
        <f>COUNTIFS($I$4:J227,"No Conformidad",$D$4:E227,"Autocontrol")</f>
        <v>4</v>
      </c>
      <c r="P231" s="147"/>
      <c r="Q231" s="84"/>
      <c r="R231" s="84"/>
      <c r="S231" s="84"/>
      <c r="T231" s="84"/>
      <c r="U231" s="84"/>
      <c r="V231" s="84"/>
      <c r="X231" s="84"/>
    </row>
    <row r="232" spans="1:31" ht="15" thickBot="1" x14ac:dyDescent="0.25">
      <c r="C232" s="376" t="s">
        <v>50</v>
      </c>
      <c r="D232" s="263">
        <f>COUNTIF($I$4:I227,"Recomendación")</f>
        <v>0</v>
      </c>
      <c r="E232" s="64" t="s">
        <v>77</v>
      </c>
      <c r="F232" s="65">
        <f>COUNTIF($K$4:K227,"No")</f>
        <v>4</v>
      </c>
      <c r="G232" s="84"/>
      <c r="H232" s="377" t="s">
        <v>50</v>
      </c>
      <c r="I232" s="199">
        <f>COUNTIFS($I$4:I227,"Recomendación",$D$4:D227,"Auditoria")</f>
        <v>0</v>
      </c>
      <c r="J232" s="305">
        <f>COUNTIFS($I$4:I227,"Recomendación",$D$4:D227,"Especial")</f>
        <v>0</v>
      </c>
      <c r="K232" s="195">
        <f>COUNTIFS($I$4:I227,"Recomendación",$D$4:D227,"Informes")</f>
        <v>0</v>
      </c>
      <c r="L232" s="56">
        <f>COUNTIFS($I$4:J228,"Recomendación",$D$4:E228,"Autocontrol")</f>
        <v>0</v>
      </c>
      <c r="P232" s="147"/>
      <c r="Q232" s="84"/>
      <c r="R232" s="84"/>
      <c r="S232" s="84"/>
      <c r="T232" s="84"/>
      <c r="U232" s="84"/>
      <c r="V232" s="84"/>
      <c r="X232" s="84"/>
    </row>
    <row r="233" spans="1:31" ht="15.75" thickTop="1" thickBot="1" x14ac:dyDescent="0.25">
      <c r="C233" s="259" t="s">
        <v>365</v>
      </c>
      <c r="D233" s="264">
        <f>COUNTIF($I$4:I227,"Oportunidad de mejora")</f>
        <v>0</v>
      </c>
      <c r="G233" s="147"/>
      <c r="H233" s="339" t="s">
        <v>365</v>
      </c>
      <c r="I233" s="190">
        <f>COUNTIFS($I$4:I228,"Oportunidad de mejora",$D$4:D228,"Auditoria")</f>
        <v>0</v>
      </c>
      <c r="J233" s="63">
        <f>COUNTIFS($I$4:I228,"Oportunidad de mejora",$D$4:D228,"Especial")</f>
        <v>0</v>
      </c>
      <c r="K233" s="196">
        <f>COUNTIFS($I$4:I228,"Oportunidad de mejora",$D$4:D228,"Informes")</f>
        <v>0</v>
      </c>
      <c r="L233" s="65">
        <f>COUNTIFS($I$4:J229,"Oportunidad de mejora",$D$4:E229,"Autocontrol")</f>
        <v>0</v>
      </c>
      <c r="P233" s="84"/>
      <c r="Q233" s="84"/>
      <c r="R233" s="84"/>
      <c r="S233" s="84"/>
      <c r="T233" s="84"/>
      <c r="U233" s="147"/>
      <c r="V233" s="147"/>
      <c r="X233" s="84"/>
    </row>
    <row r="234" spans="1:31" ht="19.5" customHeight="1" thickTop="1" thickBot="1" x14ac:dyDescent="0.25">
      <c r="C234" s="67" t="s">
        <v>83</v>
      </c>
      <c r="D234" s="270">
        <f>SUM(D231:D233)</f>
        <v>145</v>
      </c>
      <c r="E234" s="201" t="s">
        <v>83</v>
      </c>
      <c r="F234" s="202">
        <f>SUM(F231:F232)</f>
        <v>145</v>
      </c>
      <c r="G234" s="17"/>
      <c r="H234" s="148" t="s">
        <v>83</v>
      </c>
      <c r="I234" s="188">
        <f>SUM(I231:I233)</f>
        <v>120</v>
      </c>
      <c r="J234" s="188">
        <f t="shared" ref="J234:L234" si="166">SUM(J231:J233)</f>
        <v>0</v>
      </c>
      <c r="K234" s="197">
        <f t="shared" si="166"/>
        <v>21</v>
      </c>
      <c r="L234" s="200">
        <f t="shared" si="166"/>
        <v>4</v>
      </c>
      <c r="Q234" s="147"/>
      <c r="R234" s="84"/>
      <c r="S234" s="84"/>
      <c r="T234" s="84"/>
      <c r="U234" s="84"/>
      <c r="V234" s="84"/>
      <c r="W234" s="84"/>
      <c r="X234" s="148"/>
    </row>
    <row r="235" spans="1:31" ht="15" thickBot="1" x14ac:dyDescent="0.25">
      <c r="B235" s="17" t="s">
        <v>86</v>
      </c>
      <c r="G235" s="378"/>
      <c r="H235" s="371"/>
      <c r="I235" s="340" t="s">
        <v>85</v>
      </c>
      <c r="J235" s="83">
        <f>SUM(I234:L234)</f>
        <v>145</v>
      </c>
      <c r="K235" s="84"/>
      <c r="L235" s="84"/>
      <c r="M235" s="84"/>
      <c r="N235" s="84"/>
      <c r="P235" s="84"/>
      <c r="Q235" s="150"/>
      <c r="R235" s="148"/>
      <c r="S235" s="148"/>
      <c r="T235" s="149"/>
      <c r="U235" s="84"/>
      <c r="V235" s="84"/>
      <c r="X235" s="84"/>
    </row>
    <row r="236" spans="1:31" ht="15.75" thickBot="1" x14ac:dyDescent="0.25">
      <c r="C236" s="327" t="s">
        <v>88</v>
      </c>
      <c r="D236" s="273">
        <f>C1</f>
        <v>2016</v>
      </c>
      <c r="G236" s="378"/>
      <c r="N236" s="137"/>
      <c r="P236" s="84"/>
      <c r="Q236" s="84"/>
      <c r="R236" s="84"/>
      <c r="S236" s="84"/>
      <c r="T236" s="84"/>
      <c r="U236" s="84"/>
      <c r="V236" s="84"/>
      <c r="X236" s="84"/>
      <c r="Z236" s="216"/>
      <c r="AA236" s="216"/>
      <c r="AB236" s="215"/>
    </row>
    <row r="237" spans="1:31" ht="23.25" customHeight="1" thickBot="1" x14ac:dyDescent="0.25">
      <c r="B237" s="488" t="s">
        <v>0</v>
      </c>
      <c r="C237" s="475" t="s">
        <v>194</v>
      </c>
      <c r="D237" s="476"/>
      <c r="E237" s="488" t="s">
        <v>126</v>
      </c>
      <c r="F237" s="515"/>
      <c r="G237" s="515"/>
      <c r="H237" s="515"/>
      <c r="I237" s="516"/>
      <c r="J237" s="473" t="s">
        <v>83</v>
      </c>
      <c r="L237" s="492" t="s">
        <v>130</v>
      </c>
      <c r="M237" s="493"/>
      <c r="N237" s="496" t="s">
        <v>92</v>
      </c>
      <c r="O237" s="497"/>
      <c r="P237" s="498"/>
      <c r="Q237" s="501" t="s">
        <v>93</v>
      </c>
      <c r="R237" s="502"/>
      <c r="T237" s="379"/>
      <c r="U237" s="84"/>
      <c r="V237" s="84"/>
      <c r="W237" s="84"/>
      <c r="X237" s="84"/>
      <c r="Y237" s="84"/>
      <c r="Z237" s="84"/>
      <c r="AA237" s="84"/>
      <c r="AB237" s="215"/>
    </row>
    <row r="238" spans="1:31" ht="22.5" customHeight="1" thickBot="1" x14ac:dyDescent="0.25">
      <c r="B238" s="422"/>
      <c r="C238" s="158" t="s">
        <v>195</v>
      </c>
      <c r="D238" s="265" t="s">
        <v>0</v>
      </c>
      <c r="E238" s="97" t="s">
        <v>40</v>
      </c>
      <c r="F238" s="97" t="s">
        <v>41</v>
      </c>
      <c r="G238" s="97" t="s">
        <v>43</v>
      </c>
      <c r="H238" s="255"/>
      <c r="I238" s="97" t="s">
        <v>177</v>
      </c>
      <c r="J238" s="474"/>
      <c r="L238" s="211" t="s">
        <v>131</v>
      </c>
      <c r="M238" s="212" t="s">
        <v>132</v>
      </c>
      <c r="N238" s="155" t="s">
        <v>75</v>
      </c>
      <c r="O238" s="156" t="s">
        <v>50</v>
      </c>
      <c r="P238" s="259" t="s">
        <v>365</v>
      </c>
      <c r="Q238" s="100" t="s">
        <v>76</v>
      </c>
      <c r="R238" s="101" t="s">
        <v>77</v>
      </c>
      <c r="U238" s="84"/>
      <c r="V238" s="84"/>
      <c r="W238" s="147"/>
      <c r="X238" s="84"/>
      <c r="Y238" s="84"/>
      <c r="Z238" s="84"/>
      <c r="AA238" s="84"/>
      <c r="AB238" s="258"/>
    </row>
    <row r="239" spans="1:31" ht="31.5" customHeight="1" thickTop="1" x14ac:dyDescent="0.2">
      <c r="B239" s="341" t="s">
        <v>46</v>
      </c>
      <c r="C239" s="291">
        <f>COUNTIFS($E$4:$E226,$C$238,$B$4:$B226,$B239)</f>
        <v>30</v>
      </c>
      <c r="D239" s="266">
        <f>COUNTIFS($E$4:$E226,$D$238,$B$4:$B226,$B239)</f>
        <v>4</v>
      </c>
      <c r="E239" s="291">
        <f>COUNTIFS($D$4:$D226,"Auditoria",$B$4:$B226,$B239)</f>
        <v>25</v>
      </c>
      <c r="F239" s="291">
        <f>COUNTIFS($D$4:$D226,"Especial",$B$4:$B226,$B239)</f>
        <v>0</v>
      </c>
      <c r="G239" s="291">
        <f>COUNTIFS($D$4:$D226,"Informes",$B$4:$B226,$B239)</f>
        <v>9</v>
      </c>
      <c r="H239" s="256"/>
      <c r="I239" s="291">
        <f>COUNTIFS($D$4:$D226,"Autocontrol",$B$4:$B226,$B239)</f>
        <v>0</v>
      </c>
      <c r="J239" s="291">
        <f t="shared" ref="J239:K251" si="167">SUM(E239:I239)</f>
        <v>34</v>
      </c>
      <c r="L239" s="189">
        <f>COUNTIFS($J$4:$J226,"Hallazgo Abierto",$B$4:$B226,$B239)</f>
        <v>29</v>
      </c>
      <c r="M239" s="60">
        <f>COUNTIFS($J$4:$J226,"Hallazgo Cerrado",$B$4:$B226,$B239)</f>
        <v>5</v>
      </c>
      <c r="N239" s="297">
        <f>COUNTIFS($I$4:$I226,"No Conformidad",$B$4:$B226,$B239)</f>
        <v>34</v>
      </c>
      <c r="O239" s="291">
        <f>COUNTIFS($I$4:$I226,"Recomendación",$B$4:$B226,$B239)</f>
        <v>0</v>
      </c>
      <c r="P239" s="291">
        <f>COUNTIFS($I$4:$I226,"Oportunidad de mejora",$B$4:$B226,$B239)</f>
        <v>0</v>
      </c>
      <c r="Q239" s="291">
        <f>COUNTIFS($K$4:K226,"Si",$B$4:B226,$B239)</f>
        <v>34</v>
      </c>
      <c r="R239" s="60">
        <f>COUNTIFS($K$4:K226,"No",$B$4:B226,$B239)</f>
        <v>0</v>
      </c>
      <c r="T239" s="84"/>
      <c r="U239" s="84"/>
      <c r="V239" s="84"/>
      <c r="W239" s="147"/>
      <c r="X239" s="84"/>
      <c r="Y239" s="84"/>
      <c r="Z239" s="84"/>
      <c r="AA239" s="380"/>
      <c r="AB239" s="136"/>
    </row>
    <row r="240" spans="1:31" ht="20.25" customHeight="1" x14ac:dyDescent="0.2">
      <c r="B240" s="342" t="s">
        <v>9</v>
      </c>
      <c r="C240" s="291">
        <f>COUNTIFS($E$4:$E226,$C$238,$B$4:$B226,$B240)</f>
        <v>0</v>
      </c>
      <c r="D240" s="266">
        <f>COUNTIFS($E$4:$E226,$D$238,$B$4:$B226,$B240)</f>
        <v>17</v>
      </c>
      <c r="E240" s="291">
        <f>COUNTIFS($D$4:$D226,"Auditoria",$B$4:$B226,$B240)</f>
        <v>17</v>
      </c>
      <c r="F240" s="291">
        <f>COUNTIFS($D$4:$D228,"Especial",$B$4:$B228,$B240)</f>
        <v>0</v>
      </c>
      <c r="G240" s="291">
        <f>COUNTIFS($D$4:$D228,"Informes",$B$4:$B228,$B240)</f>
        <v>0</v>
      </c>
      <c r="H240" s="256"/>
      <c r="I240" s="291">
        <f>COUNTIFS($D$4:$D228,"Autocontrol",$B$4:$B228,$B240)</f>
        <v>0</v>
      </c>
      <c r="J240" s="291">
        <f t="shared" si="167"/>
        <v>17</v>
      </c>
      <c r="L240" s="189">
        <f>COUNTIFS($J$4:$J226,"Hallazgo Abierto",$B$4:$B226,$B240)</f>
        <v>17</v>
      </c>
      <c r="M240" s="60">
        <f>COUNTIFS($J$4:$J226,"Hallazgo Cerrado",$B$4:$B226,$B240)</f>
        <v>0</v>
      </c>
      <c r="N240" s="142">
        <f>COUNTIFS($I$4:$I226,"No Conformidad",$B$4:$B226,$B240)</f>
        <v>17</v>
      </c>
      <c r="O240" s="305">
        <f>COUNTIFS($I$4:$I226,"Recomendación",$B$4:$B226,$B240)</f>
        <v>0</v>
      </c>
      <c r="P240" s="305">
        <f>COUNTIFS($I$4:$I226,"Oportunidad de mejora",$B$4:$B226,$B240)</f>
        <v>0</v>
      </c>
      <c r="Q240" s="305">
        <f>COUNTIFS($K$4:$K226,"Si",$B$4:$B226,$B240)</f>
        <v>17</v>
      </c>
      <c r="R240" s="56">
        <f>COUNTIFS($K$4:$K226,"No",$B$4:$B226,$B240)</f>
        <v>0</v>
      </c>
      <c r="T240" s="136"/>
      <c r="U240" s="84"/>
      <c r="V240" s="84"/>
      <c r="W240" s="84"/>
      <c r="X240" s="84"/>
      <c r="Y240" s="84"/>
      <c r="Z240" s="84"/>
      <c r="AA240" s="380"/>
      <c r="AB240" s="136"/>
      <c r="AE240" s="17"/>
    </row>
    <row r="241" spans="2:28" ht="51" x14ac:dyDescent="0.2">
      <c r="B241" s="199" t="s">
        <v>333</v>
      </c>
      <c r="C241" s="291">
        <f>COUNTIFS($E$4:$E226,$C$238,$B$4:$B226,$B241)</f>
        <v>0</v>
      </c>
      <c r="D241" s="266">
        <f>COUNTIFS($E$4:$E226,$D$238,$B$4:$B226,$B241)</f>
        <v>19</v>
      </c>
      <c r="E241" s="291">
        <f>COUNTIFS($D$4:$D226,"Auditoria",$B$4:$B226,$B241)</f>
        <v>18</v>
      </c>
      <c r="F241" s="291">
        <f>COUNTIFS($D$4:$D226,"Especial",$B$4:$B226,$B241)</f>
        <v>0</v>
      </c>
      <c r="G241" s="291">
        <f>COUNTIFS($D$4:$D226,"Informes",$B$4:$B226,$B241)</f>
        <v>0</v>
      </c>
      <c r="H241" s="256"/>
      <c r="I241" s="291">
        <f>COUNTIFS($D$4:$D226,"Autocontrol",$B$4:$B226,$B241)</f>
        <v>1</v>
      </c>
      <c r="J241" s="291">
        <f t="shared" si="167"/>
        <v>19</v>
      </c>
      <c r="L241" s="189">
        <f>COUNTIFS($J$4:$J226,"Hallazgo Abierto",$B$4:$B226,$B241)</f>
        <v>9</v>
      </c>
      <c r="M241" s="60">
        <f>COUNTIFS($J$4:$J226,"Hallazgo Cerrado",$B$4:$B226,$B241)</f>
        <v>10</v>
      </c>
      <c r="N241" s="142">
        <f>COUNTIFS($I$4:$I226,"No Conformidad",$B$4:$B226,$B241)</f>
        <v>19</v>
      </c>
      <c r="O241" s="305">
        <f>COUNTIFS($I$4:$I226,"Recomendación",$B$4:$B226,$B241)</f>
        <v>0</v>
      </c>
      <c r="P241" s="305">
        <f>COUNTIFS($I$4:$I226,"Oportunidad de mejora",$B$4:$B226,$B241)</f>
        <v>0</v>
      </c>
      <c r="Q241" s="305">
        <f>COUNTIFS($K$4:$K226,"Si",$B$4:$B226,$B241)</f>
        <v>19</v>
      </c>
      <c r="R241" s="56">
        <f>COUNTIFS($K$4:$K226,"No",$B$4:$B226,$B241)</f>
        <v>0</v>
      </c>
      <c r="T241" s="136"/>
      <c r="U241" s="84"/>
      <c r="V241" s="84"/>
      <c r="W241" s="147"/>
      <c r="X241" s="84"/>
      <c r="Y241" s="84"/>
      <c r="Z241" s="84"/>
      <c r="AA241" s="380"/>
      <c r="AB241" s="136"/>
    </row>
    <row r="242" spans="2:28" ht="28.5" x14ac:dyDescent="0.2">
      <c r="B242" s="381" t="s">
        <v>2</v>
      </c>
      <c r="C242" s="291">
        <f>COUNTIFS($E$4:$E226,$C$238,$B$4:$B226,$B242)</f>
        <v>0</v>
      </c>
      <c r="D242" s="266">
        <f>COUNTIFS($E$4:$E226,$D$238,$B$4:$B226,$B242)</f>
        <v>6</v>
      </c>
      <c r="E242" s="291">
        <f>COUNTIFS($D$4:$D226,"Auditoria",$B$4:$B226,$B242)</f>
        <v>6</v>
      </c>
      <c r="F242" s="291">
        <f>COUNTIFS($D$4:$D226,"Especial",$B$4:$B226,$B242)</f>
        <v>0</v>
      </c>
      <c r="G242" s="291">
        <f>COUNTIFS($D$4:$D226,"Informes",$B$4:$B226,$B242)</f>
        <v>0</v>
      </c>
      <c r="H242" s="256"/>
      <c r="I242" s="291">
        <f>COUNTIFS($D$4:$D226,"Autocontrol",$B$4:$B226,$B242)</f>
        <v>0</v>
      </c>
      <c r="J242" s="291">
        <f t="shared" si="167"/>
        <v>6</v>
      </c>
      <c r="L242" s="189">
        <f>COUNTIFS($J$4:$J226,"Hallazgo Abierto",$B$4:$B226,$B242)</f>
        <v>6</v>
      </c>
      <c r="M242" s="60">
        <f>COUNTIFS($J$4:$J226,"Hallazgo Cerrado",$B$4:$B226,$B242)</f>
        <v>0</v>
      </c>
      <c r="N242" s="142">
        <f>COUNTIFS($I$4:$I226,"No Conformidad",$B$4:$B226,$B242)</f>
        <v>6</v>
      </c>
      <c r="O242" s="305">
        <f>COUNTIFS($I$4:$I226,"Recomendación",$B$4:$B226,$B242)</f>
        <v>0</v>
      </c>
      <c r="P242" s="305">
        <f>COUNTIFS($I$4:$I226,"Oportunidad de mejora",$B$4:$B226,$B242)</f>
        <v>0</v>
      </c>
      <c r="Q242" s="305">
        <f>COUNTIFS($K$4:$K226,"Si",$B$4:$B226,$B242)</f>
        <v>6</v>
      </c>
      <c r="R242" s="56">
        <f>COUNTIFS($K$4:$K226,"No",$B$4:$B226,$B242)</f>
        <v>0</v>
      </c>
      <c r="T242" s="136"/>
      <c r="U242" s="84"/>
      <c r="V242" s="84"/>
      <c r="W242" s="150"/>
      <c r="X242" s="148"/>
      <c r="Y242" s="148"/>
      <c r="Z242" s="148"/>
      <c r="AA242" s="149"/>
      <c r="AB242" s="136"/>
    </row>
    <row r="243" spans="2:28" ht="28.5" x14ac:dyDescent="0.2">
      <c r="B243" s="342" t="s">
        <v>21</v>
      </c>
      <c r="C243" s="291">
        <f>COUNTIFS($E$4:$E226,$C$238,$B$4:$B226,$B243)</f>
        <v>3</v>
      </c>
      <c r="D243" s="266">
        <f>COUNTIFS($E$4:$E226,$D$238,$B$4:$B226,$B243)</f>
        <v>5</v>
      </c>
      <c r="E243" s="291">
        <f>COUNTIFS($D$4:$D226,"Auditoria",$B$4:$B226,$B243)</f>
        <v>8</v>
      </c>
      <c r="F243" s="291">
        <f>COUNTIFS($D$4:$D226,"Especial",$B$4:$B226,$B243)</f>
        <v>0</v>
      </c>
      <c r="G243" s="291">
        <f>COUNTIFS($D$4:$D226,"Informes",$B$4:$B226,$B243)</f>
        <v>0</v>
      </c>
      <c r="H243" s="256"/>
      <c r="I243" s="291">
        <f>COUNTIFS($D$4:$D226,"Autocontrol",$B$4:$B226,$B243)</f>
        <v>0</v>
      </c>
      <c r="J243" s="291">
        <f t="shared" si="167"/>
        <v>8</v>
      </c>
      <c r="L243" s="189">
        <f>COUNTIFS($J$4:$J226,"Hallazgo Abierto",$B$4:$B226,$B243)</f>
        <v>6</v>
      </c>
      <c r="M243" s="60">
        <f>COUNTIFS($J$4:$J226,"Hallazgo Cerrado",$B$4:$B226,$B243)</f>
        <v>2</v>
      </c>
      <c r="N243" s="142">
        <f>COUNTIFS($I$4:$I226,"No Conformidad",$B$4:$B226,$B243)</f>
        <v>8</v>
      </c>
      <c r="O243" s="305">
        <f>COUNTIFS($I$4:$I226,"Recomendación",$B$4:$B226,$B243)</f>
        <v>0</v>
      </c>
      <c r="P243" s="305">
        <f>COUNTIFS($I$4:$I226,"Oportunidad de mejora",$B$4:$B226,$B243)</f>
        <v>0</v>
      </c>
      <c r="Q243" s="305">
        <f>COUNTIFS($K$4:$K226,"Si",$B$4:$B226,$B243)</f>
        <v>8</v>
      </c>
      <c r="R243" s="56">
        <f>COUNTIFS($K$4:$K226,"No",$B$4:$B226,$B243)</f>
        <v>0</v>
      </c>
      <c r="T243" s="136"/>
      <c r="U243" s="84"/>
      <c r="V243" s="84"/>
      <c r="W243" s="84"/>
      <c r="X243" s="84"/>
      <c r="Y243" s="84"/>
      <c r="Z243" s="84"/>
      <c r="AA243" s="84"/>
      <c r="AB243" s="136"/>
    </row>
    <row r="244" spans="2:28" ht="28.5" x14ac:dyDescent="0.2">
      <c r="B244" s="381" t="s">
        <v>34</v>
      </c>
      <c r="C244" s="291">
        <f>COUNTIFS($E$4:$E226,$C$238,$B$4:$B226,$B244)</f>
        <v>0</v>
      </c>
      <c r="D244" s="266">
        <f>COUNTIFS($E$4:$E226,$D$238,$B$4:$B226,$B244)</f>
        <v>4</v>
      </c>
      <c r="E244" s="291">
        <f>COUNTIFS($D$4:$D226,"Auditoria",$B$4:$B226,$B244)</f>
        <v>4</v>
      </c>
      <c r="F244" s="291">
        <f>COUNTIFS($D$4:$D226,"Especial",$B$4:$B226,$B244)</f>
        <v>0</v>
      </c>
      <c r="G244" s="291">
        <f>COUNTIFS($D$4:$D226,"Informes",$B$4:$B226,$B244)</f>
        <v>0</v>
      </c>
      <c r="H244" s="256"/>
      <c r="I244" s="291">
        <f>COUNTIFS($D$4:$D226,"Autocontrol",$B$4:$B226,$B244)</f>
        <v>0</v>
      </c>
      <c r="J244" s="291">
        <f t="shared" si="167"/>
        <v>4</v>
      </c>
      <c r="L244" s="189">
        <f>COUNTIFS($J$4:$J226,"Hallazgo Abierto",$B$4:$B226,$B244)</f>
        <v>4</v>
      </c>
      <c r="M244" s="60">
        <f>COUNTIFS($J$4:$J226,"Hallazgo Cerrado",$B$4:$B226,$B244)</f>
        <v>0</v>
      </c>
      <c r="N244" s="142">
        <f>COUNTIFS($I$4:$I226,"No Conformidad",$B$4:$B226,$B244)</f>
        <v>4</v>
      </c>
      <c r="O244" s="305">
        <f>COUNTIFS($I$4:$I226,"Recomendación",$B$4:$B226,$B244)</f>
        <v>0</v>
      </c>
      <c r="P244" s="305">
        <f>COUNTIFS($I$4:$I226,"Oportunidad de mejora",$B$4:$B226,$B244)</f>
        <v>0</v>
      </c>
      <c r="Q244" s="305">
        <f>COUNTIFS($K$4:$K226,"Si",$B$4:$B226,$B244)</f>
        <v>4</v>
      </c>
      <c r="R244" s="56">
        <f>COUNTIFS($K$4:$K226,"No",$B$4:$B226,$B244)</f>
        <v>0</v>
      </c>
      <c r="T244" s="136"/>
      <c r="U244" s="84"/>
      <c r="V244" s="84"/>
      <c r="W244" s="84"/>
      <c r="X244" s="84"/>
      <c r="Y244" s="84"/>
      <c r="Z244" s="84"/>
      <c r="AA244" s="84"/>
      <c r="AB244" s="136"/>
    </row>
    <row r="245" spans="2:28" ht="28.5" x14ac:dyDescent="0.2">
      <c r="B245" s="342" t="s">
        <v>33</v>
      </c>
      <c r="C245" s="291">
        <f>COUNTIFS($E$4:$E226,$C$238,$B$4:$B226,$B245)</f>
        <v>0</v>
      </c>
      <c r="D245" s="266">
        <f>COUNTIFS($E$4:$E226,$D$238,$B$4:$B226,$B245)</f>
        <v>7</v>
      </c>
      <c r="E245" s="291">
        <f>COUNTIFS($D$4:$D226,"Auditoria",$B$4:$B226,$B245)</f>
        <v>7</v>
      </c>
      <c r="F245" s="291">
        <f>COUNTIFS($D$4:$D226,"Especial",$B$4:$B226,$B245)</f>
        <v>0</v>
      </c>
      <c r="G245" s="291">
        <f>COUNTIFS($D$4:$D226,"Informes",$B$4:$B226,$B245)</f>
        <v>0</v>
      </c>
      <c r="H245" s="256"/>
      <c r="I245" s="291">
        <f>COUNTIFS($D$4:$D226,"Autocontrol",$B$4:$B226,$B245)</f>
        <v>0</v>
      </c>
      <c r="J245" s="291">
        <f t="shared" si="167"/>
        <v>7</v>
      </c>
      <c r="K245" s="291">
        <f t="shared" si="167"/>
        <v>7</v>
      </c>
      <c r="L245" s="189">
        <f>COUNTIFS($J$4:$J226,"Hallazgo Abierto",$B$4:$B226,$B245)</f>
        <v>7</v>
      </c>
      <c r="M245" s="60">
        <f>COUNTIFS($J$4:$J226,"Hallazgo Cerrado",$B$4:$B226,$B245)</f>
        <v>0</v>
      </c>
      <c r="N245" s="142">
        <f>COUNTIFS($I$4:$I226,"No Conformidad",$B$4:$B226,$B245)</f>
        <v>7</v>
      </c>
      <c r="O245" s="305">
        <f>COUNTIFS($I$4:$I226,"Recomendación",$B$4:$B226,$B245)</f>
        <v>0</v>
      </c>
      <c r="P245" s="305">
        <f>COUNTIFS($I$4:$I226,"Oportunidad de mejora",$B$4:$B226,$B245)</f>
        <v>0</v>
      </c>
      <c r="Q245" s="305">
        <f>COUNTIFS($K$4:$K226,"Si",$B$4:$B226,$B245)</f>
        <v>7</v>
      </c>
      <c r="R245" s="56">
        <f>COUNTIFS($K$4:$K226,"No",$B$4:$B226,$B245)</f>
        <v>0</v>
      </c>
      <c r="T245" s="136"/>
      <c r="U245" s="84"/>
      <c r="V245" s="84"/>
      <c r="W245" s="147"/>
      <c r="X245" s="84"/>
      <c r="Y245" s="84"/>
      <c r="Z245" s="84"/>
      <c r="AA245" s="84"/>
      <c r="AB245" s="136"/>
    </row>
    <row r="246" spans="2:28" x14ac:dyDescent="0.2">
      <c r="B246" s="382" t="s">
        <v>263</v>
      </c>
      <c r="C246" s="291">
        <f>COUNTIFS($E$4:$E227,$C$238,$B$4:$B227,$B246)</f>
        <v>0</v>
      </c>
      <c r="D246" s="266">
        <f>COUNTIFS($E$4:$E227,$D$238,$B$4:$B227,$B246)</f>
        <v>7</v>
      </c>
      <c r="E246" s="291">
        <f>COUNTIFS($D$4:$D227,"Auditoria",$B$4:$B227,$B246)</f>
        <v>1</v>
      </c>
      <c r="F246" s="291">
        <f>COUNTIFS($D$4:$D227,"Especial",$B$4:$B227,$B246)</f>
        <v>0</v>
      </c>
      <c r="G246" s="291">
        <f>COUNTIFS($D$4:$D227,"Informes",$B$4:$B227,$B246)</f>
        <v>6</v>
      </c>
      <c r="H246" s="256"/>
      <c r="I246" s="291">
        <f>COUNTIFS($D$4:$D227,"Autocontrol",$B$4:$B227,$B246)</f>
        <v>0</v>
      </c>
      <c r="J246" s="291">
        <f t="shared" si="167"/>
        <v>7</v>
      </c>
      <c r="L246" s="189">
        <f>COUNTIFS($J$4:$J227,"Hallazgo Abierto",$B$4:$B227,$B246)</f>
        <v>7</v>
      </c>
      <c r="M246" s="60">
        <f>COUNTIFS($J$4:$J227,"Hallazgo Cerrado",$B$4:$B227,$B246)</f>
        <v>0</v>
      </c>
      <c r="N246" s="142">
        <f>COUNTIFS($I$4:$I227,"No Conformidad",$B$4:$B227,$B246)</f>
        <v>7</v>
      </c>
      <c r="O246" s="305">
        <f>COUNTIFS($I$4:$I227,"Recomendación",$B$4:$B227,$B246)</f>
        <v>0</v>
      </c>
      <c r="P246" s="305">
        <f>COUNTIFS($I$4:$I227,"Oportunidad de mejora",$B$4:$B227,$B246)</f>
        <v>0</v>
      </c>
      <c r="Q246" s="305">
        <f>COUNTIFS($K$4:$K227,"Si",$B$4:$B227,$B246)</f>
        <v>7</v>
      </c>
      <c r="R246" s="56">
        <f>COUNTIFS($K$4:$K227,"No",$B$4:$B227,$B246)</f>
        <v>0</v>
      </c>
      <c r="T246" s="136"/>
      <c r="U246" s="84"/>
      <c r="V246" s="84"/>
      <c r="W246" s="147"/>
      <c r="X246" s="84"/>
      <c r="Y246" s="84"/>
      <c r="Z246" s="84"/>
      <c r="AA246" s="84"/>
      <c r="AB246" s="136"/>
    </row>
    <row r="247" spans="2:28" ht="42.75" x14ac:dyDescent="0.2">
      <c r="B247" s="381" t="s">
        <v>59</v>
      </c>
      <c r="C247" s="291">
        <f>COUNTIFS($E$4:$E226,$C$238,$B$4:$B226,$B247)</f>
        <v>1</v>
      </c>
      <c r="D247" s="266">
        <f>COUNTIFS($E$4:$E226,$D$238,$B$4:$B226,$B247)</f>
        <v>3</v>
      </c>
      <c r="E247" s="291">
        <f>COUNTIFS($D$4:$D226,"Auditoria",$B$4:$B226,$B247)</f>
        <v>3</v>
      </c>
      <c r="F247" s="291">
        <f>COUNTIFS($D$4:$D226,"Especial",$B$4:$B226,$B247)</f>
        <v>0</v>
      </c>
      <c r="G247" s="291">
        <f>COUNTIFS($D$4:$D226,"Informes",$B$4:$B226,$B247)</f>
        <v>1</v>
      </c>
      <c r="H247" s="256"/>
      <c r="I247" s="291">
        <f>COUNTIFS($D$4:$D226,"Autocontrol",$B$4:$B226,$B247)</f>
        <v>0</v>
      </c>
      <c r="J247" s="291">
        <f t="shared" si="167"/>
        <v>4</v>
      </c>
      <c r="L247" s="189">
        <f>COUNTIFS($J$4:$J226,"Hallazgo Abierto",$B$4:$B226,$B247)</f>
        <v>4</v>
      </c>
      <c r="M247" s="60">
        <f>COUNTIFS($J$4:$J226,"Hallazgo Cerrado",$B$4:$B226,$B247)</f>
        <v>0</v>
      </c>
      <c r="N247" s="142">
        <f>COUNTIFS($I$4:$I226,"No Conformidad",$B$4:$B226,$B247)</f>
        <v>4</v>
      </c>
      <c r="O247" s="305">
        <f>COUNTIFS($I$4:$I226,"Recomendación",$B$4:$B226,$B247)</f>
        <v>0</v>
      </c>
      <c r="P247" s="305">
        <f>COUNTIFS($I$4:$I226,"Oportunidad de mejora",$B$4:$B226,$B247)</f>
        <v>0</v>
      </c>
      <c r="Q247" s="305">
        <f>COUNTIFS($K$4:$K226,"Si",$B$4:$B226,$B247)</f>
        <v>4</v>
      </c>
      <c r="R247" s="56">
        <f>COUNTIFS($K$4:$K226,"No",$B$4:$B226,$B247)</f>
        <v>0</v>
      </c>
      <c r="T247" s="136"/>
      <c r="U247" s="84"/>
      <c r="V247" s="84"/>
      <c r="W247" s="147"/>
      <c r="X247" s="84"/>
      <c r="Y247" s="84"/>
      <c r="Z247" s="84"/>
      <c r="AA247" s="380"/>
      <c r="AB247" s="136"/>
    </row>
    <row r="248" spans="2:28" ht="25.5" x14ac:dyDescent="0.2">
      <c r="B248" s="189" t="s">
        <v>60</v>
      </c>
      <c r="C248" s="291">
        <f>COUNTIFS($E$4:$E226,$C$238,$B$4:$B226,$B248)</f>
        <v>1</v>
      </c>
      <c r="D248" s="266">
        <f>COUNTIFS($E$4:$E226,$D$238,$B$4:$B226,$B248)</f>
        <v>8</v>
      </c>
      <c r="E248" s="291">
        <f>COUNTIFS($D$4:$D226,"Auditoria",$B$4:$B226,$B248)</f>
        <v>8</v>
      </c>
      <c r="F248" s="291">
        <f>COUNTIFS($D$4:$D226,"Especial",$B$4:$B226,$B248)</f>
        <v>0</v>
      </c>
      <c r="G248" s="291">
        <f>COUNTIFS($D$4:$D226,"Informes",$B$4:$B226,$B248)</f>
        <v>1</v>
      </c>
      <c r="H248" s="256"/>
      <c r="I248" s="291">
        <f>COUNTIFS($D$4:$D226,"Autocontrol",$B$4:$B226,$B248)</f>
        <v>0</v>
      </c>
      <c r="J248" s="291">
        <f t="shared" si="167"/>
        <v>9</v>
      </c>
      <c r="L248" s="189">
        <f>COUNTIFS($J$4:$J226,"Hallazgo Abierto",$B$4:$B226,$B248)</f>
        <v>9</v>
      </c>
      <c r="M248" s="60">
        <f>COUNTIFS($J$4:$J226,"Hallazgo Cerrado",$B$4:$B226,$B248)</f>
        <v>0</v>
      </c>
      <c r="N248" s="142">
        <f>COUNTIFS($I$4:$I226,"No Conformidad",$B$4:$B226,$B248)</f>
        <v>9</v>
      </c>
      <c r="O248" s="305">
        <f>COUNTIFS($I$4:$I226,"Recomendación",$B$4:$B226,$B248)</f>
        <v>0</v>
      </c>
      <c r="P248" s="305">
        <f>COUNTIFS($I$4:$I226,"Oportunidad de mejora",$B$4:$B226,$B248)</f>
        <v>0</v>
      </c>
      <c r="Q248" s="305">
        <f>COUNTIFS($K$4:$K226,"Si",$B$4:$B226,$B248)</f>
        <v>8</v>
      </c>
      <c r="R248" s="56">
        <f>COUNTIFS($K$4:$K226,"No",$B$4:$B226,$B248)</f>
        <v>1</v>
      </c>
      <c r="T248" s="136"/>
      <c r="U248" s="84"/>
      <c r="V248" s="84"/>
      <c r="Z248" s="136"/>
      <c r="AA248" s="216"/>
      <c r="AB248" s="136"/>
    </row>
    <row r="249" spans="2:28" ht="25.5" x14ac:dyDescent="0.2">
      <c r="B249" s="199" t="s">
        <v>331</v>
      </c>
      <c r="C249" s="291">
        <f>COUNTIFS($E$4:$E226,$C$238,$B$4:$B226,$B249)</f>
        <v>0</v>
      </c>
      <c r="D249" s="266">
        <f>COUNTIFS($E$4:$E226,$D$238,$B$4:$B226,$B249)</f>
        <v>19</v>
      </c>
      <c r="E249" s="291">
        <f>COUNTIFS($D$4:$D226,"Auditoria",$B$4:$B226,$B249)</f>
        <v>16</v>
      </c>
      <c r="F249" s="291">
        <f>COUNTIFS($D$4:$D226,"Especial",$B$4:$B226,$B249)</f>
        <v>0</v>
      </c>
      <c r="G249" s="291">
        <f>COUNTIFS($D$4:$D226,"Informes",$B$4:$B226,$B249)</f>
        <v>3</v>
      </c>
      <c r="H249" s="256"/>
      <c r="I249" s="291">
        <f>COUNTIFS($D$4:$D226,"Autocontrol",$B$4:$B226,$B249)</f>
        <v>0</v>
      </c>
      <c r="J249" s="291">
        <f t="shared" si="167"/>
        <v>19</v>
      </c>
      <c r="L249" s="189">
        <f>COUNTIFS($J$4:$J226,"Hallazgo Abierto",$B$4:$B226,$B249)</f>
        <v>12</v>
      </c>
      <c r="M249" s="60">
        <f>COUNTIFS($J$4:$J226,"Hallazgo Cerrado",$B$4:$B226,$B249)</f>
        <v>7</v>
      </c>
      <c r="N249" s="142">
        <f>COUNTIFS($I$4:$I226,"No Conformidad",$B$4:$B226,$B249)</f>
        <v>19</v>
      </c>
      <c r="O249" s="305">
        <f>COUNTIFS($I$4:$I226,"Recomendación",$B$4:$B226,$B249)</f>
        <v>0</v>
      </c>
      <c r="P249" s="305">
        <f>COUNTIFS($I$4:$I226,"Oportunidad de mejora",$B$4:$B226,$B249)</f>
        <v>0</v>
      </c>
      <c r="Q249" s="305">
        <f>COUNTIFS($K$4:$K226,"Si",$B$4:$B226,$B249)</f>
        <v>16</v>
      </c>
      <c r="R249" s="56">
        <f>COUNTIFS($K$4:$K226,"No",$B$4:$B226,$B249)</f>
        <v>3</v>
      </c>
      <c r="T249" s="136"/>
      <c r="U249" s="84"/>
      <c r="V249" s="84"/>
      <c r="Z249" s="84"/>
      <c r="AA249" s="380"/>
      <c r="AB249" s="84"/>
    </row>
    <row r="250" spans="2:28" x14ac:dyDescent="0.2">
      <c r="B250" s="382" t="s">
        <v>58</v>
      </c>
      <c r="C250" s="291">
        <f>COUNTIFS($E$4:$E226,$C$238,$B$4:$B226,$B250)</f>
        <v>0</v>
      </c>
      <c r="D250" s="266">
        <f>COUNTIFS($E$4:$E226,$D$238,$B$4:$B226,$B250)</f>
        <v>5</v>
      </c>
      <c r="E250" s="291">
        <f>COUNTIFS($D$4:$D226,"Auditoria",$B$4:$B226,$B250)</f>
        <v>5</v>
      </c>
      <c r="F250" s="291">
        <f>COUNTIFS($D$4:$D226,"Especial",$B$4:$B226,$B250)</f>
        <v>0</v>
      </c>
      <c r="G250" s="291">
        <f>COUNTIFS($D$4:$D226,"Informes",$B$4:$B226,$B250)</f>
        <v>0</v>
      </c>
      <c r="H250" s="256"/>
      <c r="I250" s="291">
        <f>COUNTIFS($D$4:$D226,"Autocontrol",$B$4:$B226,$B250)</f>
        <v>0</v>
      </c>
      <c r="J250" s="291">
        <f t="shared" si="167"/>
        <v>5</v>
      </c>
      <c r="L250" s="189">
        <f>COUNTIFS($J$4:$J226,"Hallazgo Abierto",$B$4:$B226,$B250)</f>
        <v>5</v>
      </c>
      <c r="M250" s="60">
        <f>COUNTIFS($J$4:$J226,"Hallazgo Cerrado",$B$4:$B226,$B250)</f>
        <v>0</v>
      </c>
      <c r="N250" s="142">
        <f>COUNTIFS($I$4:$I226,"No Conformidad",$B$4:$B226,$B250)</f>
        <v>5</v>
      </c>
      <c r="O250" s="305">
        <f>COUNTIFS($I$4:$I226,"Recomendación",$B$4:$B226,$B250)</f>
        <v>0</v>
      </c>
      <c r="P250" s="305">
        <f>COUNTIFS($I$4:$I226,"Oportunidad de mejora",$B$4:$B226,$B250)</f>
        <v>0</v>
      </c>
      <c r="Q250" s="305">
        <f>COUNTIFS($K$4:$K226,"Si",$B$4:$B226,$B250)</f>
        <v>5</v>
      </c>
      <c r="R250" s="56">
        <f>COUNTIFS($K$4:$K226,"No",$B$4:$B226,$B250)</f>
        <v>0</v>
      </c>
      <c r="T250" s="84"/>
      <c r="U250" s="84"/>
      <c r="V250" s="84"/>
      <c r="Z250" s="84"/>
      <c r="AA250" s="380"/>
      <c r="AB250" s="84"/>
    </row>
    <row r="251" spans="2:28" ht="29.25" thickBot="1" x14ac:dyDescent="0.25">
      <c r="B251" s="383" t="s">
        <v>62</v>
      </c>
      <c r="C251" s="63">
        <f>COUNTIFS($E$4:$E226,$C$238,$B$4:$B226,$B251)</f>
        <v>1</v>
      </c>
      <c r="D251" s="264">
        <f>COUNTIFS($E$4:$E226,$D$238,$B$4:$B226,$B251)</f>
        <v>5</v>
      </c>
      <c r="E251" s="63">
        <f>COUNTIFS($D$4:$D226,"Auditoria",$B$4:$B226,$B251)</f>
        <v>2</v>
      </c>
      <c r="F251" s="63">
        <f>COUNTIFS($D$4:$D226,"Especial",$B$4:$B226,$B251)</f>
        <v>0</v>
      </c>
      <c r="G251" s="63">
        <f>COUNTIFS($D$4:$D226,"Informes",$B$4:$B226,$B251)</f>
        <v>1</v>
      </c>
      <c r="H251" s="257"/>
      <c r="I251" s="63">
        <f>COUNTIFS($D$4:$D226,"Autocontrol",$B$4:$B226,$B251)</f>
        <v>3</v>
      </c>
      <c r="J251" s="291">
        <f t="shared" si="167"/>
        <v>6</v>
      </c>
      <c r="L251" s="190">
        <f>COUNTIFS($J$4:$J226,"Hallazgo Abierto",$B$4:$B226,$B251)</f>
        <v>2</v>
      </c>
      <c r="M251" s="65">
        <f>COUNTIFS($J$4:$J226,"Hallazgo Cerrado",$B$4:$B226,$B251)</f>
        <v>4</v>
      </c>
      <c r="N251" s="96">
        <f>COUNTIFS($I$4:$I226,"No Conformidad",$B$4:$B226,$B251)</f>
        <v>6</v>
      </c>
      <c r="O251" s="63">
        <f>COUNTIFS($I$4:$I226,"Recomendación",$B$4:$B226,$B251)</f>
        <v>0</v>
      </c>
      <c r="P251" s="63">
        <f>COUNTIFS($I$4:$I226,"Oportunidad de mejora",$B$4:$B226,$B251)</f>
        <v>0</v>
      </c>
      <c r="Q251" s="63">
        <f>COUNTIFS($K$4:$K226,"Si",$B$4:$B226,$B251)</f>
        <v>6</v>
      </c>
      <c r="R251" s="65">
        <f>COUNTIFS($K$4:$K226,"No",$B$4:$B226,$B251)</f>
        <v>0</v>
      </c>
      <c r="T251" s="84"/>
      <c r="U251" s="84"/>
      <c r="V251" s="84"/>
      <c r="Z251" s="84"/>
      <c r="AA251" s="380"/>
      <c r="AB251" s="84"/>
    </row>
    <row r="252" spans="2:28" ht="17.25" thickTop="1" thickBot="1" x14ac:dyDescent="0.25">
      <c r="B252" s="373" t="s">
        <v>83</v>
      </c>
      <c r="C252" s="131">
        <f>SUM(C239:C251)</f>
        <v>36</v>
      </c>
      <c r="D252" s="267">
        <f>SUM(D239:D251)</f>
        <v>109</v>
      </c>
      <c r="E252" s="102">
        <f>SUM(E239:E251)</f>
        <v>120</v>
      </c>
      <c r="F252" s="103">
        <f>SUM(F239:F251)</f>
        <v>0</v>
      </c>
      <c r="G252" s="103">
        <f>SUBTOTAL(9,G239:G251)</f>
        <v>21</v>
      </c>
      <c r="H252" s="78"/>
      <c r="I252" s="103">
        <f>SUBTOTAL(9,I239:I251)</f>
        <v>4</v>
      </c>
      <c r="J252" s="140">
        <f>SUM(J239:J251)</f>
        <v>145</v>
      </c>
      <c r="K252" s="373" t="s">
        <v>83</v>
      </c>
      <c r="L252" s="191">
        <f t="shared" ref="L252:R252" si="168">SUM(L239:L251)</f>
        <v>117</v>
      </c>
      <c r="M252" s="144">
        <f t="shared" si="168"/>
        <v>28</v>
      </c>
      <c r="N252" s="141">
        <f t="shared" si="168"/>
        <v>145</v>
      </c>
      <c r="O252" s="78">
        <f t="shared" si="168"/>
        <v>0</v>
      </c>
      <c r="P252" s="78">
        <f t="shared" si="168"/>
        <v>0</v>
      </c>
      <c r="Q252" s="78">
        <f t="shared" si="168"/>
        <v>141</v>
      </c>
      <c r="R252" s="79">
        <f t="shared" si="168"/>
        <v>4</v>
      </c>
      <c r="T252" s="84"/>
      <c r="U252" s="84"/>
      <c r="V252" s="84"/>
      <c r="Z252" s="84"/>
      <c r="AA252" s="380"/>
      <c r="AB252" s="147"/>
    </row>
    <row r="253" spans="2:28" ht="15" thickBot="1" x14ac:dyDescent="0.25">
      <c r="F253" s="327" t="s">
        <v>83</v>
      </c>
      <c r="G253" s="122">
        <f>SUM(E252:I252)</f>
        <v>145</v>
      </c>
      <c r="H253" s="254"/>
      <c r="I253" s="123"/>
      <c r="J253" s="123"/>
      <c r="K253" s="372"/>
      <c r="L253" s="205">
        <f>SUM(L252:M252)</f>
        <v>145</v>
      </c>
      <c r="Q253" s="137"/>
      <c r="R253" s="84"/>
      <c r="S253" s="84"/>
      <c r="Z253" s="380"/>
      <c r="AA253" s="380"/>
      <c r="AB253" s="88"/>
    </row>
    <row r="254" spans="2:28" x14ac:dyDescent="0.2">
      <c r="G254" s="17"/>
      <c r="H254" s="371"/>
      <c r="I254" s="17"/>
      <c r="J254" s="372"/>
      <c r="R254" s="137"/>
      <c r="Z254" s="380"/>
      <c r="AA254" s="380"/>
      <c r="AB254" s="88"/>
    </row>
    <row r="255" spans="2:28" ht="12.75" x14ac:dyDescent="0.2">
      <c r="B255" s="514" t="s">
        <v>145</v>
      </c>
      <c r="C255" s="514"/>
      <c r="D255" s="514"/>
      <c r="E255" s="514"/>
      <c r="F255" s="514"/>
      <c r="G255" s="514"/>
      <c r="H255" s="327"/>
      <c r="I255" s="327"/>
      <c r="J255" s="327"/>
      <c r="K255" s="327"/>
      <c r="L255" s="327"/>
      <c r="Z255" s="380"/>
      <c r="AA255" s="380"/>
      <c r="AB255" s="88"/>
    </row>
    <row r="256" spans="2:28" ht="15" thickBot="1" x14ac:dyDescent="0.25">
      <c r="G256" s="17"/>
      <c r="H256" s="371"/>
      <c r="I256" s="17"/>
      <c r="J256" s="372"/>
      <c r="X256" s="84"/>
      <c r="Y256" s="84"/>
      <c r="Z256" s="380"/>
      <c r="AA256" s="380"/>
      <c r="AB256" s="88"/>
    </row>
    <row r="257" spans="2:28" ht="15.75" customHeight="1" thickBot="1" x14ac:dyDescent="0.25">
      <c r="B257" s="463"/>
      <c r="C257" s="477" t="s">
        <v>0</v>
      </c>
      <c r="D257" s="460" t="s">
        <v>128</v>
      </c>
      <c r="E257" s="461"/>
      <c r="F257" s="461"/>
      <c r="G257" s="462"/>
      <c r="H257" s="384"/>
      <c r="I257" s="385"/>
      <c r="J257" s="470" t="s">
        <v>256</v>
      </c>
      <c r="K257" s="471"/>
      <c r="L257" s="472"/>
      <c r="X257" s="84"/>
      <c r="Y257" s="84"/>
      <c r="Z257" s="380"/>
      <c r="AA257" s="216"/>
      <c r="AB257" s="215"/>
    </row>
    <row r="258" spans="2:28" ht="26.25" thickBot="1" x14ac:dyDescent="0.25">
      <c r="B258" s="463"/>
      <c r="C258" s="478"/>
      <c r="D258" s="268" t="s">
        <v>101</v>
      </c>
      <c r="E258" s="97" t="s">
        <v>47</v>
      </c>
      <c r="F258" s="214" t="s">
        <v>51</v>
      </c>
      <c r="G258" s="213" t="s">
        <v>124</v>
      </c>
      <c r="H258" s="344"/>
      <c r="I258" s="136"/>
      <c r="J258" s="192" t="s">
        <v>125</v>
      </c>
      <c r="K258" s="138" t="s">
        <v>48</v>
      </c>
      <c r="L258" s="139" t="s">
        <v>52</v>
      </c>
      <c r="X258" s="84"/>
      <c r="Y258" s="147"/>
      <c r="Z258" s="380"/>
      <c r="AA258" s="216"/>
      <c r="AB258" s="215"/>
    </row>
    <row r="259" spans="2:28" ht="15" thickTop="1" x14ac:dyDescent="0.2">
      <c r="B259" s="343"/>
      <c r="C259" s="217" t="s">
        <v>46</v>
      </c>
      <c r="D259" s="269">
        <f>COUNTIFS($M$4:M226,"Corrección",$B$4:B226,$C259)</f>
        <v>17</v>
      </c>
      <c r="E259" s="106">
        <f>COUNTIFS($M$4:M226,"Acción Correctiva",$B$4:B226,$C259)</f>
        <v>31</v>
      </c>
      <c r="F259" s="106">
        <f>COUNTIFS($M$4:M226,"Acción Preventiva",$B$4:B226,$C259)</f>
        <v>2</v>
      </c>
      <c r="G259" s="106">
        <f>COUNTIFS($M$4:M226,"Acción Mejora",$B$4:B226,$C259)</f>
        <v>0</v>
      </c>
      <c r="H259" s="344"/>
      <c r="I259" s="136"/>
      <c r="J259" s="217">
        <f>SUM(D259:G259)</f>
        <v>50</v>
      </c>
      <c r="K259" s="106">
        <f>COUNTIFS($R$4:R226,"Abierta",$B$4:B226,$C259)</f>
        <v>33</v>
      </c>
      <c r="L259" s="146">
        <f>COUNTIFS($R$4:R226,"Cerrada",$B$4:B226,$C259)</f>
        <v>17</v>
      </c>
      <c r="X259" s="84"/>
      <c r="Y259" s="84"/>
      <c r="Z259" s="380"/>
      <c r="AA259" s="216"/>
      <c r="AB259" s="215"/>
    </row>
    <row r="260" spans="2:28" x14ac:dyDescent="0.2">
      <c r="B260" s="345"/>
      <c r="C260" s="217" t="s">
        <v>9</v>
      </c>
      <c r="D260" s="269">
        <f>COUNTIFS($M$4:M226,"Corrección",$B$4:B226,$C260)</f>
        <v>5</v>
      </c>
      <c r="E260" s="106">
        <f>COUNTIFS($M$4:M226,"Acción Correctiva",$B$4:B226,$C260)</f>
        <v>7</v>
      </c>
      <c r="F260" s="106">
        <f>COUNTIFS($M$4:M226,"Acción Preventiva",$B$4:B226,$C260)</f>
        <v>5</v>
      </c>
      <c r="G260" s="106">
        <f>COUNTIFS($M$4:M226,"Acción Mejora",$B$4:B226,$C260)</f>
        <v>0</v>
      </c>
      <c r="H260" s="344"/>
      <c r="I260" s="136"/>
      <c r="J260" s="217">
        <f t="shared" ref="J260:J271" si="169">SUM(D260:G260)</f>
        <v>17</v>
      </c>
      <c r="K260" s="106">
        <f>COUNTIFS($R$4:R226,"Abierta",$B$4:B226,$C260)</f>
        <v>17</v>
      </c>
      <c r="L260" s="146">
        <f>COUNTIFS($R$4:R226,"Cerrada",$B$4:B226,$C260)</f>
        <v>0</v>
      </c>
      <c r="X260" s="84"/>
      <c r="Y260" s="84"/>
      <c r="Z260" s="380"/>
      <c r="AA260" s="216"/>
      <c r="AB260" s="215"/>
    </row>
    <row r="261" spans="2:28" ht="38.25" x14ac:dyDescent="0.2">
      <c r="B261" s="346"/>
      <c r="C261" s="217" t="s">
        <v>333</v>
      </c>
      <c r="D261" s="269">
        <f>COUNTIFS($M$4:M226,"Corrección",$B$4:B226,$C261)</f>
        <v>18</v>
      </c>
      <c r="E261" s="106">
        <f>COUNTIFS($M$4:M226,"Acción Correctiva",$B$4:B226,$C261)</f>
        <v>16</v>
      </c>
      <c r="F261" s="106">
        <f>COUNTIFS($M$4:M226,"Acción Preventiva",$B$4:B226,$C261)</f>
        <v>0</v>
      </c>
      <c r="G261" s="106">
        <f>COUNTIFS($M$4:M226,"Acción Mejora",$B$4:B226,$C261)</f>
        <v>0</v>
      </c>
      <c r="H261" s="344"/>
      <c r="I261" s="136"/>
      <c r="J261" s="217">
        <f t="shared" si="169"/>
        <v>34</v>
      </c>
      <c r="K261" s="106">
        <f>COUNTIFS($R$4:R226,"Abierta",$B$4:B226,$C261)</f>
        <v>14</v>
      </c>
      <c r="L261" s="146">
        <f>COUNTIFS($R$4:R226,"Cerrada",$B$4:B226,$C261)</f>
        <v>20</v>
      </c>
      <c r="X261" s="84"/>
      <c r="Y261" s="84"/>
      <c r="Z261" s="380"/>
      <c r="AA261" s="216"/>
      <c r="AB261" s="215"/>
    </row>
    <row r="262" spans="2:28" x14ac:dyDescent="0.2">
      <c r="B262" s="343"/>
      <c r="C262" s="217" t="s">
        <v>2</v>
      </c>
      <c r="D262" s="269">
        <f>COUNTIFS($M$4:M226,"Corrección",$B$4:B226,$C262)</f>
        <v>1</v>
      </c>
      <c r="E262" s="106">
        <f>COUNTIFS($M$4:M226,"Acción Correctiva",$B$4:B226,$C262)</f>
        <v>6</v>
      </c>
      <c r="F262" s="106">
        <f>COUNTIFS($M$4:M226,"Acción Preventiva",$B$4:B226,$C262)</f>
        <v>0</v>
      </c>
      <c r="G262" s="106">
        <f>COUNTIFS($M$4:M226,"Acción Mejora",$B$4:B226,$C262)</f>
        <v>0</v>
      </c>
      <c r="H262" s="344"/>
      <c r="I262" s="136"/>
      <c r="J262" s="218">
        <f t="shared" si="169"/>
        <v>7</v>
      </c>
      <c r="K262" s="106">
        <f>COUNTIFS($R$4:R226,"Abierta",$B$4:B226,$C262)</f>
        <v>7</v>
      </c>
      <c r="L262" s="146">
        <f>COUNTIFS($R$4:R226,"Cerrada",$B$4:B226,$C262)</f>
        <v>0</v>
      </c>
      <c r="X262" s="84"/>
      <c r="Y262" s="84"/>
      <c r="Z262" s="380"/>
      <c r="AA262" s="216"/>
      <c r="AB262" s="215"/>
    </row>
    <row r="263" spans="2:28" x14ac:dyDescent="0.2">
      <c r="B263" s="345"/>
      <c r="C263" s="217" t="s">
        <v>21</v>
      </c>
      <c r="D263" s="269">
        <f>COUNTIFS($M$4:M226,"Corrección",$B$4:B226,$C263)</f>
        <v>0</v>
      </c>
      <c r="E263" s="106">
        <f>COUNTIFS($M$4:M226,"Acción Correctiva",$B$4:B226,$C263)</f>
        <v>15</v>
      </c>
      <c r="F263" s="106">
        <f>COUNTIFS($M$4:M226,"Acción Preventiva",$B$4:B226,$C263)</f>
        <v>0</v>
      </c>
      <c r="G263" s="106">
        <f>COUNTIFS($M$4:M226,"Acción Mejora",$B$4:B226,$C263)</f>
        <v>0</v>
      </c>
      <c r="H263" s="344"/>
      <c r="I263" s="136"/>
      <c r="J263" s="217">
        <f t="shared" si="169"/>
        <v>15</v>
      </c>
      <c r="K263" s="106">
        <f>COUNTIFS($R$4:R226,"Abierta",$B$4:B226,$C263)</f>
        <v>9</v>
      </c>
      <c r="L263" s="146">
        <f>COUNTIFS($R$4:R226,"Cerrada",$B$4:B226,$C263)</f>
        <v>6</v>
      </c>
      <c r="X263" s="84"/>
      <c r="Y263" s="84"/>
      <c r="Z263" s="380"/>
      <c r="AA263" s="216"/>
      <c r="AB263" s="215"/>
    </row>
    <row r="264" spans="2:28" x14ac:dyDescent="0.2">
      <c r="B264" s="343"/>
      <c r="C264" s="217" t="s">
        <v>34</v>
      </c>
      <c r="D264" s="269">
        <f>COUNTIFS($M$4:M226,"Corrección",$B$4:B226,$C264)</f>
        <v>1</v>
      </c>
      <c r="E264" s="106">
        <f>COUNTIFS($M$4:M226,"Acción Correctiva",$B$4:B226,$C264)</f>
        <v>4</v>
      </c>
      <c r="F264" s="106">
        <f>COUNTIFS($M$4:M226,"Acción Preventiva",$B$4:B226,$C264)</f>
        <v>0</v>
      </c>
      <c r="G264" s="106">
        <f>COUNTIFS($M$4:M226,"Acción Mejora",$B$4:B226,$C264)</f>
        <v>0</v>
      </c>
      <c r="H264" s="344"/>
      <c r="I264" s="136"/>
      <c r="J264" s="217">
        <f t="shared" si="169"/>
        <v>5</v>
      </c>
      <c r="K264" s="106">
        <f>COUNTIFS($R$4:R226,"Abierta",$B$4:B226,$C264)</f>
        <v>4</v>
      </c>
      <c r="L264" s="146">
        <f>COUNTIFS($R$4:R226,"Cerrada",$B$4:B226,$C264)</f>
        <v>1</v>
      </c>
      <c r="X264" s="84"/>
      <c r="Y264" s="84"/>
      <c r="Z264" s="380"/>
      <c r="AA264" s="216"/>
      <c r="AB264" s="215"/>
    </row>
    <row r="265" spans="2:28" x14ac:dyDescent="0.2">
      <c r="B265" s="345"/>
      <c r="C265" s="217" t="s">
        <v>33</v>
      </c>
      <c r="D265" s="269">
        <f>COUNTIFS($M$4:M226,"Corrección",$B$4:B226,$C265)</f>
        <v>0</v>
      </c>
      <c r="E265" s="106">
        <f>COUNTIFS($M$4:M226,"Acción Correctiva",$B$4:B226,$C265)</f>
        <v>2</v>
      </c>
      <c r="F265" s="106">
        <f>COUNTIFS($M$4:M226,"Acción Preventiva",$B$4:B226,$C265)</f>
        <v>5</v>
      </c>
      <c r="G265" s="106">
        <f>COUNTIFS($M$4:M226,"Acción Mejora",$B$4:B226,$C265)</f>
        <v>0</v>
      </c>
      <c r="H265" s="344"/>
      <c r="I265" s="136"/>
      <c r="J265" s="217">
        <f t="shared" si="169"/>
        <v>7</v>
      </c>
      <c r="K265" s="106">
        <f>COUNTIFS($R$4:R226,"Abierta",$B$4:B226,$C265)</f>
        <v>7</v>
      </c>
      <c r="L265" s="146">
        <f>COUNTIFS($R$4:R226,"Cerrada",$B$4:B226,$C265)</f>
        <v>0</v>
      </c>
      <c r="X265" s="84"/>
      <c r="Y265" s="84"/>
      <c r="Z265" s="380"/>
      <c r="AA265" s="216"/>
      <c r="AB265" s="215"/>
    </row>
    <row r="266" spans="2:28" x14ac:dyDescent="0.2">
      <c r="B266" s="386"/>
      <c r="C266" s="217" t="s">
        <v>263</v>
      </c>
      <c r="D266" s="269">
        <f>COUNTIFS($M$4:M227,"Corrección",$B$4:B227,$C266)</f>
        <v>4</v>
      </c>
      <c r="E266" s="106">
        <f>COUNTIFS($M$4:M227,"Acción Correctiva",$B$4:B227,$C266)</f>
        <v>8</v>
      </c>
      <c r="F266" s="106">
        <f>COUNTIFS($M$4:M227,"Acción Preventiva",$B$4:B227,$C266)</f>
        <v>0</v>
      </c>
      <c r="G266" s="106">
        <f>COUNTIFS($M$4:M227,"Acción Mejora",$B$4:B227,$C266)</f>
        <v>0</v>
      </c>
      <c r="H266" s="344"/>
      <c r="I266" s="136"/>
      <c r="J266" s="217">
        <f t="shared" si="169"/>
        <v>12</v>
      </c>
      <c r="K266" s="106">
        <f>COUNTIFS($R$4:R227,"Abierta",$B$4:B227,$C266)</f>
        <v>9</v>
      </c>
      <c r="L266" s="146">
        <f>COUNTIFS($R$4:R227,"Cerrada",$B$4:B227,$C266)</f>
        <v>3</v>
      </c>
      <c r="X266" s="84"/>
      <c r="Y266" s="84"/>
      <c r="Z266" s="380"/>
      <c r="AA266" s="216"/>
      <c r="AB266" s="215"/>
    </row>
    <row r="267" spans="2:28" ht="25.5" x14ac:dyDescent="0.2">
      <c r="B267" s="343"/>
      <c r="C267" s="217" t="s">
        <v>59</v>
      </c>
      <c r="D267" s="269">
        <f>COUNTIFS($M$4:M226,"Corrección",$B$4:B226,$C267)</f>
        <v>2</v>
      </c>
      <c r="E267" s="106">
        <f>COUNTIFS($M$4:M226,"Acción Correctiva",$B$4:B226,$C267)</f>
        <v>2</v>
      </c>
      <c r="F267" s="106">
        <f>COUNTIFS($M$4:M226,"Acción Preventiva",$B$4:B226,$C267)</f>
        <v>0</v>
      </c>
      <c r="G267" s="106">
        <f>COUNTIFS($M$4:M226,"Acción Mejora",$B$4:B226,$C267)</f>
        <v>0</v>
      </c>
      <c r="H267" s="344"/>
      <c r="I267" s="136"/>
      <c r="J267" s="217">
        <f t="shared" si="169"/>
        <v>4</v>
      </c>
      <c r="K267" s="106">
        <f>COUNTIFS($R$4:R228,"Abierta",$B$4:B228,$C267)</f>
        <v>4</v>
      </c>
      <c r="L267" s="146">
        <f>COUNTIFS($R$4:R228,"Cerrada",$B$4:B228,$C267)</f>
        <v>0</v>
      </c>
      <c r="X267" s="84"/>
      <c r="Y267" s="84"/>
      <c r="Z267" s="380"/>
      <c r="AA267" s="216"/>
      <c r="AB267" s="215"/>
    </row>
    <row r="268" spans="2:28" ht="25.5" x14ac:dyDescent="0.2">
      <c r="B268" s="346"/>
      <c r="C268" s="217" t="s">
        <v>60</v>
      </c>
      <c r="D268" s="269">
        <f>COUNTIFS($M$4:M226,"Corrección",$B$4:B226,$C268)</f>
        <v>5</v>
      </c>
      <c r="E268" s="106">
        <f>COUNTIFS($M$4:M226,"Acción Correctiva",$B$4:B226,$C268)</f>
        <v>12</v>
      </c>
      <c r="F268" s="106">
        <f>COUNTIFS($M$4:M226,"Acción Preventiva",$B$4:B226,$C268)</f>
        <v>0</v>
      </c>
      <c r="G268" s="106">
        <f>COUNTIFS($M$4:M226,"Acción Mejora",$B$4:B226,$C268)</f>
        <v>0</v>
      </c>
      <c r="H268" s="344"/>
      <c r="I268" s="136"/>
      <c r="J268" s="217">
        <f t="shared" si="169"/>
        <v>17</v>
      </c>
      <c r="K268" s="106">
        <f>COUNTIFS($R$4:R229,"Abierta",$B$4:B229,$C268)</f>
        <v>17</v>
      </c>
      <c r="L268" s="146">
        <f>COUNTIFS($R$4:R229,"Cerrada",$B$4:B229,$C268)</f>
        <v>0</v>
      </c>
      <c r="X268" s="84"/>
      <c r="Y268" s="84"/>
      <c r="Z268" s="380"/>
      <c r="AA268" s="216"/>
      <c r="AB268" s="215"/>
    </row>
    <row r="269" spans="2:28" ht="25.5" x14ac:dyDescent="0.2">
      <c r="B269" s="346"/>
      <c r="C269" s="217" t="s">
        <v>331</v>
      </c>
      <c r="D269" s="269">
        <f>COUNTIFS($M$4:M226,"Corrección",$B$4:B226,$C269)</f>
        <v>8</v>
      </c>
      <c r="E269" s="106">
        <f>COUNTIFS($M$4:M226,"Acción Correctiva",$B$4:B226,$C269)</f>
        <v>12</v>
      </c>
      <c r="F269" s="106">
        <f>COUNTIFS($M$4:M226,"Acción Preventiva",$B$4:B226,$C269)</f>
        <v>0</v>
      </c>
      <c r="G269" s="106">
        <f>COUNTIFS($M$4:M226,"Acción Mejora",$B$4:B226,$C269)</f>
        <v>0</v>
      </c>
      <c r="H269" s="344"/>
      <c r="I269" s="136"/>
      <c r="J269" s="217">
        <f t="shared" si="169"/>
        <v>20</v>
      </c>
      <c r="K269" s="106">
        <f>COUNTIFS($R$4:R230,"Abierta",$B$4:B230,$C269)</f>
        <v>11</v>
      </c>
      <c r="L269" s="146">
        <f>COUNTIFS($R$4:R230,"Cerrada",$B$4:B230,$C269)</f>
        <v>9</v>
      </c>
      <c r="X269" s="84"/>
      <c r="Y269" s="84"/>
      <c r="Z269" s="380"/>
      <c r="AA269" s="216"/>
      <c r="AB269" s="215"/>
    </row>
    <row r="270" spans="2:28" x14ac:dyDescent="0.2">
      <c r="B270" s="386"/>
      <c r="C270" s="217" t="s">
        <v>58</v>
      </c>
      <c r="D270" s="269">
        <f>COUNTIFS($M$4:M226,"Corrección",$B$4:B226,$C270)</f>
        <v>5</v>
      </c>
      <c r="E270" s="106">
        <f>COUNTIFS($M$4:M226,"Acción Correctiva",$B$4:B226,$C270)</f>
        <v>7</v>
      </c>
      <c r="F270" s="106">
        <f>COUNTIFS($M$4:M226,"Acción Preventiva",$B$4:B226,$C270)</f>
        <v>0</v>
      </c>
      <c r="G270" s="106">
        <f>COUNTIFS($M$4:M226,"Acción Mejora",$B$4:B226,$C270)</f>
        <v>0</v>
      </c>
      <c r="H270" s="344"/>
      <c r="I270" s="136"/>
      <c r="J270" s="217">
        <f t="shared" si="169"/>
        <v>12</v>
      </c>
      <c r="K270" s="106">
        <f>COUNTIFS($R$4:R231,"Abierta",$B$4:B231,$C270)</f>
        <v>12</v>
      </c>
      <c r="L270" s="146">
        <f>COUNTIFS($R$4:R231,"Cerrada",$B$4:B231,$C270)</f>
        <v>0</v>
      </c>
      <c r="X270" s="84"/>
      <c r="Y270" s="84"/>
      <c r="Z270" s="380"/>
      <c r="AA270" s="216"/>
      <c r="AB270" s="215"/>
    </row>
    <row r="271" spans="2:28" ht="15" thickBot="1" x14ac:dyDescent="0.25">
      <c r="B271" s="343"/>
      <c r="C271" s="347" t="s">
        <v>62</v>
      </c>
      <c r="D271" s="269">
        <f>COUNTIFS($M$4:M226,"Corrección",$B$4:B226,$C271)</f>
        <v>2</v>
      </c>
      <c r="E271" s="116">
        <f>COUNTIFS($M$4:M226,"Acción Correctiva",$B$4:B226,$C271)</f>
        <v>9</v>
      </c>
      <c r="F271" s="116">
        <f>COUNTIFS($M$4:M226,"Acción Preventiva",$B$4:B226,$C271)</f>
        <v>0</v>
      </c>
      <c r="G271" s="116">
        <f>COUNTIFS($M$4:M226,"Acción Mejora",$B$4:B226,$C271)</f>
        <v>0</v>
      </c>
      <c r="H271" s="344"/>
      <c r="I271" s="136"/>
      <c r="J271" s="220">
        <f t="shared" si="169"/>
        <v>11</v>
      </c>
      <c r="K271" s="116">
        <f>COUNTIFS($R$4:R232,"Abierta",$B$4:B232,$C271)</f>
        <v>4</v>
      </c>
      <c r="L271" s="219">
        <f>COUNTIFS($R$4:R232,"Cerrada",$B$4:B232,$C271)</f>
        <v>7</v>
      </c>
      <c r="X271" s="84"/>
      <c r="Y271" s="84"/>
      <c r="Z271" s="380"/>
      <c r="AA271" s="216"/>
      <c r="AB271" s="215"/>
    </row>
    <row r="272" spans="2:28" ht="17.25" thickTop="1" thickBot="1" x14ac:dyDescent="0.25">
      <c r="B272" s="84"/>
      <c r="C272" s="387" t="s">
        <v>83</v>
      </c>
      <c r="D272" s="274">
        <f>SUM(D259:D271)</f>
        <v>68</v>
      </c>
      <c r="E272" s="275">
        <f>SUM(E259:E271)</f>
        <v>131</v>
      </c>
      <c r="F272" s="275">
        <f>SUM(F259:F271)</f>
        <v>12</v>
      </c>
      <c r="G272" s="275">
        <f>SUM(G259:G271)</f>
        <v>0</v>
      </c>
      <c r="H272" s="371"/>
      <c r="I272" s="17"/>
      <c r="J272" s="193">
        <f>SUM(J259:J271)</f>
        <v>211</v>
      </c>
      <c r="K272" s="145">
        <f>SUM(K259:K271)</f>
        <v>148</v>
      </c>
      <c r="L272" s="145">
        <f>SUM(L259:L271)</f>
        <v>63</v>
      </c>
      <c r="X272" s="84"/>
      <c r="Y272" s="147"/>
      <c r="Z272" s="380"/>
      <c r="AA272" s="216"/>
      <c r="AB272" s="215"/>
    </row>
    <row r="273" spans="1:28" ht="15" thickBot="1" x14ac:dyDescent="0.25">
      <c r="B273" s="84"/>
      <c r="F273" s="17" t="s">
        <v>193</v>
      </c>
      <c r="G273" s="157">
        <f>SUM(D272:G272)</f>
        <v>211</v>
      </c>
      <c r="H273" s="371"/>
      <c r="I273" s="17"/>
      <c r="J273" s="372"/>
      <c r="X273" s="84"/>
      <c r="Y273" s="84"/>
      <c r="Z273" s="380"/>
      <c r="AA273" s="216"/>
      <c r="AB273" s="215"/>
    </row>
    <row r="274" spans="1:28" x14ac:dyDescent="0.2">
      <c r="G274" s="17"/>
      <c r="H274" s="388"/>
      <c r="I274" s="17"/>
      <c r="J274" s="372"/>
      <c r="X274" s="84"/>
      <c r="Y274" s="84"/>
      <c r="Z274" s="380"/>
      <c r="AA274" s="216"/>
      <c r="AB274" s="215"/>
    </row>
    <row r="275" spans="1:28" x14ac:dyDescent="0.2">
      <c r="G275" s="17"/>
      <c r="H275" s="371"/>
      <c r="I275" s="17"/>
      <c r="J275" s="372"/>
      <c r="X275" s="84"/>
      <c r="Y275" s="84"/>
      <c r="Z275" s="380"/>
      <c r="AA275" s="216"/>
      <c r="AB275" s="215"/>
    </row>
    <row r="276" spans="1:28" x14ac:dyDescent="0.2">
      <c r="G276" s="17"/>
      <c r="H276" s="371"/>
      <c r="I276" s="17"/>
      <c r="J276" s="372"/>
      <c r="X276" s="84"/>
      <c r="Y276" s="84"/>
      <c r="Z276" s="380"/>
      <c r="AA276" s="216"/>
      <c r="AB276" s="215"/>
    </row>
    <row r="277" spans="1:28" x14ac:dyDescent="0.2">
      <c r="G277" s="17"/>
      <c r="H277" s="371"/>
      <c r="I277" s="17"/>
      <c r="J277" s="372"/>
      <c r="X277" s="84"/>
      <c r="Y277" s="84"/>
      <c r="Z277" s="380"/>
      <c r="AA277" s="216"/>
      <c r="AB277" s="215"/>
    </row>
    <row r="278" spans="1:28" x14ac:dyDescent="0.2">
      <c r="A278" s="17" t="s">
        <v>437</v>
      </c>
      <c r="G278" s="17"/>
      <c r="H278" s="371"/>
      <c r="I278" s="17"/>
      <c r="J278" s="372"/>
      <c r="Z278" s="216"/>
      <c r="AA278" s="216"/>
      <c r="AB278" s="215"/>
    </row>
    <row r="279" spans="1:28" x14ac:dyDescent="0.2">
      <c r="G279" s="17"/>
      <c r="H279" s="371"/>
      <c r="I279" s="17"/>
      <c r="J279" s="372"/>
      <c r="Z279" s="216"/>
      <c r="AA279" s="216"/>
      <c r="AB279" s="215"/>
    </row>
    <row r="280" spans="1:28" x14ac:dyDescent="0.2">
      <c r="B280" s="17" t="s">
        <v>504</v>
      </c>
      <c r="G280" s="17"/>
      <c r="H280" s="371"/>
      <c r="I280" s="17"/>
      <c r="J280" s="372"/>
      <c r="Z280" s="216"/>
      <c r="AA280" s="216"/>
      <c r="AB280" s="215"/>
    </row>
    <row r="281" spans="1:28" x14ac:dyDescent="0.2">
      <c r="G281" s="17"/>
      <c r="H281" s="371"/>
      <c r="I281" s="17"/>
      <c r="J281" s="372"/>
      <c r="Z281" s="216"/>
      <c r="AA281" s="216"/>
      <c r="AB281" s="215"/>
    </row>
  </sheetData>
  <sheetProtection password="D99B" sheet="1" objects="1" scenarios="1"/>
  <autoFilter ref="A3:Y253"/>
  <mergeCells count="239">
    <mergeCell ref="A172:A174"/>
    <mergeCell ref="H212:H213"/>
    <mergeCell ref="A212:A213"/>
    <mergeCell ref="B255:G255"/>
    <mergeCell ref="E186:E187"/>
    <mergeCell ref="I186:I187"/>
    <mergeCell ref="J186:J187"/>
    <mergeCell ref="A159:A160"/>
    <mergeCell ref="A161:A162"/>
    <mergeCell ref="A163:A164"/>
    <mergeCell ref="A165:A166"/>
    <mergeCell ref="A167:A168"/>
    <mergeCell ref="H167:H168"/>
    <mergeCell ref="E237:I237"/>
    <mergeCell ref="I107:I109"/>
    <mergeCell ref="E85:E86"/>
    <mergeCell ref="I85:I86"/>
    <mergeCell ref="E107:E109"/>
    <mergeCell ref="E110:E115"/>
    <mergeCell ref="I118:I119"/>
    <mergeCell ref="J118:J119"/>
    <mergeCell ref="H103:H106"/>
    <mergeCell ref="H110:H114"/>
    <mergeCell ref="E118:E119"/>
    <mergeCell ref="I99:I100"/>
    <mergeCell ref="I80:I81"/>
    <mergeCell ref="J80:J81"/>
    <mergeCell ref="K80:K81"/>
    <mergeCell ref="E54:E55"/>
    <mergeCell ref="K121:K124"/>
    <mergeCell ref="D99:D100"/>
    <mergeCell ref="D76:D77"/>
    <mergeCell ref="E76:E77"/>
    <mergeCell ref="I76:I77"/>
    <mergeCell ref="D94:D97"/>
    <mergeCell ref="E94:E97"/>
    <mergeCell ref="J107:J109"/>
    <mergeCell ref="D87:D89"/>
    <mergeCell ref="E87:E89"/>
    <mergeCell ref="D110:D115"/>
    <mergeCell ref="D107:D109"/>
    <mergeCell ref="K107:K109"/>
    <mergeCell ref="K118:K119"/>
    <mergeCell ref="K87:K89"/>
    <mergeCell ref="I94:I97"/>
    <mergeCell ref="I103:I106"/>
    <mergeCell ref="E99:E100"/>
    <mergeCell ref="E103:E106"/>
    <mergeCell ref="J110:J115"/>
    <mergeCell ref="K4:K6"/>
    <mergeCell ref="D4:D6"/>
    <mergeCell ref="I4:I6"/>
    <mergeCell ref="K12:K17"/>
    <mergeCell ref="E4:E6"/>
    <mergeCell ref="E12:E17"/>
    <mergeCell ref="E50:E53"/>
    <mergeCell ref="E28:E31"/>
    <mergeCell ref="E56:E59"/>
    <mergeCell ref="D54:D55"/>
    <mergeCell ref="D12:D17"/>
    <mergeCell ref="D32:D35"/>
    <mergeCell ref="E32:E35"/>
    <mergeCell ref="I32:I35"/>
    <mergeCell ref="J32:J35"/>
    <mergeCell ref="K32:K35"/>
    <mergeCell ref="H18:H19"/>
    <mergeCell ref="X127:X129"/>
    <mergeCell ref="V127:V129"/>
    <mergeCell ref="V125:V126"/>
    <mergeCell ref="V121:V124"/>
    <mergeCell ref="X125:X126"/>
    <mergeCell ref="X121:X124"/>
    <mergeCell ref="X107:X109"/>
    <mergeCell ref="X110:X115"/>
    <mergeCell ref="X118:X119"/>
    <mergeCell ref="X70:X71"/>
    <mergeCell ref="I56:I59"/>
    <mergeCell ref="J56:J59"/>
    <mergeCell ref="I60:I64"/>
    <mergeCell ref="I54:I55"/>
    <mergeCell ref="J54:J55"/>
    <mergeCell ref="I12:I17"/>
    <mergeCell ref="J12:J17"/>
    <mergeCell ref="I28:I31"/>
    <mergeCell ref="I50:I53"/>
    <mergeCell ref="J50:J53"/>
    <mergeCell ref="K54:K55"/>
    <mergeCell ref="X4:X6"/>
    <mergeCell ref="X28:X31"/>
    <mergeCell ref="X50:X53"/>
    <mergeCell ref="X54:X55"/>
    <mergeCell ref="X56:X59"/>
    <mergeCell ref="X60:X64"/>
    <mergeCell ref="X68:X69"/>
    <mergeCell ref="J4:J6"/>
    <mergeCell ref="X103:X106"/>
    <mergeCell ref="X74:X75"/>
    <mergeCell ref="X76:X77"/>
    <mergeCell ref="X94:X97"/>
    <mergeCell ref="J76:J77"/>
    <mergeCell ref="K76:K77"/>
    <mergeCell ref="J94:J97"/>
    <mergeCell ref="X99:X100"/>
    <mergeCell ref="K103:K106"/>
    <mergeCell ref="K50:K53"/>
    <mergeCell ref="T28:T31"/>
    <mergeCell ref="J103:J106"/>
    <mergeCell ref="J99:J100"/>
    <mergeCell ref="X12:X17"/>
    <mergeCell ref="J28:J31"/>
    <mergeCell ref="K28:K31"/>
    <mergeCell ref="K94:K97"/>
    <mergeCell ref="E70:E71"/>
    <mergeCell ref="D103:D106"/>
    <mergeCell ref="D74:D75"/>
    <mergeCell ref="D85:D86"/>
    <mergeCell ref="D118:D119"/>
    <mergeCell ref="K110:K115"/>
    <mergeCell ref="K56:K59"/>
    <mergeCell ref="K60:K64"/>
    <mergeCell ref="J68:J69"/>
    <mergeCell ref="I68:I69"/>
    <mergeCell ref="K99:K100"/>
    <mergeCell ref="J85:J86"/>
    <mergeCell ref="K85:K86"/>
    <mergeCell ref="I87:I89"/>
    <mergeCell ref="J87:J89"/>
    <mergeCell ref="I110:I115"/>
    <mergeCell ref="D60:D64"/>
    <mergeCell ref="D80:D81"/>
    <mergeCell ref="D68:D69"/>
    <mergeCell ref="K68:K69"/>
    <mergeCell ref="D70:D71"/>
    <mergeCell ref="K70:K71"/>
    <mergeCell ref="E80:E81"/>
    <mergeCell ref="V142:V143"/>
    <mergeCell ref="N237:P237"/>
    <mergeCell ref="D149:D154"/>
    <mergeCell ref="E149:E154"/>
    <mergeCell ref="D186:D187"/>
    <mergeCell ref="D147:D148"/>
    <mergeCell ref="E147:E148"/>
    <mergeCell ref="I147:I148"/>
    <mergeCell ref="J147:J148"/>
    <mergeCell ref="K147:K148"/>
    <mergeCell ref="Q229:W229"/>
    <mergeCell ref="K186:K187"/>
    <mergeCell ref="H159:H160"/>
    <mergeCell ref="H161:H162"/>
    <mergeCell ref="H163:H164"/>
    <mergeCell ref="H165:H166"/>
    <mergeCell ref="H172:H174"/>
    <mergeCell ref="Q237:R237"/>
    <mergeCell ref="I192:I193"/>
    <mergeCell ref="J192:J193"/>
    <mergeCell ref="K192:K193"/>
    <mergeCell ref="D192:D193"/>
    <mergeCell ref="U142:U143"/>
    <mergeCell ref="K142:K143"/>
    <mergeCell ref="E121:E124"/>
    <mergeCell ref="I121:I124"/>
    <mergeCell ref="J121:J124"/>
    <mergeCell ref="D121:D124"/>
    <mergeCell ref="E127:E129"/>
    <mergeCell ref="I127:I129"/>
    <mergeCell ref="C230:D230"/>
    <mergeCell ref="B237:B238"/>
    <mergeCell ref="E230:F230"/>
    <mergeCell ref="C229:L229"/>
    <mergeCell ref="I149:I154"/>
    <mergeCell ref="J149:J154"/>
    <mergeCell ref="K149:K154"/>
    <mergeCell ref="K125:K126"/>
    <mergeCell ref="E194:E196"/>
    <mergeCell ref="I194:I196"/>
    <mergeCell ref="L237:M237"/>
    <mergeCell ref="D184:D185"/>
    <mergeCell ref="E184:E185"/>
    <mergeCell ref="I184:I185"/>
    <mergeCell ref="J184:J185"/>
    <mergeCell ref="K184:K185"/>
    <mergeCell ref="J194:J196"/>
    <mergeCell ref="E192:E193"/>
    <mergeCell ref="I125:I126"/>
    <mergeCell ref="J125:J126"/>
    <mergeCell ref="J127:J129"/>
    <mergeCell ref="D125:D126"/>
    <mergeCell ref="E125:E126"/>
    <mergeCell ref="D127:D129"/>
    <mergeCell ref="K127:K129"/>
    <mergeCell ref="J142:J143"/>
    <mergeCell ref="D142:D143"/>
    <mergeCell ref="E142:E143"/>
    <mergeCell ref="I142:I143"/>
    <mergeCell ref="I74:I75"/>
    <mergeCell ref="J74:J75"/>
    <mergeCell ref="K74:K75"/>
    <mergeCell ref="I70:I71"/>
    <mergeCell ref="J70:J71"/>
    <mergeCell ref="H60:H64"/>
    <mergeCell ref="D56:D59"/>
    <mergeCell ref="J60:J64"/>
    <mergeCell ref="E60:E64"/>
    <mergeCell ref="E74:E75"/>
    <mergeCell ref="E68:E69"/>
    <mergeCell ref="D257:G257"/>
    <mergeCell ref="B257:B258"/>
    <mergeCell ref="D177:D179"/>
    <mergeCell ref="E177:E179"/>
    <mergeCell ref="I177:I179"/>
    <mergeCell ref="J177:J179"/>
    <mergeCell ref="K177:K179"/>
    <mergeCell ref="D190:D191"/>
    <mergeCell ref="E190:E191"/>
    <mergeCell ref="I190:I191"/>
    <mergeCell ref="J190:J191"/>
    <mergeCell ref="K190:K191"/>
    <mergeCell ref="D194:D196"/>
    <mergeCell ref="K194:K196"/>
    <mergeCell ref="D188:D189"/>
    <mergeCell ref="E188:E189"/>
    <mergeCell ref="I188:I189"/>
    <mergeCell ref="J188:J189"/>
    <mergeCell ref="K188:K189"/>
    <mergeCell ref="J257:L257"/>
    <mergeCell ref="J237:J238"/>
    <mergeCell ref="C237:D237"/>
    <mergeCell ref="C257:C258"/>
    <mergeCell ref="A18:A19"/>
    <mergeCell ref="H28:H31"/>
    <mergeCell ref="A28:A31"/>
    <mergeCell ref="H33:H35"/>
    <mergeCell ref="H50:H53"/>
    <mergeCell ref="H4:H6"/>
    <mergeCell ref="A4:A6"/>
    <mergeCell ref="H12:H17"/>
    <mergeCell ref="A12:A17"/>
    <mergeCell ref="D50:D53"/>
    <mergeCell ref="D28:D31"/>
  </mergeCells>
  <conditionalFormatting sqref="K125:N125 L126:N126 K121 K130:K134 L121:N124 L140:M143 K145:M146 K135:N137 K149 K181:M181 K140:K142 H49 K54 H10 K70 K60:M60 K101:N102 K103 K107 K110 M82:N82 K87:N87 H20:H21 H28 H36:H41 K32 P50:P53 L61:M70 N60:N70 L77:M77 L93:N97 T117 L80:L82 L71:N71 K72:N74 L75:N75 K98:N99 L119:M119 K90:N94 L100:N100 M103:N107 L103:L109 M108:M109 L110:M115 N108:N116 T38 T46:T47 N118:N119 K116:M118 L83:N83 L88:N89 L86:N86 T120 K56 K65:K68 K84:N85 K80 K78:M79 K18:K28 T60:T62 T99 T101 T103:T104 T107:T111 T113 K139:N139 K138 Q32:Q41 K226:O226 H226 Q226 K36:K50 M80:M81 K177:N177 L178:N179 K180:O180 L202:N202 D258:G258 Q202 Q43:Q44 L45:N59 Q46:Q68 T64 H54:H60 H107:H110 H172:H173 K174:M174 O174 H212 K3:K5 Q4:Q7 L4:O8 Q11:Q30 L9:N43 K7:K12 K76:M76 N76:N81 K82:K83 H65:H103 K120:N120 Q73:Q120 M127:N134 Q127:Q136 K127 F140:F144 K144:N144 H115:H144 K147 O169 K155:K171 L147:M173 H175:H177 K175:O176 K182:O182 O190:O191 H197 K197:O199 Q197:Q199 H199:H202 K205:O207 Q205:Q207 H205:H207 Q209 H209 K209 K212:K213 Q212:Q222 L214:O222 K183:K184 K186 L183:O187 H180:H188 Q139:Q189 H7 H4 H12">
    <cfRule type="cellIs" dxfId="529" priority="8524" operator="equal">
      <formula>"Plan Mejoramiento"</formula>
    </cfRule>
    <cfRule type="cellIs" dxfId="528" priority="8525" operator="equal">
      <formula>"Acción Preventiva"</formula>
    </cfRule>
    <cfRule type="cellIs" dxfId="527" priority="8526" operator="equal">
      <formula>"Acción Correctiva"</formula>
    </cfRule>
  </conditionalFormatting>
  <conditionalFormatting sqref="K258:L258 P231:P232 T38 T46:T47 Q4:R7 T60:T62 T99 T101 T103:T104 T107:T111 T113 R226 R202 R45:R68 T64 R8:R43 R70:R84 R87:R124 R127:R137 R197:R199 R205:R207 R209 R212:R222 R139:R189">
    <cfRule type="cellIs" dxfId="526" priority="8520" operator="equal">
      <formula>"Cerrada"</formula>
    </cfRule>
    <cfRule type="cellIs" dxfId="525" priority="8521" operator="equal">
      <formula>"Abierta"</formula>
    </cfRule>
  </conditionalFormatting>
  <conditionalFormatting sqref="K125 M140:M143 K149 M181 H49 K54 H10 L61:M64 K70 K72:K74 K60:M60 K101:K103 K107 K110 K87 H20:H21 H28 H36:H41 K32 P50:P53 T117 L65:L69 N60:N74 M65:M74 K98:K99 N108:N116 T38 T46:T47 N118:N120 M108:M120 T120 K56 K65:K68 K90:K94 K116:K118 K78:K80 K18:K28 T60:T62 T99 T101 T103:T104 T107:T111 T113 Q32:Q41 K226 H226 M226:O226 Q226 K36:K50 M177:N179 M180:O180 M202:N202 D258:G258 Q202 Q43:Q44 L45:N59 Q46:Q68 T64 H54:H60 H107:H110 H172:H173 O174 H212 K3:K5 Q4:Q7 L4:O8 Q11:Q30 L9:N43 K7:K12 K76 K82:K85 M75:N107 H65:H103 Q73:Q120 K120:K121 Q127:Q136 K127 M121:N137 K130:K142 M139:N139 F140:F144 M144:N144 H115:H144 K144:K147 O169 K155:K171 M145:M174 M175:O176 K174:K177 H175:H177 O190:O191 H197 M197:O199 K197:K199 Q197:Q199 H199:H202 M205:O207 Q205:Q207 H205:H207 K205:K207 Q209 M209:O209 H209 K209 K212:K213 Q212:Q222 M212:O222 K180:K184 K186 M182:O187 H180:H188 Q139:Q189 H7 H4 H12">
    <cfRule type="cellIs" dxfId="524" priority="8519" operator="equal">
      <formula>"Corrección"</formula>
    </cfRule>
  </conditionalFormatting>
  <conditionalFormatting sqref="J125 L238:M238 AB238 J149 J54 J70 J72:J74 J101:J103 J107 J110 J87 J32 J60 J98:J99 J56 J65:J68 J90:J94 J116:J118 J78:J80 J226 J36:J51 J202 J4:J28 J76 J82:J85 J120:J121 J127 J130:J142 J144:J147 J155:J171 J174:J177 J197:J199 J205:J207 J209 J212:J213 J180:J184 J186">
    <cfRule type="cellIs" dxfId="523" priority="8407" operator="equal">
      <formula>"Hallazgo Cerrado"</formula>
    </cfRule>
    <cfRule type="cellIs" dxfId="522" priority="8408" operator="equal">
      <formula>"Hallazgo Abierto"</formula>
    </cfRule>
  </conditionalFormatting>
  <conditionalFormatting sqref="E125 C238:D238 E149 E70 E72:E74 E101:E103 E107 E110 E54 E60 E87 E32 E98:E99 E18:E28 E56 E65:E68 E90:E94 E116:E118 E78:E80 E226 E36:E50 E4 E7:E12 E76 E82:E85 E120:E121 E127 E130:E142 E144:E147 E155:E171 E174:E177 E197:E199 E205:E207 E209 E212:E213 E180:E184 E186">
    <cfRule type="cellIs" dxfId="521" priority="8516" operator="equal">
      <formula>"Institucional"</formula>
    </cfRule>
    <cfRule type="cellIs" dxfId="520" priority="8517" operator="equal">
      <formula>"Proceso"</formula>
    </cfRule>
  </conditionalFormatting>
  <conditionalFormatting sqref="AB238 X226 X130:X131 X135 J142 X24:X30 X32 X78 H7 J98:K98 X54 X22 X70 X72:X74 X60 X66:X68 X18:X19 X101:X103 X107 X110 X93 X98:X99 X116:X118 J91:K94 X36:X50 X91 X4:X5 X8:X12 X83:X85 X121 X140:X144">
    <cfRule type="cellIs" dxfId="519" priority="6650" operator="equal">
      <formula>"Recomendación"</formula>
    </cfRule>
    <cfRule type="cellIs" dxfId="518" priority="6651" operator="equal">
      <formula>"No Conformidad"</formula>
    </cfRule>
  </conditionalFormatting>
  <conditionalFormatting sqref="V142 V4:V6 V8:V32 V36:V80 V82:V85 V91:V121 V130:V139 V144:V177 V197:V207 V209 V212:V222 V180:V187">
    <cfRule type="cellIs" dxfId="517" priority="4696" operator="equal">
      <formula>"No ha formulado PM"</formula>
    </cfRule>
    <cfRule type="cellIs" dxfId="516" priority="4697" operator="equal">
      <formula>"Oportuno"</formula>
    </cfRule>
    <cfRule type="cellIs" dxfId="515" priority="4699" operator="equal">
      <formula>"Inoportuno"</formula>
    </cfRule>
  </conditionalFormatting>
  <conditionalFormatting sqref="H233 C233 P238 I149 I32 I98:I118 I78:I80 I36:I56 I202 I4:I28 I60:I76 I82:I94 I120:I125 I127 I130:I147 I155:I171 I174:I177 I197:I199 I205:I207 I209 I212:I213 I180:I184 I186">
    <cfRule type="cellIs" dxfId="514" priority="2775" operator="equal">
      <formula>"Oportunidad de mejora"</formula>
    </cfRule>
    <cfRule type="cellIs" dxfId="513" priority="3029" operator="equal">
      <formula>"Recomendación"</formula>
    </cfRule>
    <cfRule type="cellIs" dxfId="512" priority="3030" operator="equal">
      <formula>"No Conformidad"</formula>
    </cfRule>
  </conditionalFormatting>
  <conditionalFormatting sqref="T40">
    <cfRule type="cellIs" dxfId="511" priority="1014" operator="equal">
      <formula>"Plan Mejoramiento"</formula>
    </cfRule>
    <cfRule type="cellIs" dxfId="510" priority="1015" operator="equal">
      <formula>"Acción Preventiva"</formula>
    </cfRule>
    <cfRule type="cellIs" dxfId="509" priority="1016" operator="equal">
      <formula>"Acción Correctiva"</formula>
    </cfRule>
  </conditionalFormatting>
  <conditionalFormatting sqref="T40">
    <cfRule type="cellIs" dxfId="508" priority="1013" operator="equal">
      <formula>"Corrección"</formula>
    </cfRule>
  </conditionalFormatting>
  <conditionalFormatting sqref="L138:N138">
    <cfRule type="cellIs" dxfId="507" priority="1010" operator="equal">
      <formula>"Plan Mejoramiento"</formula>
    </cfRule>
    <cfRule type="cellIs" dxfId="506" priority="1011" operator="equal">
      <formula>"Acción Preventiva"</formula>
    </cfRule>
    <cfRule type="cellIs" dxfId="505" priority="1012" operator="equal">
      <formula>"Acción Correctiva"</formula>
    </cfRule>
  </conditionalFormatting>
  <conditionalFormatting sqref="R138">
    <cfRule type="cellIs" dxfId="504" priority="1008" operator="equal">
      <formula>"Cerrada"</formula>
    </cfRule>
    <cfRule type="cellIs" dxfId="503" priority="1009" operator="equal">
      <formula>"Abierta"</formula>
    </cfRule>
  </conditionalFormatting>
  <conditionalFormatting sqref="M138:N138">
    <cfRule type="cellIs" dxfId="502" priority="1007" operator="equal">
      <formula>"Corrección"</formula>
    </cfRule>
  </conditionalFormatting>
  <conditionalFormatting sqref="T28">
    <cfRule type="cellIs" dxfId="501" priority="989" operator="equal">
      <formula>"Plan Mejoramiento"</formula>
    </cfRule>
    <cfRule type="cellIs" dxfId="500" priority="990" operator="equal">
      <formula>"Acción Preventiva"</formula>
    </cfRule>
    <cfRule type="cellIs" dxfId="499" priority="991" operator="equal">
      <formula>"Acción Correctiva"</formula>
    </cfRule>
  </conditionalFormatting>
  <conditionalFormatting sqref="T28">
    <cfRule type="cellIs" dxfId="498" priority="987" operator="equal">
      <formula>"Cerrada"</formula>
    </cfRule>
    <cfRule type="cellIs" dxfId="497" priority="988" operator="equal">
      <formula>"Abierta"</formula>
    </cfRule>
  </conditionalFormatting>
  <conditionalFormatting sqref="T28">
    <cfRule type="cellIs" dxfId="496" priority="986" operator="equal">
      <formula>"Corrección"</formula>
    </cfRule>
  </conditionalFormatting>
  <conditionalFormatting sqref="Q121">
    <cfRule type="cellIs" dxfId="495" priority="979" operator="equal">
      <formula>"Plan Mejoramiento"</formula>
    </cfRule>
    <cfRule type="cellIs" dxfId="494" priority="980" operator="equal">
      <formula>"Acción Preventiva"</formula>
    </cfRule>
    <cfRule type="cellIs" dxfId="493" priority="981" operator="equal">
      <formula>"Acción Correctiva"</formula>
    </cfRule>
  </conditionalFormatting>
  <conditionalFormatting sqref="Q121">
    <cfRule type="cellIs" dxfId="492" priority="978" operator="equal">
      <formula>"Corrección"</formula>
    </cfRule>
  </conditionalFormatting>
  <conditionalFormatting sqref="Q122">
    <cfRule type="cellIs" dxfId="491" priority="975" operator="equal">
      <formula>"Plan Mejoramiento"</formula>
    </cfRule>
    <cfRule type="cellIs" dxfId="490" priority="976" operator="equal">
      <formula>"Acción Preventiva"</formula>
    </cfRule>
    <cfRule type="cellIs" dxfId="489" priority="977" operator="equal">
      <formula>"Acción Correctiva"</formula>
    </cfRule>
  </conditionalFormatting>
  <conditionalFormatting sqref="Q122">
    <cfRule type="cellIs" dxfId="488" priority="974" operator="equal">
      <formula>"Corrección"</formula>
    </cfRule>
  </conditionalFormatting>
  <conditionalFormatting sqref="Q123">
    <cfRule type="cellIs" dxfId="487" priority="971" operator="equal">
      <formula>"Plan Mejoramiento"</formula>
    </cfRule>
    <cfRule type="cellIs" dxfId="486" priority="972" operator="equal">
      <formula>"Acción Preventiva"</formula>
    </cfRule>
    <cfRule type="cellIs" dxfId="485" priority="973" operator="equal">
      <formula>"Acción Correctiva"</formula>
    </cfRule>
  </conditionalFormatting>
  <conditionalFormatting sqref="Q123">
    <cfRule type="cellIs" dxfId="484" priority="970" operator="equal">
      <formula>"Corrección"</formula>
    </cfRule>
  </conditionalFormatting>
  <conditionalFormatting sqref="Q124">
    <cfRule type="cellIs" dxfId="483" priority="967" operator="equal">
      <formula>"Plan Mejoramiento"</formula>
    </cfRule>
    <cfRule type="cellIs" dxfId="482" priority="968" operator="equal">
      <formula>"Acción Preventiva"</formula>
    </cfRule>
    <cfRule type="cellIs" dxfId="481" priority="969" operator="equal">
      <formula>"Acción Correctiva"</formula>
    </cfRule>
  </conditionalFormatting>
  <conditionalFormatting sqref="Q124">
    <cfRule type="cellIs" dxfId="480" priority="966" operator="equal">
      <formula>"Corrección"</formula>
    </cfRule>
  </conditionalFormatting>
  <conditionalFormatting sqref="R125">
    <cfRule type="cellIs" dxfId="479" priority="964" operator="equal">
      <formula>"Cerrada"</formula>
    </cfRule>
    <cfRule type="cellIs" dxfId="478" priority="965" operator="equal">
      <formula>"Abierta"</formula>
    </cfRule>
  </conditionalFormatting>
  <conditionalFormatting sqref="Q125">
    <cfRule type="cellIs" dxfId="477" priority="961" operator="equal">
      <formula>"Plan Mejoramiento"</formula>
    </cfRule>
    <cfRule type="cellIs" dxfId="476" priority="962" operator="equal">
      <formula>"Acción Preventiva"</formula>
    </cfRule>
    <cfRule type="cellIs" dxfId="475" priority="963" operator="equal">
      <formula>"Acción Correctiva"</formula>
    </cfRule>
  </conditionalFormatting>
  <conditionalFormatting sqref="Q125">
    <cfRule type="cellIs" dxfId="474" priority="960" operator="equal">
      <formula>"Corrección"</formula>
    </cfRule>
  </conditionalFormatting>
  <conditionalFormatting sqref="Q126">
    <cfRule type="cellIs" dxfId="473" priority="957" operator="equal">
      <formula>"Plan Mejoramiento"</formula>
    </cfRule>
    <cfRule type="cellIs" dxfId="472" priority="958" operator="equal">
      <formula>"Acción Preventiva"</formula>
    </cfRule>
    <cfRule type="cellIs" dxfId="471" priority="959" operator="equal">
      <formula>"Acción Correctiva"</formula>
    </cfRule>
  </conditionalFormatting>
  <conditionalFormatting sqref="Q126">
    <cfRule type="cellIs" dxfId="470" priority="956" operator="equal">
      <formula>"Corrección"</formula>
    </cfRule>
  </conditionalFormatting>
  <conditionalFormatting sqref="R126">
    <cfRule type="cellIs" dxfId="469" priority="954" operator="equal">
      <formula>"Cerrada"</formula>
    </cfRule>
    <cfRule type="cellIs" dxfId="468" priority="955" operator="equal">
      <formula>"Abierta"</formula>
    </cfRule>
  </conditionalFormatting>
  <conditionalFormatting sqref="Q31">
    <cfRule type="cellIs" dxfId="467" priority="951" operator="equal">
      <formula>"Plan Mejoramiento"</formula>
    </cfRule>
    <cfRule type="cellIs" dxfId="466" priority="952" operator="equal">
      <formula>"Acción Preventiva"</formula>
    </cfRule>
    <cfRule type="cellIs" dxfId="465" priority="953" operator="equal">
      <formula>"Acción Correctiva"</formula>
    </cfRule>
  </conditionalFormatting>
  <conditionalFormatting sqref="Q31">
    <cfRule type="cellIs" dxfId="464" priority="950" operator="equal">
      <formula>"Corrección"</formula>
    </cfRule>
  </conditionalFormatting>
  <conditionalFormatting sqref="H194">
    <cfRule type="cellIs" dxfId="463" priority="947" operator="equal">
      <formula>"Plan Mejoramiento"</formula>
    </cfRule>
    <cfRule type="cellIs" dxfId="462" priority="948" operator="equal">
      <formula>"Acción Preventiva"</formula>
    </cfRule>
    <cfRule type="cellIs" dxfId="461" priority="949" operator="equal">
      <formula>"Acción Correctiva"</formula>
    </cfRule>
  </conditionalFormatting>
  <conditionalFormatting sqref="H194">
    <cfRule type="cellIs" dxfId="460" priority="946" operator="equal">
      <formula>"Corrección"</formula>
    </cfRule>
  </conditionalFormatting>
  <conditionalFormatting sqref="I188">
    <cfRule type="cellIs" dxfId="459" priority="934" operator="equal">
      <formula>"Oportunidad de mejora"</formula>
    </cfRule>
    <cfRule type="cellIs" dxfId="458" priority="935" operator="equal">
      <formula>"Recomendación"</formula>
    </cfRule>
    <cfRule type="cellIs" dxfId="457" priority="936" operator="equal">
      <formula>"No Conformidad"</formula>
    </cfRule>
  </conditionalFormatting>
  <conditionalFormatting sqref="J188">
    <cfRule type="cellIs" dxfId="456" priority="932" operator="equal">
      <formula>"Hallazgo Cerrado"</formula>
    </cfRule>
    <cfRule type="cellIs" dxfId="455" priority="933" operator="equal">
      <formula>"Hallazgo Abierto"</formula>
    </cfRule>
  </conditionalFormatting>
  <conditionalFormatting sqref="L189:N189 K188:N188">
    <cfRule type="cellIs" dxfId="454" priority="929" operator="equal">
      <formula>"Plan Mejoramiento"</formula>
    </cfRule>
    <cfRule type="cellIs" dxfId="453" priority="930" operator="equal">
      <formula>"Acción Preventiva"</formula>
    </cfRule>
    <cfRule type="cellIs" dxfId="452" priority="931" operator="equal">
      <formula>"Acción Correctiva"</formula>
    </cfRule>
  </conditionalFormatting>
  <conditionalFormatting sqref="M188:N189 K188">
    <cfRule type="cellIs" dxfId="451" priority="926" operator="equal">
      <formula>"Corrección"</formula>
    </cfRule>
  </conditionalFormatting>
  <conditionalFormatting sqref="V188">
    <cfRule type="cellIs" dxfId="450" priority="923" operator="equal">
      <formula>"No ha formulado PM"</formula>
    </cfRule>
    <cfRule type="cellIs" dxfId="449" priority="924" operator="equal">
      <formula>"Oportuno"</formula>
    </cfRule>
    <cfRule type="cellIs" dxfId="448" priority="925" operator="equal">
      <formula>"Inoportuno"</formula>
    </cfRule>
  </conditionalFormatting>
  <conditionalFormatting sqref="E188">
    <cfRule type="cellIs" dxfId="447" priority="921" operator="equal">
      <formula>"Institucional"</formula>
    </cfRule>
    <cfRule type="cellIs" dxfId="446" priority="922" operator="equal">
      <formula>"Proceso"</formula>
    </cfRule>
  </conditionalFormatting>
  <conditionalFormatting sqref="H189">
    <cfRule type="cellIs" dxfId="445" priority="918" operator="equal">
      <formula>"Plan Mejoramiento"</formula>
    </cfRule>
    <cfRule type="cellIs" dxfId="444" priority="919" operator="equal">
      <formula>"Acción Preventiva"</formula>
    </cfRule>
    <cfRule type="cellIs" dxfId="443" priority="920" operator="equal">
      <formula>"Acción Correctiva"</formula>
    </cfRule>
  </conditionalFormatting>
  <conditionalFormatting sqref="H189">
    <cfRule type="cellIs" dxfId="442" priority="917" operator="equal">
      <formula>"Corrección"</formula>
    </cfRule>
  </conditionalFormatting>
  <conditionalFormatting sqref="V189">
    <cfRule type="cellIs" dxfId="441" priority="912" operator="equal">
      <formula>"No ha formulado PM"</formula>
    </cfRule>
    <cfRule type="cellIs" dxfId="440" priority="913" operator="equal">
      <formula>"Oportuno"</formula>
    </cfRule>
    <cfRule type="cellIs" dxfId="439" priority="914" operator="equal">
      <formula>"Inoportuno"</formula>
    </cfRule>
  </conditionalFormatting>
  <conditionalFormatting sqref="O188:O189">
    <cfRule type="cellIs" dxfId="438" priority="909" operator="equal">
      <formula>"Plan Mejoramiento"</formula>
    </cfRule>
    <cfRule type="cellIs" dxfId="437" priority="910" operator="equal">
      <formula>"Acción Preventiva"</formula>
    </cfRule>
    <cfRule type="cellIs" dxfId="436" priority="911" operator="equal">
      <formula>"Acción Correctiva"</formula>
    </cfRule>
  </conditionalFormatting>
  <conditionalFormatting sqref="O188:O189">
    <cfRule type="cellIs" dxfId="435" priority="908" operator="equal">
      <formula>"Corrección"</formula>
    </cfRule>
  </conditionalFormatting>
  <conditionalFormatting sqref="H190:H191">
    <cfRule type="cellIs" dxfId="434" priority="830" operator="equal">
      <formula>"Plan Mejoramiento"</formula>
    </cfRule>
    <cfRule type="cellIs" dxfId="433" priority="831" operator="equal">
      <formula>"Acción Preventiva"</formula>
    </cfRule>
    <cfRule type="cellIs" dxfId="432" priority="832" operator="equal">
      <formula>"Acción Correctiva"</formula>
    </cfRule>
  </conditionalFormatting>
  <conditionalFormatting sqref="H190:H191">
    <cfRule type="cellIs" dxfId="431" priority="829" operator="equal">
      <formula>"Corrección"</formula>
    </cfRule>
  </conditionalFormatting>
  <conditionalFormatting sqref="H192">
    <cfRule type="cellIs" dxfId="430" priority="826" operator="equal">
      <formula>"Plan Mejoramiento"</formula>
    </cfRule>
    <cfRule type="cellIs" dxfId="429" priority="827" operator="equal">
      <formula>"Acción Preventiva"</formula>
    </cfRule>
    <cfRule type="cellIs" dxfId="428" priority="828" operator="equal">
      <formula>"Acción Correctiva"</formula>
    </cfRule>
  </conditionalFormatting>
  <conditionalFormatting sqref="H192">
    <cfRule type="cellIs" dxfId="427" priority="825" operator="equal">
      <formula>"Corrección"</formula>
    </cfRule>
  </conditionalFormatting>
  <conditionalFormatting sqref="E190 E194 E192">
    <cfRule type="cellIs" dxfId="426" priority="823" operator="equal">
      <formula>"Institucional"</formula>
    </cfRule>
    <cfRule type="cellIs" dxfId="425" priority="824" operator="equal">
      <formula>"Proceso"</formula>
    </cfRule>
  </conditionalFormatting>
  <conditionalFormatting sqref="I190 I194 I192">
    <cfRule type="cellIs" dxfId="424" priority="820" operator="equal">
      <formula>"Oportunidad de mejora"</formula>
    </cfRule>
    <cfRule type="cellIs" dxfId="423" priority="821" operator="equal">
      <formula>"Recomendación"</formula>
    </cfRule>
    <cfRule type="cellIs" dxfId="422" priority="822" operator="equal">
      <formula>"No Conformidad"</formula>
    </cfRule>
  </conditionalFormatting>
  <conditionalFormatting sqref="J190 J194 J192">
    <cfRule type="cellIs" dxfId="421" priority="818" operator="equal">
      <formula>"Hallazgo Cerrado"</formula>
    </cfRule>
    <cfRule type="cellIs" dxfId="420" priority="819" operator="equal">
      <formula>"Hallazgo Abierto"</formula>
    </cfRule>
  </conditionalFormatting>
  <conditionalFormatting sqref="K190 M194 K194 K192 M190:N192">
    <cfRule type="cellIs" dxfId="419" priority="815" operator="equal">
      <formula>"Plan Mejoramiento"</formula>
    </cfRule>
    <cfRule type="cellIs" dxfId="418" priority="816" operator="equal">
      <formula>"Acción Preventiva"</formula>
    </cfRule>
    <cfRule type="cellIs" dxfId="417" priority="817" operator="equal">
      <formula>"Acción Correctiva"</formula>
    </cfRule>
  </conditionalFormatting>
  <conditionalFormatting sqref="K190 M194 K194 K192 M190:N192">
    <cfRule type="cellIs" dxfId="416" priority="812" operator="equal">
      <formula>"Corrección"</formula>
    </cfRule>
  </conditionalFormatting>
  <conditionalFormatting sqref="V190 V194 V192">
    <cfRule type="cellIs" dxfId="415" priority="809" operator="equal">
      <formula>"No ha formulado PM"</formula>
    </cfRule>
    <cfRule type="cellIs" dxfId="414" priority="810" operator="equal">
      <formula>"Oportuno"</formula>
    </cfRule>
    <cfRule type="cellIs" dxfId="413" priority="811" operator="equal">
      <formula>"Inoportuno"</formula>
    </cfRule>
  </conditionalFormatting>
  <conditionalFormatting sqref="L194 L190:L192">
    <cfRule type="cellIs" dxfId="412" priority="806" operator="equal">
      <formula>"Plan Mejoramiento"</formula>
    </cfRule>
    <cfRule type="cellIs" dxfId="411" priority="807" operator="equal">
      <formula>"Acción Preventiva"</formula>
    </cfRule>
    <cfRule type="cellIs" dxfId="410" priority="808" operator="equal">
      <formula>"Acción Correctiva"</formula>
    </cfRule>
  </conditionalFormatting>
  <conditionalFormatting sqref="R194 R190:R192">
    <cfRule type="cellIs" dxfId="409" priority="804" operator="equal">
      <formula>"Cerrada"</formula>
    </cfRule>
    <cfRule type="cellIs" dxfId="408" priority="805" operator="equal">
      <formula>"Abierta"</formula>
    </cfRule>
  </conditionalFormatting>
  <conditionalFormatting sqref="H193">
    <cfRule type="cellIs" dxfId="407" priority="774" operator="equal">
      <formula>"Plan Mejoramiento"</formula>
    </cfRule>
    <cfRule type="cellIs" dxfId="406" priority="775" operator="equal">
      <formula>"Acción Preventiva"</formula>
    </cfRule>
    <cfRule type="cellIs" dxfId="405" priority="776" operator="equal">
      <formula>"Acción Correctiva"</formula>
    </cfRule>
  </conditionalFormatting>
  <conditionalFormatting sqref="H193">
    <cfRule type="cellIs" dxfId="404" priority="773" operator="equal">
      <formula>"Corrección"</formula>
    </cfRule>
  </conditionalFormatting>
  <conditionalFormatting sqref="M193:N193">
    <cfRule type="cellIs" dxfId="403" priority="763" operator="equal">
      <formula>"Plan Mejoramiento"</formula>
    </cfRule>
    <cfRule type="cellIs" dxfId="402" priority="764" operator="equal">
      <formula>"Acción Preventiva"</formula>
    </cfRule>
    <cfRule type="cellIs" dxfId="401" priority="765" operator="equal">
      <formula>"Acción Correctiva"</formula>
    </cfRule>
  </conditionalFormatting>
  <conditionalFormatting sqref="M193:N193">
    <cfRule type="cellIs" dxfId="400" priority="762" operator="equal">
      <formula>"Corrección"</formula>
    </cfRule>
  </conditionalFormatting>
  <conditionalFormatting sqref="V193">
    <cfRule type="cellIs" dxfId="399" priority="759" operator="equal">
      <formula>"No ha formulado PM"</formula>
    </cfRule>
    <cfRule type="cellIs" dxfId="398" priority="760" operator="equal">
      <formula>"Oportuno"</formula>
    </cfRule>
    <cfRule type="cellIs" dxfId="397" priority="761" operator="equal">
      <formula>"Inoportuno"</formula>
    </cfRule>
  </conditionalFormatting>
  <conditionalFormatting sqref="L193">
    <cfRule type="cellIs" dxfId="396" priority="756" operator="equal">
      <formula>"Plan Mejoramiento"</formula>
    </cfRule>
    <cfRule type="cellIs" dxfId="395" priority="757" operator="equal">
      <formula>"Acción Preventiva"</formula>
    </cfRule>
    <cfRule type="cellIs" dxfId="394" priority="758" operator="equal">
      <formula>"Acción Correctiva"</formula>
    </cfRule>
  </conditionalFormatting>
  <conditionalFormatting sqref="R193">
    <cfRule type="cellIs" dxfId="393" priority="754" operator="equal">
      <formula>"Cerrada"</formula>
    </cfRule>
    <cfRule type="cellIs" dxfId="392" priority="755" operator="equal">
      <formula>"Abierta"</formula>
    </cfRule>
  </conditionalFormatting>
  <conditionalFormatting sqref="O193">
    <cfRule type="cellIs" dxfId="391" priority="751" operator="equal">
      <formula>"Plan Mejoramiento"</formula>
    </cfRule>
    <cfRule type="cellIs" dxfId="390" priority="752" operator="equal">
      <formula>"Acción Preventiva"</formula>
    </cfRule>
    <cfRule type="cellIs" dxfId="389" priority="753" operator="equal">
      <formula>"Acción Correctiva"</formula>
    </cfRule>
  </conditionalFormatting>
  <conditionalFormatting sqref="O193">
    <cfRule type="cellIs" dxfId="388" priority="750" operator="equal">
      <formula>"Corrección"</formula>
    </cfRule>
  </conditionalFormatting>
  <conditionalFormatting sqref="H195:H196">
    <cfRule type="cellIs" dxfId="387" priority="747" operator="equal">
      <formula>"Plan Mejoramiento"</formula>
    </cfRule>
    <cfRule type="cellIs" dxfId="386" priority="748" operator="equal">
      <formula>"Acción Preventiva"</formula>
    </cfRule>
    <cfRule type="cellIs" dxfId="385" priority="749" operator="equal">
      <formula>"Acción Correctiva"</formula>
    </cfRule>
  </conditionalFormatting>
  <conditionalFormatting sqref="H195:H196">
    <cfRule type="cellIs" dxfId="384" priority="746" operator="equal">
      <formula>"Corrección"</formula>
    </cfRule>
  </conditionalFormatting>
  <conditionalFormatting sqref="M195:M196">
    <cfRule type="cellIs" dxfId="383" priority="736" operator="equal">
      <formula>"Plan Mejoramiento"</formula>
    </cfRule>
    <cfRule type="cellIs" dxfId="382" priority="737" operator="equal">
      <formula>"Acción Preventiva"</formula>
    </cfRule>
    <cfRule type="cellIs" dxfId="381" priority="738" operator="equal">
      <formula>"Acción Correctiva"</formula>
    </cfRule>
  </conditionalFormatting>
  <conditionalFormatting sqref="M195:M196">
    <cfRule type="cellIs" dxfId="380" priority="735" operator="equal">
      <formula>"Corrección"</formula>
    </cfRule>
  </conditionalFormatting>
  <conditionalFormatting sqref="V195">
    <cfRule type="cellIs" dxfId="379" priority="732" operator="equal">
      <formula>"No ha formulado PM"</formula>
    </cfRule>
    <cfRule type="cellIs" dxfId="378" priority="733" operator="equal">
      <formula>"Oportuno"</formula>
    </cfRule>
    <cfRule type="cellIs" dxfId="377" priority="734" operator="equal">
      <formula>"Inoportuno"</formula>
    </cfRule>
  </conditionalFormatting>
  <conditionalFormatting sqref="L195:L196">
    <cfRule type="cellIs" dxfId="376" priority="729" operator="equal">
      <formula>"Plan Mejoramiento"</formula>
    </cfRule>
    <cfRule type="cellIs" dxfId="375" priority="730" operator="equal">
      <formula>"Acción Preventiva"</formula>
    </cfRule>
    <cfRule type="cellIs" dxfId="374" priority="731" operator="equal">
      <formula>"Acción Correctiva"</formula>
    </cfRule>
  </conditionalFormatting>
  <conditionalFormatting sqref="R195:R196">
    <cfRule type="cellIs" dxfId="373" priority="727" operator="equal">
      <formula>"Cerrada"</formula>
    </cfRule>
    <cfRule type="cellIs" dxfId="372" priority="728" operator="equal">
      <formula>"Abierta"</formula>
    </cfRule>
  </conditionalFormatting>
  <conditionalFormatting sqref="O194:O196">
    <cfRule type="cellIs" dxfId="371" priority="724" operator="equal">
      <formula>"Plan Mejoramiento"</formula>
    </cfRule>
    <cfRule type="cellIs" dxfId="370" priority="725" operator="equal">
      <formula>"Acción Preventiva"</formula>
    </cfRule>
    <cfRule type="cellIs" dxfId="369" priority="726" operator="equal">
      <formula>"Acción Correctiva"</formula>
    </cfRule>
  </conditionalFormatting>
  <conditionalFormatting sqref="O194:O196">
    <cfRule type="cellIs" dxfId="368" priority="723" operator="equal">
      <formula>"Corrección"</formula>
    </cfRule>
  </conditionalFormatting>
  <conditionalFormatting sqref="T36">
    <cfRule type="cellIs" dxfId="367" priority="693" operator="equal">
      <formula>"Plan Mejoramiento"</formula>
    </cfRule>
    <cfRule type="cellIs" dxfId="366" priority="694" operator="equal">
      <formula>"Acción Preventiva"</formula>
    </cfRule>
    <cfRule type="cellIs" dxfId="365" priority="695" operator="equal">
      <formula>"Acción Correctiva"</formula>
    </cfRule>
  </conditionalFormatting>
  <conditionalFormatting sqref="T36">
    <cfRule type="cellIs" dxfId="364" priority="692" operator="equal">
      <formula>"Corrección"</formula>
    </cfRule>
  </conditionalFormatting>
  <conditionalFormatting sqref="T39">
    <cfRule type="cellIs" dxfId="363" priority="689" operator="equal">
      <formula>"Plan Mejoramiento"</formula>
    </cfRule>
    <cfRule type="cellIs" dxfId="362" priority="690" operator="equal">
      <formula>"Acción Preventiva"</formula>
    </cfRule>
    <cfRule type="cellIs" dxfId="361" priority="691" operator="equal">
      <formula>"Acción Correctiva"</formula>
    </cfRule>
  </conditionalFormatting>
  <conditionalFormatting sqref="T39">
    <cfRule type="cellIs" dxfId="360" priority="688" operator="equal">
      <formula>"Corrección"</formula>
    </cfRule>
  </conditionalFormatting>
  <conditionalFormatting sqref="T82">
    <cfRule type="cellIs" dxfId="359" priority="685" operator="equal">
      <formula>"Plan Mejoramiento"</formula>
    </cfRule>
    <cfRule type="cellIs" dxfId="358" priority="686" operator="equal">
      <formula>"Acción Preventiva"</formula>
    </cfRule>
    <cfRule type="cellIs" dxfId="357" priority="687" operator="equal">
      <formula>"Acción Correctiva"</formula>
    </cfRule>
  </conditionalFormatting>
  <conditionalFormatting sqref="T82">
    <cfRule type="cellIs" dxfId="356" priority="684" operator="equal">
      <formula>"Corrección"</formula>
    </cfRule>
  </conditionalFormatting>
  <conditionalFormatting sqref="T78">
    <cfRule type="cellIs" dxfId="355" priority="681" operator="equal">
      <formula>"Plan Mejoramiento"</formula>
    </cfRule>
    <cfRule type="cellIs" dxfId="354" priority="682" operator="equal">
      <formula>"Acción Preventiva"</formula>
    </cfRule>
    <cfRule type="cellIs" dxfId="353" priority="683" operator="equal">
      <formula>"Acción Correctiva"</formula>
    </cfRule>
  </conditionalFormatting>
  <conditionalFormatting sqref="T78">
    <cfRule type="cellIs" dxfId="352" priority="679" operator="equal">
      <formula>"Cerrada"</formula>
    </cfRule>
    <cfRule type="cellIs" dxfId="351" priority="680" operator="equal">
      <formula>"Abierta"</formula>
    </cfRule>
  </conditionalFormatting>
  <conditionalFormatting sqref="T78">
    <cfRule type="cellIs" dxfId="350" priority="678" operator="equal">
      <formula>"Corrección"</formula>
    </cfRule>
  </conditionalFormatting>
  <conditionalFormatting sqref="T79">
    <cfRule type="cellIs" dxfId="349" priority="675" operator="equal">
      <formula>"Plan Mejoramiento"</formula>
    </cfRule>
    <cfRule type="cellIs" dxfId="348" priority="676" operator="equal">
      <formula>"Acción Preventiva"</formula>
    </cfRule>
    <cfRule type="cellIs" dxfId="347" priority="677" operator="equal">
      <formula>"Acción Correctiva"</formula>
    </cfRule>
  </conditionalFormatting>
  <conditionalFormatting sqref="T79">
    <cfRule type="cellIs" dxfId="346" priority="673" operator="equal">
      <formula>"Cerrada"</formula>
    </cfRule>
    <cfRule type="cellIs" dxfId="345" priority="674" operator="equal">
      <formula>"Abierta"</formula>
    </cfRule>
  </conditionalFormatting>
  <conditionalFormatting sqref="T79">
    <cfRule type="cellIs" dxfId="344" priority="672" operator="equal">
      <formula>"Corrección"</formula>
    </cfRule>
  </conditionalFormatting>
  <conditionalFormatting sqref="E202">
    <cfRule type="cellIs" dxfId="343" priority="641" operator="equal">
      <formula>"Institucional"</formula>
    </cfRule>
    <cfRule type="cellIs" dxfId="342" priority="642" operator="equal">
      <formula>"Proceso"</formula>
    </cfRule>
  </conditionalFormatting>
  <conditionalFormatting sqref="K202">
    <cfRule type="cellIs" dxfId="341" priority="635" operator="equal">
      <formula>"Plan Mejoramiento"</formula>
    </cfRule>
    <cfRule type="cellIs" dxfId="340" priority="636" operator="equal">
      <formula>"Acción Preventiva"</formula>
    </cfRule>
    <cfRule type="cellIs" dxfId="339" priority="637" operator="equal">
      <formula>"Acción Correctiva"</formula>
    </cfRule>
  </conditionalFormatting>
  <conditionalFormatting sqref="K202">
    <cfRule type="cellIs" dxfId="338" priority="634" operator="equal">
      <formula>"Corrección"</formula>
    </cfRule>
  </conditionalFormatting>
  <conditionalFormatting sqref="T32">
    <cfRule type="cellIs" dxfId="337" priority="621" operator="equal">
      <formula>"Plan Mejoramiento"</formula>
    </cfRule>
    <cfRule type="cellIs" dxfId="336" priority="622" operator="equal">
      <formula>"Acción Preventiva"</formula>
    </cfRule>
    <cfRule type="cellIs" dxfId="335" priority="623" operator="equal">
      <formula>"Acción Correctiva"</formula>
    </cfRule>
  </conditionalFormatting>
  <conditionalFormatting sqref="T32">
    <cfRule type="cellIs" dxfId="334" priority="620" operator="equal">
      <formula>"Corrección"</formula>
    </cfRule>
  </conditionalFormatting>
  <conditionalFormatting sqref="X33:X35">
    <cfRule type="cellIs" dxfId="333" priority="618" operator="equal">
      <formula>"Recomendación"</formula>
    </cfRule>
    <cfRule type="cellIs" dxfId="332" priority="619" operator="equal">
      <formula>"No Conformidad"</formula>
    </cfRule>
  </conditionalFormatting>
  <conditionalFormatting sqref="V33:V35">
    <cfRule type="cellIs" dxfId="331" priority="615" operator="equal">
      <formula>"No ha formulado PM"</formula>
    </cfRule>
    <cfRule type="cellIs" dxfId="330" priority="616" operator="equal">
      <formula>"Oportuno"</formula>
    </cfRule>
    <cfRule type="cellIs" dxfId="329" priority="617" operator="equal">
      <formula>"Inoportuno"</formula>
    </cfRule>
  </conditionalFormatting>
  <conditionalFormatting sqref="V81">
    <cfRule type="cellIs" dxfId="328" priority="612" operator="equal">
      <formula>"No ha formulado PM"</formula>
    </cfRule>
    <cfRule type="cellIs" dxfId="327" priority="613" operator="equal">
      <formula>"Oportuno"</formula>
    </cfRule>
    <cfRule type="cellIs" dxfId="326" priority="614" operator="equal">
      <formula>"Inoportuno"</formula>
    </cfRule>
  </conditionalFormatting>
  <conditionalFormatting sqref="V191">
    <cfRule type="cellIs" dxfId="325" priority="550" operator="equal">
      <formula>"No ha formulado PM"</formula>
    </cfRule>
    <cfRule type="cellIs" dxfId="324" priority="551" operator="equal">
      <formula>"Oportuno"</formula>
    </cfRule>
    <cfRule type="cellIs" dxfId="323" priority="552" operator="equal">
      <formula>"Inoportuno"</formula>
    </cfRule>
  </conditionalFormatting>
  <conditionalFormatting sqref="O192">
    <cfRule type="cellIs" dxfId="322" priority="547" operator="equal">
      <formula>"Plan Mejoramiento"</formula>
    </cfRule>
    <cfRule type="cellIs" dxfId="321" priority="548" operator="equal">
      <formula>"Acción Preventiva"</formula>
    </cfRule>
    <cfRule type="cellIs" dxfId="320" priority="549" operator="equal">
      <formula>"Acción Correctiva"</formula>
    </cfRule>
  </conditionalFormatting>
  <conditionalFormatting sqref="O192">
    <cfRule type="cellIs" dxfId="319" priority="546" operator="equal">
      <formula>"Corrección"</formula>
    </cfRule>
  </conditionalFormatting>
  <conditionalFormatting sqref="V196">
    <cfRule type="cellIs" dxfId="318" priority="543" operator="equal">
      <formula>"No ha formulado PM"</formula>
    </cfRule>
    <cfRule type="cellIs" dxfId="317" priority="544" operator="equal">
      <formula>"Oportuno"</formula>
    </cfRule>
    <cfRule type="cellIs" dxfId="316" priority="545" operator="equal">
      <formula>"Inoportuno"</formula>
    </cfRule>
  </conditionalFormatting>
  <conditionalFormatting sqref="H178:H179">
    <cfRule type="cellIs" dxfId="315" priority="537" operator="equal">
      <formula>"Plan Mejoramiento"</formula>
    </cfRule>
    <cfRule type="cellIs" dxfId="314" priority="538" operator="equal">
      <formula>"Acción Preventiva"</formula>
    </cfRule>
    <cfRule type="cellIs" dxfId="313" priority="539" operator="equal">
      <formula>"Acción Correctiva"</formula>
    </cfRule>
  </conditionalFormatting>
  <conditionalFormatting sqref="H178:H179">
    <cfRule type="cellIs" dxfId="312" priority="536" operator="equal">
      <formula>"Corrección"</formula>
    </cfRule>
  </conditionalFormatting>
  <conditionalFormatting sqref="V178:V179">
    <cfRule type="cellIs" dxfId="311" priority="533" operator="equal">
      <formula>"No ha formulado PM"</formula>
    </cfRule>
    <cfRule type="cellIs" dxfId="310" priority="534" operator="equal">
      <formula>"Oportuno"</formula>
    </cfRule>
    <cfRule type="cellIs" dxfId="309" priority="535" operator="equal">
      <formula>"Inoportuno"</formula>
    </cfRule>
  </conditionalFormatting>
  <conditionalFormatting sqref="T55">
    <cfRule type="cellIs" dxfId="308" priority="530" operator="equal">
      <formula>"Plan Mejoramiento"</formula>
    </cfRule>
    <cfRule type="cellIs" dxfId="307" priority="531" operator="equal">
      <formula>"Acción Preventiva"</formula>
    </cfRule>
    <cfRule type="cellIs" dxfId="306" priority="532" operator="equal">
      <formula>"Acción Correctiva"</formula>
    </cfRule>
  </conditionalFormatting>
  <conditionalFormatting sqref="T55">
    <cfRule type="cellIs" dxfId="305" priority="529" operator="equal">
      <formula>"Corrección"</formula>
    </cfRule>
  </conditionalFormatting>
  <conditionalFormatting sqref="T54">
    <cfRule type="cellIs" dxfId="304" priority="526" operator="equal">
      <formula>"Plan Mejoramiento"</formula>
    </cfRule>
    <cfRule type="cellIs" dxfId="303" priority="527" operator="equal">
      <formula>"Acción Preventiva"</formula>
    </cfRule>
    <cfRule type="cellIs" dxfId="302" priority="528" operator="equal">
      <formula>"Acción Correctiva"</formula>
    </cfRule>
  </conditionalFormatting>
  <conditionalFormatting sqref="T54">
    <cfRule type="cellIs" dxfId="301" priority="525" operator="equal">
      <formula>"Corrección"</formula>
    </cfRule>
  </conditionalFormatting>
  <conditionalFormatting sqref="T127">
    <cfRule type="cellIs" dxfId="300" priority="522" operator="equal">
      <formula>"Plan Mejoramiento"</formula>
    </cfRule>
    <cfRule type="cellIs" dxfId="299" priority="523" operator="equal">
      <formula>"Acción Preventiva"</formula>
    </cfRule>
    <cfRule type="cellIs" dxfId="298" priority="524" operator="equal">
      <formula>"Acción Correctiva"</formula>
    </cfRule>
  </conditionalFormatting>
  <conditionalFormatting sqref="T127">
    <cfRule type="cellIs" dxfId="297" priority="521" operator="equal">
      <formula>"Corrección"</formula>
    </cfRule>
  </conditionalFormatting>
  <conditionalFormatting sqref="T128">
    <cfRule type="cellIs" dxfId="296" priority="518" operator="equal">
      <formula>"Plan Mejoramiento"</formula>
    </cfRule>
    <cfRule type="cellIs" dxfId="295" priority="519" operator="equal">
      <formula>"Acción Preventiva"</formula>
    </cfRule>
    <cfRule type="cellIs" dxfId="294" priority="520" operator="equal">
      <formula>"Acción Correctiva"</formula>
    </cfRule>
  </conditionalFormatting>
  <conditionalFormatting sqref="T128">
    <cfRule type="cellIs" dxfId="293" priority="517" operator="equal">
      <formula>"Corrección"</formula>
    </cfRule>
  </conditionalFormatting>
  <conditionalFormatting sqref="T129">
    <cfRule type="cellIs" dxfId="292" priority="514" operator="equal">
      <formula>"Plan Mejoramiento"</formula>
    </cfRule>
    <cfRule type="cellIs" dxfId="291" priority="515" operator="equal">
      <formula>"Acción Preventiva"</formula>
    </cfRule>
    <cfRule type="cellIs" dxfId="290" priority="516" operator="equal">
      <formula>"Acción Correctiva"</formula>
    </cfRule>
  </conditionalFormatting>
  <conditionalFormatting sqref="T129">
    <cfRule type="cellIs" dxfId="289" priority="513" operator="equal">
      <formula>"Corrección"</formula>
    </cfRule>
  </conditionalFormatting>
  <conditionalFormatting sqref="T130">
    <cfRule type="cellIs" dxfId="288" priority="510" operator="equal">
      <formula>"Plan Mejoramiento"</formula>
    </cfRule>
    <cfRule type="cellIs" dxfId="287" priority="511" operator="equal">
      <formula>"Acción Preventiva"</formula>
    </cfRule>
    <cfRule type="cellIs" dxfId="286" priority="512" operator="equal">
      <formula>"Acción Correctiva"</formula>
    </cfRule>
  </conditionalFormatting>
  <conditionalFormatting sqref="T130">
    <cfRule type="cellIs" dxfId="285" priority="509" operator="equal">
      <formula>"Corrección"</formula>
    </cfRule>
  </conditionalFormatting>
  <conditionalFormatting sqref="T131">
    <cfRule type="cellIs" dxfId="284" priority="506" operator="equal">
      <formula>"Plan Mejoramiento"</formula>
    </cfRule>
    <cfRule type="cellIs" dxfId="283" priority="507" operator="equal">
      <formula>"Acción Preventiva"</formula>
    </cfRule>
    <cfRule type="cellIs" dxfId="282" priority="508" operator="equal">
      <formula>"Acción Correctiva"</formula>
    </cfRule>
  </conditionalFormatting>
  <conditionalFormatting sqref="T131">
    <cfRule type="cellIs" dxfId="281" priority="505" operator="equal">
      <formula>"Corrección"</formula>
    </cfRule>
  </conditionalFormatting>
  <conditionalFormatting sqref="Q203:Q204 L203:O204 H203:H204 H208 M208:O208 Q208">
    <cfRule type="cellIs" dxfId="280" priority="502" operator="equal">
      <formula>"Plan Mejoramiento"</formula>
    </cfRule>
    <cfRule type="cellIs" dxfId="279" priority="503" operator="equal">
      <formula>"Acción Preventiva"</formula>
    </cfRule>
    <cfRule type="cellIs" dxfId="278" priority="504" operator="equal">
      <formula>"Acción Correctiva"</formula>
    </cfRule>
  </conditionalFormatting>
  <conditionalFormatting sqref="R203:R204 R208">
    <cfRule type="cellIs" dxfId="277" priority="500" operator="equal">
      <formula>"Cerrada"</formula>
    </cfRule>
    <cfRule type="cellIs" dxfId="276" priority="501" operator="equal">
      <formula>"Abierta"</formula>
    </cfRule>
  </conditionalFormatting>
  <conditionalFormatting sqref="Q203:Q204 M203:O204 H203:H204 H208 M208:O208 Q208">
    <cfRule type="cellIs" dxfId="275" priority="499" operator="equal">
      <formula>"Corrección"</formula>
    </cfRule>
  </conditionalFormatting>
  <conditionalFormatting sqref="J208">
    <cfRule type="cellIs" dxfId="274" priority="497" operator="equal">
      <formula>"Hallazgo Cerrado"</formula>
    </cfRule>
    <cfRule type="cellIs" dxfId="273" priority="498" operator="equal">
      <formula>"Hallazgo Abierto"</formula>
    </cfRule>
  </conditionalFormatting>
  <conditionalFormatting sqref="I208">
    <cfRule type="cellIs" dxfId="272" priority="491" operator="equal">
      <formula>"Oportunidad de mejora"</formula>
    </cfRule>
    <cfRule type="cellIs" dxfId="271" priority="492" operator="equal">
      <formula>"Recomendación"</formula>
    </cfRule>
    <cfRule type="cellIs" dxfId="270" priority="493" operator="equal">
      <formula>"No Conformidad"</formula>
    </cfRule>
  </conditionalFormatting>
  <conditionalFormatting sqref="E208">
    <cfRule type="cellIs" dxfId="269" priority="489" operator="equal">
      <formula>"Institucional"</formula>
    </cfRule>
    <cfRule type="cellIs" dxfId="268" priority="490" operator="equal">
      <formula>"Proceso"</formula>
    </cfRule>
  </conditionalFormatting>
  <conditionalFormatting sqref="K208">
    <cfRule type="cellIs" dxfId="267" priority="486" operator="equal">
      <formula>"Plan Mejoramiento"</formula>
    </cfRule>
    <cfRule type="cellIs" dxfId="266" priority="487" operator="equal">
      <formula>"Acción Preventiva"</formula>
    </cfRule>
    <cfRule type="cellIs" dxfId="265" priority="488" operator="equal">
      <formula>"Acción Correctiva"</formula>
    </cfRule>
  </conditionalFormatting>
  <conditionalFormatting sqref="K208">
    <cfRule type="cellIs" dxfId="264" priority="485" operator="equal">
      <formula>"Corrección"</formula>
    </cfRule>
  </conditionalFormatting>
  <conditionalFormatting sqref="O202">
    <cfRule type="cellIs" dxfId="263" priority="463" operator="equal">
      <formula>"Plan Mejoramiento"</formula>
    </cfRule>
    <cfRule type="cellIs" dxfId="262" priority="464" operator="equal">
      <formula>"Acción Preventiva"</formula>
    </cfRule>
    <cfRule type="cellIs" dxfId="261" priority="465" operator="equal">
      <formula>"Acción Correctiva"</formula>
    </cfRule>
  </conditionalFormatting>
  <conditionalFormatting sqref="O202">
    <cfRule type="cellIs" dxfId="260" priority="462" operator="equal">
      <formula>"Corrección"</formula>
    </cfRule>
  </conditionalFormatting>
  <conditionalFormatting sqref="T125">
    <cfRule type="cellIs" dxfId="259" priority="459" operator="equal">
      <formula>"Plan Mejoramiento"</formula>
    </cfRule>
    <cfRule type="cellIs" dxfId="258" priority="460" operator="equal">
      <formula>"Acción Preventiva"</formula>
    </cfRule>
    <cfRule type="cellIs" dxfId="257" priority="461" operator="equal">
      <formula>"Acción Correctiva"</formula>
    </cfRule>
  </conditionalFormatting>
  <conditionalFormatting sqref="T125">
    <cfRule type="cellIs" dxfId="256" priority="458" operator="equal">
      <formula>"Corrección"</formula>
    </cfRule>
  </conditionalFormatting>
  <conditionalFormatting sqref="T126">
    <cfRule type="cellIs" dxfId="255" priority="455" operator="equal">
      <formula>"Plan Mejoramiento"</formula>
    </cfRule>
    <cfRule type="cellIs" dxfId="254" priority="456" operator="equal">
      <formula>"Acción Preventiva"</formula>
    </cfRule>
    <cfRule type="cellIs" dxfId="253" priority="457" operator="equal">
      <formula>"Acción Correctiva"</formula>
    </cfRule>
  </conditionalFormatting>
  <conditionalFormatting sqref="T126">
    <cfRule type="cellIs" dxfId="252" priority="454" operator="equal">
      <formula>"Corrección"</formula>
    </cfRule>
  </conditionalFormatting>
  <conditionalFormatting sqref="E203:E204">
    <cfRule type="cellIs" dxfId="251" priority="448" operator="equal">
      <formula>"Institucional"</formula>
    </cfRule>
    <cfRule type="cellIs" dxfId="250" priority="449" operator="equal">
      <formula>"Proceso"</formula>
    </cfRule>
  </conditionalFormatting>
  <conditionalFormatting sqref="J203:J204">
    <cfRule type="cellIs" dxfId="249" priority="446" operator="equal">
      <formula>"Hallazgo Cerrado"</formula>
    </cfRule>
    <cfRule type="cellIs" dxfId="248" priority="447" operator="equal">
      <formula>"Hallazgo Abierto"</formula>
    </cfRule>
  </conditionalFormatting>
  <conditionalFormatting sqref="I203:I204">
    <cfRule type="cellIs" dxfId="247" priority="443" operator="equal">
      <formula>"Oportunidad de mejora"</formula>
    </cfRule>
    <cfRule type="cellIs" dxfId="246" priority="444" operator="equal">
      <formula>"Recomendación"</formula>
    </cfRule>
    <cfRule type="cellIs" dxfId="245" priority="445" operator="equal">
      <formula>"No Conformidad"</formula>
    </cfRule>
  </conditionalFormatting>
  <conditionalFormatting sqref="K203:K204">
    <cfRule type="cellIs" dxfId="244" priority="440" operator="equal">
      <formula>"Plan Mejoramiento"</formula>
    </cfRule>
    <cfRule type="cellIs" dxfId="243" priority="441" operator="equal">
      <formula>"Acción Preventiva"</formula>
    </cfRule>
    <cfRule type="cellIs" dxfId="242" priority="442" operator="equal">
      <formula>"Acción Correctiva"</formula>
    </cfRule>
  </conditionalFormatting>
  <conditionalFormatting sqref="K203:K204">
    <cfRule type="cellIs" dxfId="241" priority="439" operator="equal">
      <formula>"Corrección"</formula>
    </cfRule>
  </conditionalFormatting>
  <conditionalFormatting sqref="H223:H225 L223:O225 Q223:Q225">
    <cfRule type="cellIs" dxfId="240" priority="436" operator="equal">
      <formula>"Plan Mejoramiento"</formula>
    </cfRule>
    <cfRule type="cellIs" dxfId="239" priority="437" operator="equal">
      <formula>"Acción Preventiva"</formula>
    </cfRule>
    <cfRule type="cellIs" dxfId="238" priority="438" operator="equal">
      <formula>"Acción Correctiva"</formula>
    </cfRule>
  </conditionalFormatting>
  <conditionalFormatting sqref="R223:R225">
    <cfRule type="cellIs" dxfId="237" priority="434" operator="equal">
      <formula>"Cerrada"</formula>
    </cfRule>
    <cfRule type="cellIs" dxfId="236" priority="435" operator="equal">
      <formula>"Abierta"</formula>
    </cfRule>
  </conditionalFormatting>
  <conditionalFormatting sqref="H223:H225 M223:O225 Q223:Q225">
    <cfRule type="cellIs" dxfId="235" priority="433" operator="equal">
      <formula>"Corrección"</formula>
    </cfRule>
  </conditionalFormatting>
  <conditionalFormatting sqref="J223:J225">
    <cfRule type="cellIs" dxfId="234" priority="431" operator="equal">
      <formula>"Hallazgo Cerrado"</formula>
    </cfRule>
    <cfRule type="cellIs" dxfId="233" priority="432" operator="equal">
      <formula>"Hallazgo Abierto"</formula>
    </cfRule>
  </conditionalFormatting>
  <conditionalFormatting sqref="I223:I225">
    <cfRule type="cellIs" dxfId="232" priority="425" operator="equal">
      <formula>"Oportunidad de mejora"</formula>
    </cfRule>
    <cfRule type="cellIs" dxfId="231" priority="426" operator="equal">
      <formula>"Recomendación"</formula>
    </cfRule>
    <cfRule type="cellIs" dxfId="230" priority="427" operator="equal">
      <formula>"No Conformidad"</formula>
    </cfRule>
  </conditionalFormatting>
  <conditionalFormatting sqref="E223:E225">
    <cfRule type="cellIs" dxfId="229" priority="423" operator="equal">
      <formula>"Institucional"</formula>
    </cfRule>
    <cfRule type="cellIs" dxfId="228" priority="424" operator="equal">
      <formula>"Proceso"</formula>
    </cfRule>
  </conditionalFormatting>
  <conditionalFormatting sqref="K223:K225">
    <cfRule type="cellIs" dxfId="227" priority="420" operator="equal">
      <formula>"Plan Mejoramiento"</formula>
    </cfRule>
    <cfRule type="cellIs" dxfId="226" priority="421" operator="equal">
      <formula>"Acción Preventiva"</formula>
    </cfRule>
    <cfRule type="cellIs" dxfId="225" priority="422" operator="equal">
      <formula>"Acción Correctiva"</formula>
    </cfRule>
  </conditionalFormatting>
  <conditionalFormatting sqref="K223:K225">
    <cfRule type="cellIs" dxfId="224" priority="419" operator="equal">
      <formula>"Corrección"</formula>
    </cfRule>
  </conditionalFormatting>
  <conditionalFormatting sqref="E200">
    <cfRule type="cellIs" dxfId="223" priority="417" operator="equal">
      <formula>"Institucional"</formula>
    </cfRule>
    <cfRule type="cellIs" dxfId="222" priority="418" operator="equal">
      <formula>"Proceso"</formula>
    </cfRule>
  </conditionalFormatting>
  <conditionalFormatting sqref="E201">
    <cfRule type="cellIs" dxfId="221" priority="415" operator="equal">
      <formula>"Institucional"</formula>
    </cfRule>
    <cfRule type="cellIs" dxfId="220" priority="416" operator="equal">
      <formula>"Proceso"</formula>
    </cfRule>
  </conditionalFormatting>
  <conditionalFormatting sqref="Q200:Q201 L200:N201">
    <cfRule type="cellIs" dxfId="219" priority="390" operator="equal">
      <formula>"Plan Mejoramiento"</formula>
    </cfRule>
    <cfRule type="cellIs" dxfId="218" priority="391" operator="equal">
      <formula>"Acción Preventiva"</formula>
    </cfRule>
    <cfRule type="cellIs" dxfId="217" priority="392" operator="equal">
      <formula>"Acción Correctiva"</formula>
    </cfRule>
  </conditionalFormatting>
  <conditionalFormatting sqref="R200:R201">
    <cfRule type="cellIs" dxfId="216" priority="388" operator="equal">
      <formula>"Cerrada"</formula>
    </cfRule>
    <cfRule type="cellIs" dxfId="215" priority="389" operator="equal">
      <formula>"Abierta"</formula>
    </cfRule>
  </conditionalFormatting>
  <conditionalFormatting sqref="M200:N201 Q200:Q201">
    <cfRule type="cellIs" dxfId="214" priority="387" operator="equal">
      <formula>"Corrección"</formula>
    </cfRule>
  </conditionalFormatting>
  <conditionalFormatting sqref="J200:J201">
    <cfRule type="cellIs" dxfId="213" priority="385" operator="equal">
      <formula>"Hallazgo Cerrado"</formula>
    </cfRule>
    <cfRule type="cellIs" dxfId="212" priority="386" operator="equal">
      <formula>"Hallazgo Abierto"</formula>
    </cfRule>
  </conditionalFormatting>
  <conditionalFormatting sqref="I200:I201">
    <cfRule type="cellIs" dxfId="211" priority="379" operator="equal">
      <formula>"Oportunidad de mejora"</formula>
    </cfRule>
    <cfRule type="cellIs" dxfId="210" priority="380" operator="equal">
      <formula>"Recomendación"</formula>
    </cfRule>
    <cfRule type="cellIs" dxfId="209" priority="381" operator="equal">
      <formula>"No Conformidad"</formula>
    </cfRule>
  </conditionalFormatting>
  <conditionalFormatting sqref="K200:K201">
    <cfRule type="cellIs" dxfId="208" priority="376" operator="equal">
      <formula>"Plan Mejoramiento"</formula>
    </cfRule>
    <cfRule type="cellIs" dxfId="207" priority="377" operator="equal">
      <formula>"Acción Preventiva"</formula>
    </cfRule>
    <cfRule type="cellIs" dxfId="206" priority="378" operator="equal">
      <formula>"Acción Correctiva"</formula>
    </cfRule>
  </conditionalFormatting>
  <conditionalFormatting sqref="K200:K201">
    <cfRule type="cellIs" dxfId="205" priority="375" operator="equal">
      <formula>"Corrección"</formula>
    </cfRule>
  </conditionalFormatting>
  <conditionalFormatting sqref="O200:O201">
    <cfRule type="cellIs" dxfId="204" priority="372" operator="equal">
      <formula>"Plan Mejoramiento"</formula>
    </cfRule>
    <cfRule type="cellIs" dxfId="203" priority="373" operator="equal">
      <formula>"Acción Preventiva"</formula>
    </cfRule>
    <cfRule type="cellIs" dxfId="202" priority="374" operator="equal">
      <formula>"Acción Correctiva"</formula>
    </cfRule>
  </conditionalFormatting>
  <conditionalFormatting sqref="O200:O201">
    <cfRule type="cellIs" dxfId="201" priority="371" operator="equal">
      <formula>"Corrección"</formula>
    </cfRule>
  </conditionalFormatting>
  <conditionalFormatting sqref="V208 V223:V225">
    <cfRule type="cellIs" dxfId="200" priority="368" operator="equal">
      <formula>"No ha formulado PM"</formula>
    </cfRule>
    <cfRule type="cellIs" dxfId="199" priority="369" operator="equal">
      <formula>"Oportuno"</formula>
    </cfRule>
    <cfRule type="cellIs" dxfId="198" priority="370" operator="equal">
      <formula>"Inoportuno"</formula>
    </cfRule>
  </conditionalFormatting>
  <conditionalFormatting sqref="T12">
    <cfRule type="cellIs" dxfId="197" priority="365" operator="equal">
      <formula>"Plan Mejoramiento"</formula>
    </cfRule>
    <cfRule type="cellIs" dxfId="196" priority="366" operator="equal">
      <formula>"Acción Preventiva"</formula>
    </cfRule>
    <cfRule type="cellIs" dxfId="195" priority="367" operator="equal">
      <formula>"Acción Correctiva"</formula>
    </cfRule>
  </conditionalFormatting>
  <conditionalFormatting sqref="T12">
    <cfRule type="cellIs" dxfId="194" priority="364" operator="equal">
      <formula>"Corrección"</formula>
    </cfRule>
  </conditionalFormatting>
  <conditionalFormatting sqref="T13">
    <cfRule type="cellIs" dxfId="193" priority="361" operator="equal">
      <formula>"Plan Mejoramiento"</formula>
    </cfRule>
    <cfRule type="cellIs" dxfId="192" priority="362" operator="equal">
      <formula>"Acción Preventiva"</formula>
    </cfRule>
    <cfRule type="cellIs" dxfId="191" priority="363" operator="equal">
      <formula>"Acción Correctiva"</formula>
    </cfRule>
  </conditionalFormatting>
  <conditionalFormatting sqref="T13">
    <cfRule type="cellIs" dxfId="190" priority="360" operator="equal">
      <formula>"Corrección"</formula>
    </cfRule>
  </conditionalFormatting>
  <conditionalFormatting sqref="T16">
    <cfRule type="cellIs" dxfId="189" priority="357" operator="equal">
      <formula>"Plan Mejoramiento"</formula>
    </cfRule>
    <cfRule type="cellIs" dxfId="188" priority="358" operator="equal">
      <formula>"Acción Preventiva"</formula>
    </cfRule>
    <cfRule type="cellIs" dxfId="187" priority="359" operator="equal">
      <formula>"Acción Correctiva"</formula>
    </cfRule>
  </conditionalFormatting>
  <conditionalFormatting sqref="T16">
    <cfRule type="cellIs" dxfId="186" priority="356" operator="equal">
      <formula>"Corrección"</formula>
    </cfRule>
  </conditionalFormatting>
  <conditionalFormatting sqref="T17">
    <cfRule type="cellIs" dxfId="185" priority="353" operator="equal">
      <formula>"Plan Mejoramiento"</formula>
    </cfRule>
    <cfRule type="cellIs" dxfId="184" priority="354" operator="equal">
      <formula>"Acción Preventiva"</formula>
    </cfRule>
    <cfRule type="cellIs" dxfId="183" priority="355" operator="equal">
      <formula>"Acción Correctiva"</formula>
    </cfRule>
  </conditionalFormatting>
  <conditionalFormatting sqref="T17">
    <cfRule type="cellIs" dxfId="182" priority="352" operator="equal">
      <formula>"Corrección"</formula>
    </cfRule>
  </conditionalFormatting>
  <conditionalFormatting sqref="T25">
    <cfRule type="cellIs" dxfId="181" priority="349" operator="equal">
      <formula>"Plan Mejoramiento"</formula>
    </cfRule>
    <cfRule type="cellIs" dxfId="180" priority="350" operator="equal">
      <formula>"Acción Preventiva"</formula>
    </cfRule>
    <cfRule type="cellIs" dxfId="179" priority="351" operator="equal">
      <formula>"Acción Correctiva"</formula>
    </cfRule>
  </conditionalFormatting>
  <conditionalFormatting sqref="T25">
    <cfRule type="cellIs" dxfId="178" priority="348" operator="equal">
      <formula>"Corrección"</formula>
    </cfRule>
  </conditionalFormatting>
  <conditionalFormatting sqref="T27">
    <cfRule type="cellIs" dxfId="177" priority="345" operator="equal">
      <formula>"Plan Mejoramiento"</formula>
    </cfRule>
    <cfRule type="cellIs" dxfId="176" priority="346" operator="equal">
      <formula>"Acción Preventiva"</formula>
    </cfRule>
    <cfRule type="cellIs" dxfId="175" priority="347" operator="equal">
      <formula>"Acción Correctiva"</formula>
    </cfRule>
  </conditionalFormatting>
  <conditionalFormatting sqref="T27">
    <cfRule type="cellIs" dxfId="174" priority="344" operator="equal">
      <formula>"Corrección"</formula>
    </cfRule>
  </conditionalFormatting>
  <conditionalFormatting sqref="T50">
    <cfRule type="cellIs" dxfId="173" priority="341" operator="equal">
      <formula>"Plan Mejoramiento"</formula>
    </cfRule>
    <cfRule type="cellIs" dxfId="172" priority="342" operator="equal">
      <formula>"Acción Preventiva"</formula>
    </cfRule>
    <cfRule type="cellIs" dxfId="171" priority="343" operator="equal">
      <formula>"Acción Correctiva"</formula>
    </cfRule>
  </conditionalFormatting>
  <conditionalFormatting sqref="T50">
    <cfRule type="cellIs" dxfId="170" priority="340" operator="equal">
      <formula>"Corrección"</formula>
    </cfRule>
  </conditionalFormatting>
  <conditionalFormatting sqref="T68">
    <cfRule type="cellIs" dxfId="169" priority="337" operator="equal">
      <formula>"Plan Mejoramiento"</formula>
    </cfRule>
    <cfRule type="cellIs" dxfId="168" priority="338" operator="equal">
      <formula>"Acción Preventiva"</formula>
    </cfRule>
    <cfRule type="cellIs" dxfId="167" priority="339" operator="equal">
      <formula>"Acción Correctiva"</formula>
    </cfRule>
  </conditionalFormatting>
  <conditionalFormatting sqref="T68">
    <cfRule type="cellIs" dxfId="166" priority="336" operator="equal">
      <formula>"Corrección"</formula>
    </cfRule>
  </conditionalFormatting>
  <conditionalFormatting sqref="Q69">
    <cfRule type="cellIs" dxfId="165" priority="333" operator="equal">
      <formula>"Plan Mejoramiento"</formula>
    </cfRule>
    <cfRule type="cellIs" dxfId="164" priority="334" operator="equal">
      <formula>"Acción Preventiva"</formula>
    </cfRule>
    <cfRule type="cellIs" dxfId="163" priority="335" operator="equal">
      <formula>"Acción Correctiva"</formula>
    </cfRule>
  </conditionalFormatting>
  <conditionalFormatting sqref="R69">
    <cfRule type="cellIs" dxfId="162" priority="331" operator="equal">
      <formula>"Cerrada"</formula>
    </cfRule>
    <cfRule type="cellIs" dxfId="161" priority="332" operator="equal">
      <formula>"Abierta"</formula>
    </cfRule>
  </conditionalFormatting>
  <conditionalFormatting sqref="Q69">
    <cfRule type="cellIs" dxfId="160" priority="330" operator="equal">
      <formula>"Corrección"</formula>
    </cfRule>
  </conditionalFormatting>
  <conditionalFormatting sqref="Q70">
    <cfRule type="cellIs" dxfId="159" priority="327" operator="equal">
      <formula>"Plan Mejoramiento"</formula>
    </cfRule>
    <cfRule type="cellIs" dxfId="158" priority="328" operator="equal">
      <formula>"Acción Preventiva"</formula>
    </cfRule>
    <cfRule type="cellIs" dxfId="157" priority="329" operator="equal">
      <formula>"Acción Correctiva"</formula>
    </cfRule>
  </conditionalFormatting>
  <conditionalFormatting sqref="Q70">
    <cfRule type="cellIs" dxfId="156" priority="326" operator="equal">
      <formula>"Corrección"</formula>
    </cfRule>
  </conditionalFormatting>
  <conditionalFormatting sqref="Q71">
    <cfRule type="cellIs" dxfId="155" priority="323" operator="equal">
      <formula>"Plan Mejoramiento"</formula>
    </cfRule>
    <cfRule type="cellIs" dxfId="154" priority="324" operator="equal">
      <formula>"Acción Preventiva"</formula>
    </cfRule>
    <cfRule type="cellIs" dxfId="153" priority="325" operator="equal">
      <formula>"Acción Correctiva"</formula>
    </cfRule>
  </conditionalFormatting>
  <conditionalFormatting sqref="Q71">
    <cfRule type="cellIs" dxfId="152" priority="322" operator="equal">
      <formula>"Corrección"</formula>
    </cfRule>
  </conditionalFormatting>
  <conditionalFormatting sqref="Q72">
    <cfRule type="cellIs" dxfId="151" priority="319" operator="equal">
      <formula>"Plan Mejoramiento"</formula>
    </cfRule>
    <cfRule type="cellIs" dxfId="150" priority="320" operator="equal">
      <formula>"Acción Preventiva"</formula>
    </cfRule>
    <cfRule type="cellIs" dxfId="149" priority="321" operator="equal">
      <formula>"Acción Correctiva"</formula>
    </cfRule>
  </conditionalFormatting>
  <conditionalFormatting sqref="Q72">
    <cfRule type="cellIs" dxfId="148" priority="318" operator="equal">
      <formula>"Corrección"</formula>
    </cfRule>
  </conditionalFormatting>
  <conditionalFormatting sqref="R85">
    <cfRule type="cellIs" dxfId="147" priority="304" operator="equal">
      <formula>"Cerrada"</formula>
    </cfRule>
    <cfRule type="cellIs" dxfId="146" priority="305" operator="equal">
      <formula>"Abierta"</formula>
    </cfRule>
  </conditionalFormatting>
  <conditionalFormatting sqref="R86">
    <cfRule type="cellIs" dxfId="145" priority="302" operator="equal">
      <formula>"Cerrada"</formula>
    </cfRule>
    <cfRule type="cellIs" dxfId="144" priority="303" operator="equal">
      <formula>"Abierta"</formula>
    </cfRule>
  </conditionalFormatting>
  <conditionalFormatting sqref="T87">
    <cfRule type="cellIs" dxfId="143" priority="299" operator="equal">
      <formula>"Plan Mejoramiento"</formula>
    </cfRule>
    <cfRule type="cellIs" dxfId="142" priority="300" operator="equal">
      <formula>"Acción Preventiva"</formula>
    </cfRule>
    <cfRule type="cellIs" dxfId="141" priority="301" operator="equal">
      <formula>"Acción Correctiva"</formula>
    </cfRule>
  </conditionalFormatting>
  <conditionalFormatting sqref="T87">
    <cfRule type="cellIs" dxfId="140" priority="298" operator="equal">
      <formula>"Corrección"</formula>
    </cfRule>
  </conditionalFormatting>
  <conditionalFormatting sqref="X86:X90">
    <cfRule type="cellIs" dxfId="139" priority="296" operator="equal">
      <formula>"Recomendación"</formula>
    </cfRule>
    <cfRule type="cellIs" dxfId="138" priority="297" operator="equal">
      <formula>"No Conformidad"</formula>
    </cfRule>
  </conditionalFormatting>
  <conditionalFormatting sqref="V86 V90">
    <cfRule type="cellIs" dxfId="137" priority="293" operator="equal">
      <formula>"No ha formulado PM"</formula>
    </cfRule>
    <cfRule type="cellIs" dxfId="136" priority="294" operator="equal">
      <formula>"Oportuno"</formula>
    </cfRule>
    <cfRule type="cellIs" dxfId="135" priority="295" operator="equal">
      <formula>"Inoportuno"</formula>
    </cfRule>
  </conditionalFormatting>
  <conditionalFormatting sqref="V87:V89">
    <cfRule type="cellIs" dxfId="134" priority="290" operator="equal">
      <formula>"No ha formulado PM"</formula>
    </cfRule>
    <cfRule type="cellIs" dxfId="133" priority="291" operator="equal">
      <formula>"Oportuno"</formula>
    </cfRule>
    <cfRule type="cellIs" dxfId="132" priority="292" operator="equal">
      <formula>"Inoportuno"</formula>
    </cfRule>
  </conditionalFormatting>
  <conditionalFormatting sqref="H210 L210:N211">
    <cfRule type="cellIs" dxfId="131" priority="269" operator="equal">
      <formula>"Plan Mejoramiento"</formula>
    </cfRule>
    <cfRule type="cellIs" dxfId="130" priority="270" operator="equal">
      <formula>"Acción Preventiva"</formula>
    </cfRule>
    <cfRule type="cellIs" dxfId="129" priority="271" operator="equal">
      <formula>"Acción Correctiva"</formula>
    </cfRule>
  </conditionalFormatting>
  <conditionalFormatting sqref="R210:R211">
    <cfRule type="cellIs" dxfId="128" priority="267" operator="equal">
      <formula>"Cerrada"</formula>
    </cfRule>
    <cfRule type="cellIs" dxfId="127" priority="268" operator="equal">
      <formula>"Abierta"</formula>
    </cfRule>
  </conditionalFormatting>
  <conditionalFormatting sqref="H210 M210:N211">
    <cfRule type="cellIs" dxfId="126" priority="266" operator="equal">
      <formula>"Corrección"</formula>
    </cfRule>
  </conditionalFormatting>
  <conditionalFormatting sqref="J210">
    <cfRule type="cellIs" dxfId="125" priority="264" operator="equal">
      <formula>"Hallazgo Cerrado"</formula>
    </cfRule>
    <cfRule type="cellIs" dxfId="124" priority="265" operator="equal">
      <formula>"Hallazgo Abierto"</formula>
    </cfRule>
  </conditionalFormatting>
  <conditionalFormatting sqref="I210">
    <cfRule type="cellIs" dxfId="123" priority="261" operator="equal">
      <formula>"Oportunidad de mejora"</formula>
    </cfRule>
    <cfRule type="cellIs" dxfId="122" priority="262" operator="equal">
      <formula>"Recomendación"</formula>
    </cfRule>
    <cfRule type="cellIs" dxfId="121" priority="263" operator="equal">
      <formula>"No Conformidad"</formula>
    </cfRule>
  </conditionalFormatting>
  <conditionalFormatting sqref="E210">
    <cfRule type="cellIs" dxfId="120" priority="259" operator="equal">
      <formula>"Institucional"</formula>
    </cfRule>
    <cfRule type="cellIs" dxfId="119" priority="260" operator="equal">
      <formula>"Proceso"</formula>
    </cfRule>
  </conditionalFormatting>
  <conditionalFormatting sqref="K210">
    <cfRule type="cellIs" dxfId="118" priority="256" operator="equal">
      <formula>"Plan Mejoramiento"</formula>
    </cfRule>
    <cfRule type="cellIs" dxfId="117" priority="257" operator="equal">
      <formula>"Acción Preventiva"</formula>
    </cfRule>
    <cfRule type="cellIs" dxfId="116" priority="258" operator="equal">
      <formula>"Acción Correctiva"</formula>
    </cfRule>
  </conditionalFormatting>
  <conditionalFormatting sqref="K210">
    <cfRule type="cellIs" dxfId="115" priority="255" operator="equal">
      <formula>"Corrección"</formula>
    </cfRule>
  </conditionalFormatting>
  <conditionalFormatting sqref="V210:V211">
    <cfRule type="cellIs" dxfId="114" priority="252" operator="equal">
      <formula>"No ha formulado PM"</formula>
    </cfRule>
    <cfRule type="cellIs" dxfId="113" priority="253" operator="equal">
      <formula>"Oportuno"</formula>
    </cfRule>
    <cfRule type="cellIs" dxfId="112" priority="254" operator="equal">
      <formula>"Inoportuno"</formula>
    </cfRule>
  </conditionalFormatting>
  <conditionalFormatting sqref="M209:O209">
    <cfRule type="cellIs" dxfId="111" priority="249" operator="equal">
      <formula>"Plan Mejoramiento"</formula>
    </cfRule>
    <cfRule type="cellIs" dxfId="110" priority="250" operator="equal">
      <formula>"Acción Preventiva"</formula>
    </cfRule>
    <cfRule type="cellIs" dxfId="109" priority="251" operator="equal">
      <formula>"Acción Correctiva"</formula>
    </cfRule>
  </conditionalFormatting>
  <conditionalFormatting sqref="L44:N44">
    <cfRule type="cellIs" dxfId="108" priority="189" operator="equal">
      <formula>"Plan Mejoramiento"</formula>
    </cfRule>
    <cfRule type="cellIs" dxfId="107" priority="190" operator="equal">
      <formula>"Acción Preventiva"</formula>
    </cfRule>
    <cfRule type="cellIs" dxfId="106" priority="191" operator="equal">
      <formula>"Acción Correctiva"</formula>
    </cfRule>
  </conditionalFormatting>
  <conditionalFormatting sqref="L44:N44">
    <cfRule type="cellIs" dxfId="105" priority="188" operator="equal">
      <formula>"Corrección"</formula>
    </cfRule>
  </conditionalFormatting>
  <conditionalFormatting sqref="R44">
    <cfRule type="cellIs" dxfId="104" priority="186" operator="equal">
      <formula>"Cerrada"</formula>
    </cfRule>
    <cfRule type="cellIs" dxfId="103" priority="187" operator="equal">
      <formula>"Abierta"</formula>
    </cfRule>
  </conditionalFormatting>
  <conditionalFormatting sqref="T63">
    <cfRule type="cellIs" dxfId="102" priority="183" operator="equal">
      <formula>"Plan Mejoramiento"</formula>
    </cfRule>
    <cfRule type="cellIs" dxfId="101" priority="184" operator="equal">
      <formula>"Acción Preventiva"</formula>
    </cfRule>
    <cfRule type="cellIs" dxfId="100" priority="185" operator="equal">
      <formula>"Acción Correctiva"</formula>
    </cfRule>
  </conditionalFormatting>
  <conditionalFormatting sqref="T63">
    <cfRule type="cellIs" dxfId="99" priority="182" operator="equal">
      <formula>"Corrección"</formula>
    </cfRule>
  </conditionalFormatting>
  <conditionalFormatting sqref="H211">
    <cfRule type="cellIs" dxfId="98" priority="179" operator="equal">
      <formula>"Plan Mejoramiento"</formula>
    </cfRule>
    <cfRule type="cellIs" dxfId="97" priority="180" operator="equal">
      <formula>"Acción Preventiva"</formula>
    </cfRule>
    <cfRule type="cellIs" dxfId="96" priority="181" operator="equal">
      <formula>"Acción Correctiva"</formula>
    </cfRule>
  </conditionalFormatting>
  <conditionalFormatting sqref="H211">
    <cfRule type="cellIs" dxfId="95" priority="178" operator="equal">
      <formula>"Corrección"</formula>
    </cfRule>
  </conditionalFormatting>
  <conditionalFormatting sqref="J211">
    <cfRule type="cellIs" dxfId="94" priority="176" operator="equal">
      <formula>"Hallazgo Cerrado"</formula>
    </cfRule>
    <cfRule type="cellIs" dxfId="93" priority="177" operator="equal">
      <formula>"Hallazgo Abierto"</formula>
    </cfRule>
  </conditionalFormatting>
  <conditionalFormatting sqref="I211">
    <cfRule type="cellIs" dxfId="92" priority="173" operator="equal">
      <formula>"Oportunidad de mejora"</formula>
    </cfRule>
    <cfRule type="cellIs" dxfId="91" priority="174" operator="equal">
      <formula>"Recomendación"</formula>
    </cfRule>
    <cfRule type="cellIs" dxfId="90" priority="175" operator="equal">
      <formula>"No Conformidad"</formula>
    </cfRule>
  </conditionalFormatting>
  <conditionalFormatting sqref="E211">
    <cfRule type="cellIs" dxfId="89" priority="171" operator="equal">
      <formula>"Institucional"</formula>
    </cfRule>
    <cfRule type="cellIs" dxfId="88" priority="172" operator="equal">
      <formula>"Proceso"</formula>
    </cfRule>
  </conditionalFormatting>
  <conditionalFormatting sqref="K211">
    <cfRule type="cellIs" dxfId="87" priority="168" operator="equal">
      <formula>"Plan Mejoramiento"</formula>
    </cfRule>
    <cfRule type="cellIs" dxfId="86" priority="169" operator="equal">
      <formula>"Acción Preventiva"</formula>
    </cfRule>
    <cfRule type="cellIs" dxfId="85" priority="170" operator="equal">
      <formula>"Acción Correctiva"</formula>
    </cfRule>
  </conditionalFormatting>
  <conditionalFormatting sqref="K211">
    <cfRule type="cellIs" dxfId="84" priority="167" operator="equal">
      <formula>"Corrección"</formula>
    </cfRule>
  </conditionalFormatting>
  <conditionalFormatting sqref="M212:O213">
    <cfRule type="cellIs" dxfId="83" priority="164" operator="equal">
      <formula>"Plan Mejoramiento"</formula>
    </cfRule>
    <cfRule type="cellIs" dxfId="82" priority="165" operator="equal">
      <formula>"Acción Preventiva"</formula>
    </cfRule>
    <cfRule type="cellIs" dxfId="81" priority="166" operator="equal">
      <formula>"Acción Correctiva"</formula>
    </cfRule>
  </conditionalFormatting>
  <conditionalFormatting sqref="H219:H222">
    <cfRule type="cellIs" dxfId="80" priority="140" operator="equal">
      <formula>"Plan Mejoramiento"</formula>
    </cfRule>
    <cfRule type="cellIs" dxfId="79" priority="141" operator="equal">
      <formula>"Acción Preventiva"</formula>
    </cfRule>
    <cfRule type="cellIs" dxfId="78" priority="142" operator="equal">
      <formula>"Acción Correctiva"</formula>
    </cfRule>
  </conditionalFormatting>
  <conditionalFormatting sqref="H219:H222">
    <cfRule type="cellIs" dxfId="77" priority="137" operator="equal">
      <formula>"Corrección"</formula>
    </cfRule>
  </conditionalFormatting>
  <conditionalFormatting sqref="J214:J222">
    <cfRule type="cellIs" dxfId="76" priority="135" operator="equal">
      <formula>"Hallazgo Cerrado"</formula>
    </cfRule>
    <cfRule type="cellIs" dxfId="75" priority="136" operator="equal">
      <formula>"Hallazgo Abierto"</formula>
    </cfRule>
  </conditionalFormatting>
  <conditionalFormatting sqref="I214:I222">
    <cfRule type="cellIs" dxfId="74" priority="132" operator="equal">
      <formula>"Oportunidad de mejora"</formula>
    </cfRule>
    <cfRule type="cellIs" dxfId="73" priority="133" operator="equal">
      <formula>"Recomendación"</formula>
    </cfRule>
    <cfRule type="cellIs" dxfId="72" priority="134" operator="equal">
      <formula>"No Conformidad"</formula>
    </cfRule>
  </conditionalFormatting>
  <conditionalFormatting sqref="E214:E222">
    <cfRule type="cellIs" dxfId="71" priority="130" operator="equal">
      <formula>"Institucional"</formula>
    </cfRule>
    <cfRule type="cellIs" dxfId="70" priority="131" operator="equal">
      <formula>"Proceso"</formula>
    </cfRule>
  </conditionalFormatting>
  <conditionalFormatting sqref="K214:K222">
    <cfRule type="cellIs" dxfId="69" priority="127" operator="equal">
      <formula>"Plan Mejoramiento"</formula>
    </cfRule>
    <cfRule type="cellIs" dxfId="68" priority="128" operator="equal">
      <formula>"Acción Preventiva"</formula>
    </cfRule>
    <cfRule type="cellIs" dxfId="67" priority="129" operator="equal">
      <formula>"Acción Correctiva"</formula>
    </cfRule>
  </conditionalFormatting>
  <conditionalFormatting sqref="K214:K222">
    <cfRule type="cellIs" dxfId="66" priority="126" operator="equal">
      <formula>"Corrección"</formula>
    </cfRule>
  </conditionalFormatting>
  <conditionalFormatting sqref="Q190">
    <cfRule type="cellIs" dxfId="65" priority="100" operator="equal">
      <formula>"Plan Mejoramiento"</formula>
    </cfRule>
    <cfRule type="cellIs" dxfId="64" priority="101" operator="equal">
      <formula>"Acción Preventiva"</formula>
    </cfRule>
    <cfRule type="cellIs" dxfId="63" priority="102" operator="equal">
      <formula>"Acción Correctiva"</formula>
    </cfRule>
  </conditionalFormatting>
  <conditionalFormatting sqref="Q190">
    <cfRule type="cellIs" dxfId="62" priority="99" operator="equal">
      <formula>"Corrección"</formula>
    </cfRule>
  </conditionalFormatting>
  <conditionalFormatting sqref="Q191">
    <cfRule type="cellIs" dxfId="61" priority="96" operator="equal">
      <formula>"Plan Mejoramiento"</formula>
    </cfRule>
    <cfRule type="cellIs" dxfId="60" priority="97" operator="equal">
      <formula>"Acción Preventiva"</formula>
    </cfRule>
    <cfRule type="cellIs" dxfId="59" priority="98" operator="equal">
      <formula>"Acción Correctiva"</formula>
    </cfRule>
  </conditionalFormatting>
  <conditionalFormatting sqref="Q191">
    <cfRule type="cellIs" dxfId="58" priority="95" operator="equal">
      <formula>"Corrección"</formula>
    </cfRule>
  </conditionalFormatting>
  <conditionalFormatting sqref="Q192">
    <cfRule type="cellIs" dxfId="57" priority="92" operator="equal">
      <formula>"Plan Mejoramiento"</formula>
    </cfRule>
    <cfRule type="cellIs" dxfId="56" priority="93" operator="equal">
      <formula>"Acción Preventiva"</formula>
    </cfRule>
    <cfRule type="cellIs" dxfId="55" priority="94" operator="equal">
      <formula>"Acción Correctiva"</formula>
    </cfRule>
  </conditionalFormatting>
  <conditionalFormatting sqref="Q192">
    <cfRule type="cellIs" dxfId="54" priority="91" operator="equal">
      <formula>"Corrección"</formula>
    </cfRule>
  </conditionalFormatting>
  <conditionalFormatting sqref="Q193">
    <cfRule type="cellIs" dxfId="53" priority="88" operator="equal">
      <formula>"Plan Mejoramiento"</formula>
    </cfRule>
    <cfRule type="cellIs" dxfId="52" priority="89" operator="equal">
      <formula>"Acción Preventiva"</formula>
    </cfRule>
    <cfRule type="cellIs" dxfId="51" priority="90" operator="equal">
      <formula>"Acción Correctiva"</formula>
    </cfRule>
  </conditionalFormatting>
  <conditionalFormatting sqref="Q193">
    <cfRule type="cellIs" dxfId="50" priority="87" operator="equal">
      <formula>"Corrección"</formula>
    </cfRule>
  </conditionalFormatting>
  <conditionalFormatting sqref="Q194">
    <cfRule type="cellIs" dxfId="49" priority="84" operator="equal">
      <formula>"Plan Mejoramiento"</formula>
    </cfRule>
    <cfRule type="cellIs" dxfId="48" priority="85" operator="equal">
      <formula>"Acción Preventiva"</formula>
    </cfRule>
    <cfRule type="cellIs" dxfId="47" priority="86" operator="equal">
      <formula>"Acción Correctiva"</formula>
    </cfRule>
  </conditionalFormatting>
  <conditionalFormatting sqref="Q194">
    <cfRule type="cellIs" dxfId="46" priority="83" operator="equal">
      <formula>"Corrección"</formula>
    </cfRule>
  </conditionalFormatting>
  <conditionalFormatting sqref="Q195">
    <cfRule type="cellIs" dxfId="45" priority="80" operator="equal">
      <formula>"Plan Mejoramiento"</formula>
    </cfRule>
    <cfRule type="cellIs" dxfId="44" priority="81" operator="equal">
      <formula>"Acción Preventiva"</formula>
    </cfRule>
    <cfRule type="cellIs" dxfId="43" priority="82" operator="equal">
      <formula>"Acción Correctiva"</formula>
    </cfRule>
  </conditionalFormatting>
  <conditionalFormatting sqref="Q195">
    <cfRule type="cellIs" dxfId="42" priority="79" operator="equal">
      <formula>"Corrección"</formula>
    </cfRule>
  </conditionalFormatting>
  <conditionalFormatting sqref="Q196">
    <cfRule type="cellIs" dxfId="41" priority="76" operator="equal">
      <formula>"Plan Mejoramiento"</formula>
    </cfRule>
    <cfRule type="cellIs" dxfId="40" priority="77" operator="equal">
      <formula>"Acción Preventiva"</formula>
    </cfRule>
    <cfRule type="cellIs" dxfId="39" priority="78" operator="equal">
      <formula>"Acción Correctiva"</formula>
    </cfRule>
  </conditionalFormatting>
  <conditionalFormatting sqref="Q196">
    <cfRule type="cellIs" dxfId="38" priority="75" operator="equal">
      <formula>"Corrección"</formula>
    </cfRule>
  </conditionalFormatting>
  <conditionalFormatting sqref="T43">
    <cfRule type="cellIs" dxfId="37" priority="33" operator="equal">
      <formula>"Plan Mejoramiento"</formula>
    </cfRule>
    <cfRule type="cellIs" dxfId="36" priority="34" operator="equal">
      <formula>"Acción Preventiva"</formula>
    </cfRule>
    <cfRule type="cellIs" dxfId="35" priority="35" operator="equal">
      <formula>"Acción Correctiva"</formula>
    </cfRule>
  </conditionalFormatting>
  <conditionalFormatting sqref="T43">
    <cfRule type="cellIs" dxfId="34" priority="32" operator="equal">
      <formula>"Corrección"</formula>
    </cfRule>
  </conditionalFormatting>
  <conditionalFormatting sqref="Q210">
    <cfRule type="cellIs" dxfId="33" priority="29" operator="equal">
      <formula>"Plan Mejoramiento"</formula>
    </cfRule>
    <cfRule type="cellIs" dxfId="32" priority="30" operator="equal">
      <formula>"Acción Preventiva"</formula>
    </cfRule>
    <cfRule type="cellIs" dxfId="31" priority="31" operator="equal">
      <formula>"Acción Correctiva"</formula>
    </cfRule>
  </conditionalFormatting>
  <conditionalFormatting sqref="Q210">
    <cfRule type="cellIs" dxfId="30" priority="28" operator="equal">
      <formula>"Corrección"</formula>
    </cfRule>
  </conditionalFormatting>
  <conditionalFormatting sqref="Q211">
    <cfRule type="cellIs" dxfId="29" priority="25" operator="equal">
      <formula>"Plan Mejoramiento"</formula>
    </cfRule>
    <cfRule type="cellIs" dxfId="28" priority="26" operator="equal">
      <formula>"Acción Preventiva"</formula>
    </cfRule>
    <cfRule type="cellIs" dxfId="27" priority="27" operator="equal">
      <formula>"Acción Correctiva"</formula>
    </cfRule>
  </conditionalFormatting>
  <conditionalFormatting sqref="Q211">
    <cfRule type="cellIs" dxfId="26" priority="24" operator="equal">
      <formula>"Corrección"</formula>
    </cfRule>
  </conditionalFormatting>
  <conditionalFormatting sqref="I172:I173">
    <cfRule type="cellIs" dxfId="25" priority="17" operator="equal">
      <formula>"Oportunidad de mejora"</formula>
    </cfRule>
    <cfRule type="cellIs" dxfId="24" priority="18" operator="equal">
      <formula>"Recomendación"</formula>
    </cfRule>
    <cfRule type="cellIs" dxfId="23" priority="19" operator="equal">
      <formula>"No Conformidad"</formula>
    </cfRule>
  </conditionalFormatting>
  <conditionalFormatting sqref="O173">
    <cfRule type="cellIs" dxfId="22" priority="14" operator="equal">
      <formula>"Plan Mejoramiento"</formula>
    </cfRule>
    <cfRule type="cellIs" dxfId="21" priority="15" operator="equal">
      <formula>"Acción Preventiva"</formula>
    </cfRule>
    <cfRule type="cellIs" dxfId="20" priority="16" operator="equal">
      <formula>"Acción Correctiva"</formula>
    </cfRule>
  </conditionalFormatting>
  <conditionalFormatting sqref="O173">
    <cfRule type="cellIs" dxfId="19" priority="13" operator="equal">
      <formula>"Corrección"</formula>
    </cfRule>
  </conditionalFormatting>
  <conditionalFormatting sqref="J172">
    <cfRule type="cellIs" dxfId="18" priority="10" operator="equal">
      <formula>"Oportunidad de mejora"</formula>
    </cfRule>
    <cfRule type="cellIs" dxfId="17" priority="11" operator="equal">
      <formula>"Recomendación"</formula>
    </cfRule>
    <cfRule type="cellIs" dxfId="16" priority="12" operator="equal">
      <formula>"No Conformidad"</formula>
    </cfRule>
  </conditionalFormatting>
  <conditionalFormatting sqref="L208:L209">
    <cfRule type="cellIs" dxfId="15" priority="7" operator="equal">
      <formula>"Plan Mejoramiento"</formula>
    </cfRule>
    <cfRule type="cellIs" dxfId="14" priority="8" operator="equal">
      <formula>"Acción Preventiva"</formula>
    </cfRule>
    <cfRule type="cellIs" dxfId="13" priority="9" operator="equal">
      <formula>"Acción Correctiva"</formula>
    </cfRule>
  </conditionalFormatting>
  <conditionalFormatting sqref="L212">
    <cfRule type="cellIs" dxfId="12" priority="4" operator="equal">
      <formula>"Plan Mejoramiento"</formula>
    </cfRule>
    <cfRule type="cellIs" dxfId="11" priority="5" operator="equal">
      <formula>"Acción Preventiva"</formula>
    </cfRule>
    <cfRule type="cellIs" dxfId="10" priority="6" operator="equal">
      <formula>"Acción Correctiva"</formula>
    </cfRule>
  </conditionalFormatting>
  <conditionalFormatting sqref="L213">
    <cfRule type="cellIs" dxfId="9" priority="1" operator="equal">
      <formula>"Plan Mejoramiento"</formula>
    </cfRule>
    <cfRule type="cellIs" dxfId="8" priority="2" operator="equal">
      <formula>"Acción Preventiva"</formula>
    </cfRule>
    <cfRule type="cellIs" dxfId="7" priority="3" operator="equal">
      <formula>"Acción Correctiva"</formula>
    </cfRule>
  </conditionalFormatting>
  <dataValidations count="13">
    <dataValidation type="list" allowBlank="1" showInputMessage="1" showErrorMessage="1" sqref="G258 M26 M28:M49 M4:M23 M54:M226">
      <formula1>"Corrección,Acción Correctiva,Acción Preventiva,Acción Mejora"</formula1>
    </dataValidation>
    <dataValidation type="list" allowBlank="1" showInputMessage="1" showErrorMessage="1" sqref="R230 D192 D125 D149 D4:D5 D54 D70 D72:D74 D60 D101:D103 D107 D110 D87 D18:D28 D56 D65:D68 D36:D50 D90:D94 D98:D99 D116:D118 D194 D188 D32 D78:D80 D190 E238:I238 D7:D12 D76 D82:D85 D120:D121 D127 D130:D142 D144:D147 D155:D171 D174:D177 D197:D226 D180:D184 D186">
      <formula1>"Auditoria,Informes,Especial,Autocontrol"</formula1>
    </dataValidation>
    <dataValidation type="list" allowBlank="1" showInputMessage="1" showErrorMessage="1" sqref="P231:P232 R4:R226">
      <formula1>"Abierta,Cerrada"</formula1>
    </dataValidation>
    <dataValidation type="list" allowBlank="1" showInputMessage="1" showErrorMessage="1" sqref="I192 I149 I125 P238 H233 C233 I54 I70 I72:I74 I60 I101:I103 I107 I110 I87 I18:I28 I56 I65:I68 I36:I50 I90:I94 I98:I99 I116:I118 I188 I194 I32 I78:I80 I190 I4:I5 I7:I12 I76 I82:I85 I120:I121 I127 I130:I142 I144:I147 I155:I171 I174:I177 I197:I226 I180:I184 I186">
      <formula1>"No Conformidad,Recomendación, Oportunidad de mejora"</formula1>
    </dataValidation>
    <dataValidation type="list" allowBlank="1" showInputMessage="1" showErrorMessage="1" sqref="K192 K54 K125 K149 K70 K72:K74 K60 K101:K103 K107 K110 K87 K18:K28 K56 K65:K68 K36:K50 K90:K94 K98:K99 K116:K118 K188 K194 K32 K78:K80 K190 K4:K5 K7:K12 K76 K82:K85 K120:K121 K127 K130:K142 K144:K147 K155:K171 K174:K177 K197:K226 K180:K184 K186">
      <formula1>"No,Si"</formula1>
    </dataValidation>
    <dataValidation type="list" allowBlank="1" showInputMessage="1" showErrorMessage="1" sqref="J54 J192 J149 J125 J70 J72:J74 J101:J103 J107 J110 J87 J60 J56 J65:J68 J36:J51 J90:J94 J98:J99 J116:J118 J188 J194 J32 J78:J80 J190 J4:J28 J76 J82:J85 J120:J121 J127 J130:J142 J144:J147 J155:J171 J174:J177 J197:J226 J180:J184 J186">
      <formula1>"Hallazgo Abierto,Hallazgo Cerrado"</formula1>
    </dataValidation>
    <dataValidation type="list" allowBlank="1" showInputMessage="1" showErrorMessage="1" sqref="C238:D238 E192 E125 E149 E101:E103 E107 E110 E54 E60 E72:E74 E87 E70 E18:E28 E56 E65:E68 E36:E50 E90:E94 E98:E99 E116:E118 E194 E188 E32 E78:E80 E190 E4 E7:E12 E76 E82:E85 E120:E121 E127 E130:E142 E144:E147 E155:E171 E174:E177 E197:E226 E180:E184 E186">
      <formula1>"Institucional,Proceso"</formula1>
    </dataValidation>
    <dataValidation type="list" allowBlank="1" showInputMessage="1" showErrorMessage="1" sqref="B248:B249 B241 C259:C271 B261 B268:B269 B4:B226">
      <formula1>Proceso</formula1>
    </dataValidation>
    <dataValidation type="list" allowBlank="1" showInputMessage="1" showErrorMessage="1" sqref="M27 M24:M25 M50:M53">
      <formula1>"Corrección,Acción Correctiva,Acción Preventiva, Plan Mejoramiento"</formula1>
    </dataValidation>
    <dataValidation type="textLength" allowBlank="1" showInputMessage="1" showErrorMessage="1" error="Escriba un texto " promptTitle="Cualquier contenido" sqref="N60:N64 C60:C64 H60">
      <formula1>0</formula1>
      <formula2>3500</formula2>
    </dataValidation>
    <dataValidation showDropDown="1" showInputMessage="1" showErrorMessage="1" sqref="O53"/>
    <dataValidation type="custom" allowBlank="1" showInputMessage="1" showErrorMessage="1" sqref="J173">
      <formula1>"Hallazgo Abierto;Hallazgo Cerrado"</formula1>
    </dataValidation>
    <dataValidation type="list" allowBlank="1" showInputMessage="1" showErrorMessage="1" sqref="F4:F226">
      <formula1>Auditores</formula1>
    </dataValidation>
  </dataValidations>
  <pageMargins left="1.2598425196850394" right="0.23622047244094491" top="0.63" bottom="0.51181102362204722" header="0.31496062992125984" footer="0.31496062992125984"/>
  <pageSetup paperSize="5" scale="36" fitToHeight="0" orientation="landscape" r:id="rId1"/>
  <headerFooter>
    <oddHeader>&amp;L&amp;G&amp;C&amp;"Arial Black,Normal"&amp;12Seguimiento Acciones Plan Mejoramiento
Caja de la Vivienda Popular</oddHeader>
    <oddFooter>&amp;L&amp;A&amp;CHoja &amp;P de &amp;N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9"/>
  <sheetViews>
    <sheetView topLeftCell="B1" zoomScaleNormal="100" workbookViewId="0">
      <selection activeCell="L5" sqref="L5"/>
    </sheetView>
  </sheetViews>
  <sheetFormatPr baseColWidth="10" defaultRowHeight="14.25" x14ac:dyDescent="0.2"/>
  <cols>
    <col min="1" max="1" width="3.140625" style="241" customWidth="1"/>
    <col min="2" max="2" width="32.85546875" style="241" customWidth="1"/>
    <col min="3" max="3" width="11.28515625" style="241" customWidth="1"/>
    <col min="4" max="4" width="11.5703125" style="241" customWidth="1"/>
    <col min="5" max="5" width="13.7109375" style="241" customWidth="1"/>
    <col min="6" max="6" width="11.85546875" style="241" customWidth="1"/>
    <col min="7" max="7" width="11.28515625" style="241" customWidth="1"/>
    <col min="8" max="8" width="11.42578125" style="241" customWidth="1"/>
    <col min="9" max="9" width="9.85546875" style="241" customWidth="1"/>
    <col min="10" max="10" width="10.28515625" style="241" customWidth="1"/>
    <col min="11" max="11" width="14.28515625" style="241" customWidth="1"/>
    <col min="12" max="13" width="11.42578125" style="241"/>
    <col min="14" max="14" width="3.28515625" style="241" customWidth="1"/>
    <col min="15" max="15" width="15.140625" style="241" customWidth="1"/>
    <col min="16" max="16384" width="11.42578125" style="241"/>
  </cols>
  <sheetData>
    <row r="1" spans="1:15" ht="21" thickBot="1" x14ac:dyDescent="0.35">
      <c r="B1" s="521" t="s">
        <v>571</v>
      </c>
      <c r="C1" s="522"/>
      <c r="D1" s="522"/>
      <c r="E1" s="522"/>
      <c r="F1" s="522"/>
      <c r="G1" s="522"/>
      <c r="H1" s="522"/>
      <c r="I1" s="522"/>
      <c r="J1" s="522"/>
      <c r="K1" s="522" t="s">
        <v>592</v>
      </c>
      <c r="L1" s="522"/>
      <c r="M1" s="523"/>
    </row>
    <row r="2" spans="1:15" ht="28.5" customHeight="1" x14ac:dyDescent="0.2">
      <c r="B2" s="528" t="s">
        <v>0</v>
      </c>
      <c r="C2" s="526" t="s">
        <v>574</v>
      </c>
      <c r="D2" s="517" t="s">
        <v>92</v>
      </c>
      <c r="E2" s="530"/>
      <c r="F2" s="530"/>
      <c r="G2" s="519" t="s">
        <v>573</v>
      </c>
      <c r="H2" s="520"/>
      <c r="I2" s="517" t="s">
        <v>130</v>
      </c>
      <c r="J2" s="518"/>
      <c r="K2" s="524" t="s">
        <v>572</v>
      </c>
      <c r="L2" s="524"/>
      <c r="M2" s="525"/>
    </row>
    <row r="3" spans="1:15" ht="27" customHeight="1" thickBot="1" x14ac:dyDescent="0.25">
      <c r="B3" s="529"/>
      <c r="C3" s="527"/>
      <c r="D3" s="226" t="s">
        <v>75</v>
      </c>
      <c r="E3" s="227" t="s">
        <v>50</v>
      </c>
      <c r="F3" s="230" t="s">
        <v>365</v>
      </c>
      <c r="G3" s="231" t="s">
        <v>76</v>
      </c>
      <c r="H3" s="232" t="s">
        <v>77</v>
      </c>
      <c r="I3" s="229" t="s">
        <v>131</v>
      </c>
      <c r="J3" s="223" t="s">
        <v>132</v>
      </c>
      <c r="K3" s="240" t="s">
        <v>505</v>
      </c>
      <c r="L3" s="96" t="s">
        <v>48</v>
      </c>
      <c r="M3" s="221" t="s">
        <v>52</v>
      </c>
      <c r="O3" s="249" t="s">
        <v>591</v>
      </c>
    </row>
    <row r="4" spans="1:15" ht="15" thickTop="1" x14ac:dyDescent="0.2">
      <c r="A4" s="241">
        <v>1</v>
      </c>
      <c r="B4" s="242" t="s">
        <v>46</v>
      </c>
      <c r="C4" s="310">
        <f>'PM 2016'!J239</f>
        <v>34</v>
      </c>
      <c r="D4" s="311">
        <f>'PM 2016'!N239</f>
        <v>34</v>
      </c>
      <c r="E4" s="312">
        <f>'PM 2016'!O239</f>
        <v>0</v>
      </c>
      <c r="F4" s="313">
        <f>'PM 2016'!P239</f>
        <v>0</v>
      </c>
      <c r="G4" s="314">
        <f>'PM 2016'!Q239</f>
        <v>34</v>
      </c>
      <c r="H4" s="315">
        <f>'PM 2016'!R239</f>
        <v>0</v>
      </c>
      <c r="I4" s="314">
        <f>'PM 2016'!L239</f>
        <v>29</v>
      </c>
      <c r="J4" s="316">
        <f>'PM 2016'!M239</f>
        <v>5</v>
      </c>
      <c r="K4" s="317">
        <f>'PM 2016'!J259</f>
        <v>50</v>
      </c>
      <c r="L4" s="318">
        <f>'PM 2016'!K259</f>
        <v>33</v>
      </c>
      <c r="M4" s="319">
        <f>'PM 2016'!L259</f>
        <v>17</v>
      </c>
      <c r="O4" s="251">
        <f>M4/K4</f>
        <v>0.34</v>
      </c>
    </row>
    <row r="5" spans="1:15" ht="15.75" customHeight="1" x14ac:dyDescent="0.2">
      <c r="A5" s="241">
        <v>2</v>
      </c>
      <c r="B5" s="243" t="s">
        <v>9</v>
      </c>
      <c r="C5" s="310">
        <f>'PM 2016'!J240</f>
        <v>17</v>
      </c>
      <c r="D5" s="320">
        <f>'PM 2016'!N240</f>
        <v>17</v>
      </c>
      <c r="E5" s="318">
        <f>'PM 2016'!O240</f>
        <v>0</v>
      </c>
      <c r="F5" s="321">
        <f>'PM 2016'!P240</f>
        <v>0</v>
      </c>
      <c r="G5" s="314">
        <f>'PM 2016'!Q240</f>
        <v>17</v>
      </c>
      <c r="H5" s="315">
        <f>'PM 2016'!R240</f>
        <v>0</v>
      </c>
      <c r="I5" s="320">
        <f>'PM 2016'!L240</f>
        <v>17</v>
      </c>
      <c r="J5" s="321">
        <f>'PM 2016'!M240</f>
        <v>0</v>
      </c>
      <c r="K5" s="318">
        <f>'PM 2016'!J260</f>
        <v>17</v>
      </c>
      <c r="L5" s="318">
        <f>'PM 2016'!K260</f>
        <v>17</v>
      </c>
      <c r="M5" s="319">
        <f>'PM 2016'!L260</f>
        <v>0</v>
      </c>
      <c r="O5" s="248">
        <f t="shared" ref="O5:O16" si="0">M5/K5</f>
        <v>0</v>
      </c>
    </row>
    <row r="6" spans="1:15" ht="29.25" customHeight="1" x14ac:dyDescent="0.2">
      <c r="A6" s="241">
        <v>3</v>
      </c>
      <c r="B6" s="243" t="s">
        <v>333</v>
      </c>
      <c r="C6" s="310">
        <f>'PM 2016'!J241</f>
        <v>19</v>
      </c>
      <c r="D6" s="320">
        <f>'PM 2016'!N241</f>
        <v>19</v>
      </c>
      <c r="E6" s="318">
        <f>'PM 2016'!O241</f>
        <v>0</v>
      </c>
      <c r="F6" s="321">
        <f>'PM 2016'!P241</f>
        <v>0</v>
      </c>
      <c r="G6" s="314">
        <f>'PM 2016'!Q241</f>
        <v>19</v>
      </c>
      <c r="H6" s="315">
        <f>'PM 2016'!R241</f>
        <v>0</v>
      </c>
      <c r="I6" s="320">
        <f>'PM 2016'!L241</f>
        <v>9</v>
      </c>
      <c r="J6" s="321">
        <f>'PM 2016'!M241</f>
        <v>10</v>
      </c>
      <c r="K6" s="318">
        <f>'PM 2016'!J261</f>
        <v>34</v>
      </c>
      <c r="L6" s="318">
        <f>'PM 2016'!K261</f>
        <v>14</v>
      </c>
      <c r="M6" s="319">
        <f>'PM 2016'!L261</f>
        <v>20</v>
      </c>
      <c r="O6" s="248">
        <f t="shared" si="0"/>
        <v>0.58823529411764708</v>
      </c>
    </row>
    <row r="7" spans="1:15" ht="16.5" customHeight="1" x14ac:dyDescent="0.2">
      <c r="A7" s="241">
        <v>4</v>
      </c>
      <c r="B7" s="244" t="s">
        <v>2</v>
      </c>
      <c r="C7" s="310">
        <f>'PM 2016'!J242</f>
        <v>6</v>
      </c>
      <c r="D7" s="320">
        <f>'PM 2016'!N242</f>
        <v>6</v>
      </c>
      <c r="E7" s="318">
        <f>'PM 2016'!O242</f>
        <v>0</v>
      </c>
      <c r="F7" s="321">
        <f>'PM 2016'!P242</f>
        <v>0</v>
      </c>
      <c r="G7" s="314">
        <f>'PM 2016'!Q242</f>
        <v>6</v>
      </c>
      <c r="H7" s="315">
        <f>'PM 2016'!R242</f>
        <v>0</v>
      </c>
      <c r="I7" s="320">
        <f>'PM 2016'!L242</f>
        <v>6</v>
      </c>
      <c r="J7" s="321">
        <f>'PM 2016'!M242</f>
        <v>0</v>
      </c>
      <c r="K7" s="318">
        <f>'PM 2016'!J262</f>
        <v>7</v>
      </c>
      <c r="L7" s="318">
        <f>'PM 2016'!K262</f>
        <v>7</v>
      </c>
      <c r="M7" s="319">
        <f>'PM 2016'!L262</f>
        <v>0</v>
      </c>
      <c r="O7" s="248">
        <f t="shared" si="0"/>
        <v>0</v>
      </c>
    </row>
    <row r="8" spans="1:15" ht="16.5" customHeight="1" x14ac:dyDescent="0.2">
      <c r="A8" s="241">
        <v>5</v>
      </c>
      <c r="B8" s="244" t="s">
        <v>21</v>
      </c>
      <c r="C8" s="310">
        <f>'PM 2016'!J243</f>
        <v>8</v>
      </c>
      <c r="D8" s="320">
        <f>'PM 2016'!N243</f>
        <v>8</v>
      </c>
      <c r="E8" s="318">
        <f>'PM 2016'!O243</f>
        <v>0</v>
      </c>
      <c r="F8" s="321">
        <f>'PM 2016'!P243</f>
        <v>0</v>
      </c>
      <c r="G8" s="314">
        <f>'PM 2016'!Q243</f>
        <v>8</v>
      </c>
      <c r="H8" s="315">
        <f>'PM 2016'!R243</f>
        <v>0</v>
      </c>
      <c r="I8" s="320">
        <f>'PM 2016'!L243</f>
        <v>6</v>
      </c>
      <c r="J8" s="321">
        <f>'PM 2016'!M243</f>
        <v>2</v>
      </c>
      <c r="K8" s="318">
        <f>'PM 2016'!J263</f>
        <v>15</v>
      </c>
      <c r="L8" s="318">
        <f>'PM 2016'!K263</f>
        <v>9</v>
      </c>
      <c r="M8" s="319">
        <f>'PM 2016'!L263</f>
        <v>6</v>
      </c>
      <c r="O8" s="248">
        <f t="shared" si="0"/>
        <v>0.4</v>
      </c>
    </row>
    <row r="9" spans="1:15" x14ac:dyDescent="0.2">
      <c r="A9" s="241">
        <v>6</v>
      </c>
      <c r="B9" s="244" t="s">
        <v>34</v>
      </c>
      <c r="C9" s="310">
        <f>'PM 2016'!J244</f>
        <v>4</v>
      </c>
      <c r="D9" s="320">
        <f>'PM 2016'!N244</f>
        <v>4</v>
      </c>
      <c r="E9" s="318">
        <f>'PM 2016'!O244</f>
        <v>0</v>
      </c>
      <c r="F9" s="321">
        <f>'PM 2016'!P244</f>
        <v>0</v>
      </c>
      <c r="G9" s="314">
        <f>'PM 2016'!Q244</f>
        <v>4</v>
      </c>
      <c r="H9" s="315">
        <f>'PM 2016'!R244</f>
        <v>0</v>
      </c>
      <c r="I9" s="320">
        <f>'PM 2016'!L244</f>
        <v>4</v>
      </c>
      <c r="J9" s="321">
        <f>'PM 2016'!M244</f>
        <v>0</v>
      </c>
      <c r="K9" s="318">
        <f>'PM 2016'!J264</f>
        <v>5</v>
      </c>
      <c r="L9" s="318">
        <f>'PM 2016'!K264</f>
        <v>4</v>
      </c>
      <c r="M9" s="319">
        <f>'PM 2016'!L264</f>
        <v>1</v>
      </c>
      <c r="O9" s="248">
        <f t="shared" si="0"/>
        <v>0.2</v>
      </c>
    </row>
    <row r="10" spans="1:15" x14ac:dyDescent="0.2">
      <c r="A10" s="241">
        <v>7</v>
      </c>
      <c r="B10" s="244" t="s">
        <v>33</v>
      </c>
      <c r="C10" s="310">
        <f>'PM 2016'!J245</f>
        <v>7</v>
      </c>
      <c r="D10" s="320">
        <f>'PM 2016'!N245</f>
        <v>7</v>
      </c>
      <c r="E10" s="318">
        <f>'PM 2016'!O245</f>
        <v>0</v>
      </c>
      <c r="F10" s="321">
        <f>'PM 2016'!P245</f>
        <v>0</v>
      </c>
      <c r="G10" s="314">
        <f>'PM 2016'!Q245</f>
        <v>7</v>
      </c>
      <c r="H10" s="315">
        <f>'PM 2016'!R245</f>
        <v>0</v>
      </c>
      <c r="I10" s="320">
        <f>'PM 2016'!L245</f>
        <v>7</v>
      </c>
      <c r="J10" s="321">
        <f>'PM 2016'!M245</f>
        <v>0</v>
      </c>
      <c r="K10" s="318">
        <f>'PM 2016'!J265</f>
        <v>7</v>
      </c>
      <c r="L10" s="318">
        <f>'PM 2016'!K265</f>
        <v>7</v>
      </c>
      <c r="M10" s="319">
        <f>'PM 2016'!L265</f>
        <v>0</v>
      </c>
      <c r="O10" s="248">
        <f t="shared" si="0"/>
        <v>0</v>
      </c>
    </row>
    <row r="11" spans="1:15" x14ac:dyDescent="0.2">
      <c r="A11" s="241">
        <v>8</v>
      </c>
      <c r="B11" s="244" t="s">
        <v>263</v>
      </c>
      <c r="C11" s="310">
        <f>'PM 2016'!J246</f>
        <v>7</v>
      </c>
      <c r="D11" s="320">
        <f>'PM 2016'!N246</f>
        <v>7</v>
      </c>
      <c r="E11" s="318">
        <f>'PM 2016'!O246</f>
        <v>0</v>
      </c>
      <c r="F11" s="321">
        <f>'PM 2016'!P246</f>
        <v>0</v>
      </c>
      <c r="G11" s="314">
        <f>'PM 2016'!Q246</f>
        <v>7</v>
      </c>
      <c r="H11" s="315">
        <f>'PM 2016'!R246</f>
        <v>0</v>
      </c>
      <c r="I11" s="320">
        <f>'PM 2016'!L246</f>
        <v>7</v>
      </c>
      <c r="J11" s="321">
        <f>'PM 2016'!M246</f>
        <v>0</v>
      </c>
      <c r="K11" s="318">
        <f>'PM 2016'!J266</f>
        <v>12</v>
      </c>
      <c r="L11" s="318">
        <f>'PM 2016'!K266</f>
        <v>9</v>
      </c>
      <c r="M11" s="319">
        <f>'PM 2016'!L266</f>
        <v>3</v>
      </c>
      <c r="O11" s="248">
        <f t="shared" si="0"/>
        <v>0.25</v>
      </c>
    </row>
    <row r="12" spans="1:15" ht="28.5" x14ac:dyDescent="0.2">
      <c r="A12" s="241">
        <v>9</v>
      </c>
      <c r="B12" s="245" t="s">
        <v>59</v>
      </c>
      <c r="C12" s="310">
        <f>'PM 2016'!J247</f>
        <v>4</v>
      </c>
      <c r="D12" s="320">
        <f>'PM 2016'!N247</f>
        <v>4</v>
      </c>
      <c r="E12" s="318">
        <f>'PM 2016'!O247</f>
        <v>0</v>
      </c>
      <c r="F12" s="321">
        <f>'PM 2016'!P247</f>
        <v>0</v>
      </c>
      <c r="G12" s="314">
        <f>'PM 2016'!Q247</f>
        <v>4</v>
      </c>
      <c r="H12" s="315">
        <f>'PM 2016'!R247</f>
        <v>0</v>
      </c>
      <c r="I12" s="320">
        <f>'PM 2016'!L247</f>
        <v>4</v>
      </c>
      <c r="J12" s="321">
        <f>'PM 2016'!M247</f>
        <v>0</v>
      </c>
      <c r="K12" s="318">
        <f>'PM 2016'!J267</f>
        <v>4</v>
      </c>
      <c r="L12" s="318">
        <f>'PM 2016'!K267</f>
        <v>4</v>
      </c>
      <c r="M12" s="319">
        <f>'PM 2016'!L267</f>
        <v>0</v>
      </c>
      <c r="O12" s="248">
        <f t="shared" si="0"/>
        <v>0</v>
      </c>
    </row>
    <row r="13" spans="1:15" x14ac:dyDescent="0.2">
      <c r="A13" s="241">
        <v>10</v>
      </c>
      <c r="B13" s="245" t="s">
        <v>60</v>
      </c>
      <c r="C13" s="310">
        <f>'PM 2016'!J248</f>
        <v>9</v>
      </c>
      <c r="D13" s="320">
        <f>'PM 2016'!N248</f>
        <v>9</v>
      </c>
      <c r="E13" s="318">
        <f>'PM 2016'!O248</f>
        <v>0</v>
      </c>
      <c r="F13" s="321">
        <f>'PM 2016'!P248</f>
        <v>0</v>
      </c>
      <c r="G13" s="314">
        <f>'PM 2016'!Q248</f>
        <v>8</v>
      </c>
      <c r="H13" s="315">
        <f>'PM 2016'!R248</f>
        <v>1</v>
      </c>
      <c r="I13" s="320">
        <f>'PM 2016'!L248</f>
        <v>9</v>
      </c>
      <c r="J13" s="321">
        <f>'PM 2016'!M248</f>
        <v>0</v>
      </c>
      <c r="K13" s="318">
        <f>'PM 2016'!J268</f>
        <v>17</v>
      </c>
      <c r="L13" s="318">
        <f>'PM 2016'!K268</f>
        <v>17</v>
      </c>
      <c r="M13" s="319">
        <f>'PM 2016'!L268</f>
        <v>0</v>
      </c>
      <c r="O13" s="248">
        <f t="shared" si="0"/>
        <v>0</v>
      </c>
    </row>
    <row r="14" spans="1:15" x14ac:dyDescent="0.2">
      <c r="A14" s="241">
        <v>11</v>
      </c>
      <c r="B14" s="245" t="s">
        <v>331</v>
      </c>
      <c r="C14" s="310">
        <f>'PM 2016'!J249</f>
        <v>19</v>
      </c>
      <c r="D14" s="320">
        <f>'PM 2016'!N249</f>
        <v>19</v>
      </c>
      <c r="E14" s="318">
        <f>'PM 2016'!O249</f>
        <v>0</v>
      </c>
      <c r="F14" s="321">
        <f>'PM 2016'!P249</f>
        <v>0</v>
      </c>
      <c r="G14" s="314">
        <f>'PM 2016'!Q249</f>
        <v>16</v>
      </c>
      <c r="H14" s="315">
        <f>'PM 2016'!R249</f>
        <v>3</v>
      </c>
      <c r="I14" s="320">
        <f>'PM 2016'!L249</f>
        <v>12</v>
      </c>
      <c r="J14" s="321">
        <f>'PM 2016'!M249</f>
        <v>7</v>
      </c>
      <c r="K14" s="318">
        <f>'PM 2016'!J269</f>
        <v>20</v>
      </c>
      <c r="L14" s="318">
        <f>'PM 2016'!K269</f>
        <v>11</v>
      </c>
      <c r="M14" s="319">
        <f>'PM 2016'!L269</f>
        <v>9</v>
      </c>
      <c r="O14" s="248">
        <f t="shared" si="0"/>
        <v>0.45</v>
      </c>
    </row>
    <row r="15" spans="1:15" x14ac:dyDescent="0.2">
      <c r="A15" s="241">
        <v>12</v>
      </c>
      <c r="B15" s="245" t="s">
        <v>58</v>
      </c>
      <c r="C15" s="310">
        <f>'PM 2016'!J250</f>
        <v>5</v>
      </c>
      <c r="D15" s="320">
        <f>'PM 2016'!N250</f>
        <v>5</v>
      </c>
      <c r="E15" s="318">
        <f>'PM 2016'!O250</f>
        <v>0</v>
      </c>
      <c r="F15" s="321">
        <f>'PM 2016'!P250</f>
        <v>0</v>
      </c>
      <c r="G15" s="314">
        <f>'PM 2016'!Q250</f>
        <v>5</v>
      </c>
      <c r="H15" s="315">
        <f>'PM 2016'!R250</f>
        <v>0</v>
      </c>
      <c r="I15" s="320">
        <f>'PM 2016'!L250</f>
        <v>5</v>
      </c>
      <c r="J15" s="321">
        <f>'PM 2016'!M250</f>
        <v>0</v>
      </c>
      <c r="K15" s="318">
        <f>'PM 2016'!J270</f>
        <v>12</v>
      </c>
      <c r="L15" s="318">
        <f>'PM 2016'!K270</f>
        <v>12</v>
      </c>
      <c r="M15" s="319">
        <f>'PM 2016'!L270</f>
        <v>0</v>
      </c>
      <c r="O15" s="248">
        <f t="shared" si="0"/>
        <v>0</v>
      </c>
    </row>
    <row r="16" spans="1:15" ht="15" thickBot="1" x14ac:dyDescent="0.25">
      <c r="A16" s="241">
        <v>13</v>
      </c>
      <c r="B16" s="246" t="s">
        <v>62</v>
      </c>
      <c r="C16" s="322">
        <f>'PM 2016'!J251</f>
        <v>6</v>
      </c>
      <c r="D16" s="323">
        <f>'PM 2016'!N251</f>
        <v>6</v>
      </c>
      <c r="E16" s="324">
        <f>'PM 2016'!O251</f>
        <v>0</v>
      </c>
      <c r="F16" s="253">
        <f>'PM 2016'!P251</f>
        <v>0</v>
      </c>
      <c r="G16" s="323">
        <f>'PM 2016'!Q251</f>
        <v>6</v>
      </c>
      <c r="H16" s="325">
        <f>'PM 2016'!R251</f>
        <v>0</v>
      </c>
      <c r="I16" s="323">
        <f>'PM 2016'!L251</f>
        <v>2</v>
      </c>
      <c r="J16" s="253">
        <f>'PM 2016'!M251</f>
        <v>4</v>
      </c>
      <c r="K16" s="324">
        <f>'PM 2016'!J271</f>
        <v>11</v>
      </c>
      <c r="L16" s="324">
        <f>'PM 2016'!K271</f>
        <v>4</v>
      </c>
      <c r="M16" s="326">
        <f>'PM 2016'!L271</f>
        <v>7</v>
      </c>
      <c r="O16" s="252">
        <f t="shared" si="0"/>
        <v>0.63636363636363635</v>
      </c>
    </row>
    <row r="17" spans="2:15" ht="18.75" thickBot="1" x14ac:dyDescent="0.3">
      <c r="B17" s="222" t="s">
        <v>83</v>
      </c>
      <c r="C17" s="276">
        <f>SUM(C4:C16)</f>
        <v>145</v>
      </c>
      <c r="D17" s="277">
        <f>SUM(D4:D16)</f>
        <v>145</v>
      </c>
      <c r="E17" s="277">
        <f t="shared" ref="E17:F17" si="1">SUM(E4:E16)</f>
        <v>0</v>
      </c>
      <c r="F17" s="278">
        <f t="shared" si="1"/>
        <v>0</v>
      </c>
      <c r="G17" s="233">
        <f t="shared" ref="G17:M17" si="2">SUM(G4:G16)</f>
        <v>141</v>
      </c>
      <c r="H17" s="234">
        <f>SUM(H4:H16)</f>
        <v>4</v>
      </c>
      <c r="I17" s="233">
        <f t="shared" si="2"/>
        <v>117</v>
      </c>
      <c r="J17" s="235">
        <f t="shared" si="2"/>
        <v>28</v>
      </c>
      <c r="K17" s="238">
        <f t="shared" si="2"/>
        <v>211</v>
      </c>
      <c r="L17" s="228">
        <f t="shared" si="2"/>
        <v>148</v>
      </c>
      <c r="M17" s="239">
        <f t="shared" si="2"/>
        <v>63</v>
      </c>
      <c r="O17" s="250">
        <f>M17/K17</f>
        <v>0.29857819905213268</v>
      </c>
    </row>
    <row r="18" spans="2:15" ht="5.25" customHeight="1" thickBot="1" x14ac:dyDescent="0.25"/>
    <row r="19" spans="2:15" ht="16.5" thickBot="1" x14ac:dyDescent="0.3">
      <c r="B19" s="120" t="s">
        <v>570</v>
      </c>
      <c r="C19" s="247">
        <f>'PM 2016'!N1</f>
        <v>42643</v>
      </c>
    </row>
  </sheetData>
  <mergeCells count="8">
    <mergeCell ref="I2:J2"/>
    <mergeCell ref="G2:H2"/>
    <mergeCell ref="B1:J1"/>
    <mergeCell ref="K1:M1"/>
    <mergeCell ref="K2:M2"/>
    <mergeCell ref="C2:C3"/>
    <mergeCell ref="B2:B3"/>
    <mergeCell ref="D2:F2"/>
  </mergeCells>
  <conditionalFormatting sqref="F3">
    <cfRule type="cellIs" dxfId="6" priority="5" operator="equal">
      <formula>"Oportunidad de mejora"</formula>
    </cfRule>
    <cfRule type="cellIs" dxfId="5" priority="6" operator="equal">
      <formula>"Recomendación"</formula>
    </cfRule>
    <cfRule type="cellIs" dxfId="4" priority="7" operator="equal">
      <formula>"No Conformidad"</formula>
    </cfRule>
  </conditionalFormatting>
  <conditionalFormatting sqref="L3:M3">
    <cfRule type="cellIs" dxfId="3" priority="3" operator="equal">
      <formula>"Cerrada"</formula>
    </cfRule>
    <cfRule type="cellIs" dxfId="2" priority="4" operator="equal">
      <formula>"Abierta"</formula>
    </cfRule>
  </conditionalFormatting>
  <conditionalFormatting sqref="I3:J3">
    <cfRule type="cellIs" dxfId="1" priority="1" operator="equal">
      <formula>"Hallazgo Cerrado"</formula>
    </cfRule>
    <cfRule type="cellIs" dxfId="0" priority="2" operator="equal">
      <formula>"Hallazgo Abierto"</formula>
    </cfRule>
  </conditionalFormatting>
  <pageMargins left="0.51181102362204722" right="0.43307086614173229" top="1.1023622047244095" bottom="0.74803149606299213" header="0.31496062992125984" footer="0.31496062992125984"/>
  <pageSetup scale="78" orientation="landscape" r:id="rId1"/>
  <headerFooter>
    <oddHeader>&amp;L&amp;G&amp;C&amp;"Arial Black,Normal"&amp;12Seguimiento consolidado Plan de Mejoramiento por procesos.
Caja de la Vivienda Popular
Control Interno</oddHeader>
    <oddFooter>&amp;L&amp;A&amp;R&amp;F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Parametros</vt:lpstr>
      <vt:lpstr>PM FORMATO V1 Mar 2014</vt:lpstr>
      <vt:lpstr>PM 2016</vt:lpstr>
      <vt:lpstr>Resumen Vig2016</vt:lpstr>
      <vt:lpstr>'PM 2016'!Área_de_impresión</vt:lpstr>
      <vt:lpstr>'Resumen Vig2016'!Área_de_impresión</vt:lpstr>
      <vt:lpstr>Auditores</vt:lpstr>
      <vt:lpstr>Proceso</vt:lpstr>
      <vt:lpstr>'PM 2016'!Títulos_a_imprimir</vt:lpstr>
      <vt:lpstr>'PM FORMATO V1 Mar 2014'!Títulos_a_imprimir</vt:lpstr>
    </vt:vector>
  </TitlesOfParts>
  <Company>Caja de la Vivienda Popular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Claudia Marcela García</cp:lastModifiedBy>
  <cp:lastPrinted>2016-09-23T14:06:08Z</cp:lastPrinted>
  <dcterms:created xsi:type="dcterms:W3CDTF">2012-12-10T14:26:22Z</dcterms:created>
  <dcterms:modified xsi:type="dcterms:W3CDTF">2016-12-07T16:43:47Z</dcterms:modified>
</cp:coreProperties>
</file>