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6.160.201\planeacion\Oficial\Backup Contratistas OAP\ERIKA PRIETO\PLAN PLURIANUAL\PLURIANUAL 2022\"/>
    </mc:Choice>
  </mc:AlternateContent>
  <bookViews>
    <workbookView xWindow="0" yWindow="0" windowWidth="13155" windowHeight="11175" tabRatio="553" firstSheet="2" activeTab="2"/>
  </bookViews>
  <sheets>
    <sheet name="DIFERENCIAS" sheetId="52" state="hidden" r:id="rId1"/>
    <sheet name="SOPORTE REPROGRAMACIÓN $ 2017" sheetId="53" state="hidden" r:id="rId2"/>
    <sheet name="Enero 2022"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'Enero 2022'!$A:$AL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90" i="93" l="1"/>
  <c r="AJ74" i="93"/>
  <c r="AJ59" i="93"/>
  <c r="AJ21" i="93"/>
  <c r="AI24" i="93" l="1"/>
  <c r="AJ24" i="93" l="1"/>
  <c r="W41" i="93" l="1"/>
  <c r="AJ17" i="93"/>
  <c r="V88" i="93"/>
  <c r="AJ57" i="93"/>
  <c r="AJ73" i="93"/>
  <c r="AK40" i="93" l="1"/>
  <c r="AK41" i="93"/>
  <c r="AK60" i="93" l="1"/>
  <c r="AJ25" i="93"/>
  <c r="AI41" i="93"/>
  <c r="V40" i="93"/>
  <c r="V42" i="93"/>
  <c r="V41" i="93"/>
  <c r="AJ19" i="93"/>
  <c r="AJ87" i="93"/>
  <c r="W92" i="93"/>
  <c r="W91" i="93"/>
  <c r="W90" i="93"/>
  <c r="W89" i="93"/>
  <c r="W88" i="93"/>
  <c r="V92" i="93" l="1"/>
  <c r="V89" i="93"/>
  <c r="W74" i="93" l="1"/>
  <c r="V74" i="93"/>
  <c r="V73" i="93"/>
  <c r="W58" i="93" l="1"/>
  <c r="W60" i="93"/>
  <c r="W59" i="93"/>
  <c r="V59" i="93"/>
  <c r="V56" i="93"/>
  <c r="V55" i="93"/>
  <c r="W39" i="93" l="1"/>
  <c r="V39" i="93"/>
  <c r="V25" i="93" l="1"/>
  <c r="W23" i="93"/>
  <c r="V23" i="93"/>
  <c r="W20" i="93"/>
  <c r="V20" i="93"/>
  <c r="W19" i="93"/>
  <c r="V19" i="93"/>
  <c r="W18" i="93"/>
  <c r="V18" i="93"/>
  <c r="AA18" i="93" l="1"/>
  <c r="AF18" i="93"/>
  <c r="AA55" i="93" l="1"/>
  <c r="V58" i="93"/>
  <c r="V57" i="93"/>
  <c r="R18" i="93" l="1"/>
  <c r="AG113" i="93" l="1"/>
  <c r="AB113" i="93"/>
  <c r="M113" i="93"/>
  <c r="R92" i="93" l="1"/>
  <c r="Q92" i="93"/>
  <c r="R91" i="93"/>
  <c r="Q91" i="93"/>
  <c r="R90" i="93"/>
  <c r="R89" i="93"/>
  <c r="Q89" i="93"/>
  <c r="R88" i="93"/>
  <c r="Q88" i="93"/>
  <c r="R59" i="93" l="1"/>
  <c r="Q59" i="93"/>
  <c r="R58" i="93"/>
  <c r="Q58" i="93"/>
  <c r="R57" i="93"/>
  <c r="R56" i="93"/>
  <c r="Q56" i="93"/>
  <c r="R55" i="93"/>
  <c r="Q55" i="93"/>
  <c r="R41" i="93" l="1"/>
  <c r="Q41" i="93"/>
  <c r="R40" i="93"/>
  <c r="Q40" i="93"/>
  <c r="R39" i="93"/>
  <c r="Q39" i="93"/>
  <c r="R20" i="93" l="1"/>
  <c r="Q20" i="93"/>
  <c r="R25" i="93"/>
  <c r="Q25" i="93"/>
  <c r="R23" i="93"/>
  <c r="Q23" i="93"/>
  <c r="R19" i="93"/>
  <c r="Q18" i="93"/>
  <c r="Q26" i="93" l="1"/>
  <c r="AK20" i="93" l="1"/>
  <c r="AJ20" i="93"/>
  <c r="AI20" i="93"/>
  <c r="AL20" i="93"/>
  <c r="AF58" i="93" l="1"/>
  <c r="AF92" i="93"/>
  <c r="AF89" i="93"/>
  <c r="AF88" i="93"/>
  <c r="V91" i="93"/>
  <c r="V90" i="93"/>
  <c r="AF60" i="93" l="1"/>
  <c r="Q90" i="93" l="1"/>
  <c r="Q57" i="93"/>
  <c r="Q19" i="93"/>
  <c r="Q60" i="93" l="1"/>
  <c r="R60" i="93"/>
  <c r="AK59" i="93" l="1"/>
  <c r="AA25" i="93" l="1"/>
  <c r="AJ89" i="93" l="1"/>
  <c r="AI59" i="93" l="1"/>
  <c r="AI58" i="93"/>
  <c r="AL59" i="93"/>
  <c r="AL58" i="93"/>
  <c r="AK58" i="93"/>
  <c r="AJ58" i="93"/>
  <c r="AA60" i="93"/>
  <c r="V60" i="93"/>
  <c r="M60" i="93"/>
  <c r="L60" i="93"/>
  <c r="AJ88" i="93" l="1"/>
  <c r="AI89" i="93"/>
  <c r="AI88" i="93"/>
  <c r="AI87" i="93"/>
  <c r="AI22" i="93" l="1"/>
  <c r="AL22" i="93"/>
  <c r="AK22" i="93"/>
  <c r="AJ22" i="93"/>
  <c r="AF91" i="93" l="1"/>
  <c r="AF90" i="93"/>
  <c r="AA92" i="93"/>
  <c r="AA91" i="93"/>
  <c r="AA90" i="93"/>
  <c r="AA89" i="93"/>
  <c r="AA88" i="93"/>
  <c r="AI91" i="93" l="1"/>
  <c r="AI18" i="93"/>
  <c r="L73" i="93" l="1"/>
  <c r="AJ18" i="93" l="1"/>
  <c r="AF74" i="93" l="1"/>
  <c r="AF73" i="93"/>
  <c r="AA73" i="93"/>
  <c r="L74" i="93"/>
  <c r="AF25" i="93"/>
  <c r="L25" i="93"/>
  <c r="H87" i="93"/>
  <c r="E87" i="93"/>
  <c r="H72" i="93"/>
  <c r="E72" i="93"/>
  <c r="H54" i="93"/>
  <c r="E54" i="93"/>
  <c r="H38" i="93"/>
  <c r="E38" i="93"/>
  <c r="H17" i="93"/>
  <c r="E17" i="93"/>
  <c r="AG93" i="93" l="1"/>
  <c r="AF93" i="93"/>
  <c r="AB93" i="93"/>
  <c r="AA93" i="93"/>
  <c r="W93" i="93"/>
  <c r="V93" i="93"/>
  <c r="R93" i="93"/>
  <c r="Q93" i="93"/>
  <c r="M93" i="93"/>
  <c r="L93" i="93"/>
  <c r="AL92" i="93"/>
  <c r="AK92" i="93"/>
  <c r="AJ92" i="93"/>
  <c r="AI92" i="93"/>
  <c r="AL91" i="93" l="1"/>
  <c r="AK91" i="93"/>
  <c r="AJ91" i="93"/>
  <c r="AL90" i="93"/>
  <c r="AK90" i="93"/>
  <c r="AI90" i="93"/>
  <c r="AL89" i="93"/>
  <c r="AK89" i="93"/>
  <c r="AL88" i="93"/>
  <c r="AK88" i="93"/>
  <c r="AL87" i="93"/>
  <c r="AK87" i="93"/>
  <c r="AL74" i="93"/>
  <c r="AK74" i="93"/>
  <c r="AI74" i="93"/>
  <c r="AI73" i="93"/>
  <c r="AI72" i="93"/>
  <c r="AI57" i="93"/>
  <c r="AK57" i="93"/>
  <c r="AL57" i="93"/>
  <c r="AI56" i="93"/>
  <c r="AI55" i="93"/>
  <c r="AI54" i="93"/>
  <c r="AI40" i="93"/>
  <c r="AL39" i="93"/>
  <c r="AK39" i="93"/>
  <c r="AJ39" i="93"/>
  <c r="AI39" i="93"/>
  <c r="AI38" i="93"/>
  <c r="AL25" i="93"/>
  <c r="AK25" i="93"/>
  <c r="AI25" i="93"/>
  <c r="AL24" i="93"/>
  <c r="AK24" i="93"/>
  <c r="AL23" i="93"/>
  <c r="AK23" i="93"/>
  <c r="AJ23" i="93"/>
  <c r="AI23" i="93"/>
  <c r="AL21" i="93"/>
  <c r="AK21" i="93"/>
  <c r="AI21" i="93"/>
  <c r="AI19" i="93"/>
  <c r="AI17" i="93"/>
  <c r="AG75" i="93"/>
  <c r="AF75" i="93"/>
  <c r="AB75" i="93"/>
  <c r="AA75" i="93"/>
  <c r="W75" i="93"/>
  <c r="V75" i="93"/>
  <c r="R75" i="93"/>
  <c r="Q75" i="93"/>
  <c r="M75" i="93"/>
  <c r="L75" i="93"/>
  <c r="L113" i="93" s="1"/>
  <c r="AL73" i="93"/>
  <c r="AK73" i="93"/>
  <c r="AL72" i="93"/>
  <c r="AK72" i="93"/>
  <c r="AJ72" i="93"/>
  <c r="AG60" i="93"/>
  <c r="AB60" i="93"/>
  <c r="AL56" i="93"/>
  <c r="AK56" i="93"/>
  <c r="AJ56" i="93"/>
  <c r="AL55" i="93"/>
  <c r="AK55" i="93"/>
  <c r="AJ55" i="93"/>
  <c r="AL54" i="93"/>
  <c r="AK54" i="93"/>
  <c r="AJ54" i="93"/>
  <c r="AG42" i="93"/>
  <c r="AF42" i="93"/>
  <c r="AB42" i="93"/>
  <c r="AA42" i="93"/>
  <c r="W42" i="93"/>
  <c r="R42" i="93"/>
  <c r="Q42" i="93"/>
  <c r="M42" i="93"/>
  <c r="L42" i="93"/>
  <c r="AL41" i="93"/>
  <c r="AJ41" i="93"/>
  <c r="AL40" i="93"/>
  <c r="AJ40" i="93"/>
  <c r="AL38" i="93"/>
  <c r="AK38" i="93"/>
  <c r="AJ38" i="93"/>
  <c r="M26" i="93"/>
  <c r="L26" i="93"/>
  <c r="R26" i="93"/>
  <c r="W26" i="93"/>
  <c r="V26" i="93"/>
  <c r="AB26" i="93"/>
  <c r="AA26" i="93"/>
  <c r="AA113" i="93" s="1"/>
  <c r="AF26" i="93"/>
  <c r="AF113" i="93" l="1"/>
  <c r="W113" i="93"/>
  <c r="AK75" i="93"/>
  <c r="AL60" i="93"/>
  <c r="Q113" i="93"/>
  <c r="R113" i="93"/>
  <c r="AL93" i="93"/>
  <c r="AK93" i="93"/>
  <c r="AL75" i="93"/>
  <c r="AK42" i="93"/>
  <c r="AL42" i="93"/>
  <c r="AG26" i="93" l="1"/>
  <c r="AL19" i="93"/>
  <c r="AK19" i="93"/>
  <c r="AL17" i="93" l="1"/>
  <c r="AL18" i="93"/>
  <c r="AK18" i="93"/>
  <c r="AK17" i="93"/>
  <c r="F72" i="53"/>
  <c r="O67" i="53"/>
  <c r="M67" i="53"/>
  <c r="K67" i="53"/>
  <c r="I67" i="53"/>
  <c r="J66" i="53"/>
  <c r="N66" i="53" s="1"/>
  <c r="N67" i="53" s="1"/>
  <c r="O59" i="53"/>
  <c r="M59" i="53"/>
  <c r="K59" i="53"/>
  <c r="I59" i="53"/>
  <c r="J57" i="53"/>
  <c r="L57" i="53" s="1"/>
  <c r="J58" i="53"/>
  <c r="N58" i="53" s="1"/>
  <c r="J49" i="53"/>
  <c r="P49" i="53" s="1"/>
  <c r="J48" i="53"/>
  <c r="N48" i="53" s="1"/>
  <c r="I50" i="53"/>
  <c r="I40" i="53"/>
  <c r="J38" i="53"/>
  <c r="L38" i="53" s="1"/>
  <c r="J39" i="53"/>
  <c r="L39" i="53" s="1"/>
  <c r="J37" i="53"/>
  <c r="P37" i="53" s="1"/>
  <c r="O36" i="53"/>
  <c r="J34" i="53"/>
  <c r="J35" i="53"/>
  <c r="L35" i="53" s="1"/>
  <c r="J33" i="53"/>
  <c r="P33" i="53" s="1"/>
  <c r="I36" i="53"/>
  <c r="J31" i="53"/>
  <c r="P31" i="53" s="1"/>
  <c r="J30" i="53"/>
  <c r="P30" i="53" s="1"/>
  <c r="I32" i="53"/>
  <c r="J17" i="53"/>
  <c r="L17" i="53" s="1"/>
  <c r="J18" i="53"/>
  <c r="L18" i="53" s="1"/>
  <c r="J19" i="53"/>
  <c r="P19" i="53" s="1"/>
  <c r="J20" i="53"/>
  <c r="N20" i="53" s="1"/>
  <c r="J16" i="53"/>
  <c r="L16" i="53" s="1"/>
  <c r="I21" i="53"/>
  <c r="Q16" i="53"/>
  <c r="Q17" i="53"/>
  <c r="Q18" i="53"/>
  <c r="Q19" i="53"/>
  <c r="Q20" i="53"/>
  <c r="Q30" i="53"/>
  <c r="Q31" i="53"/>
  <c r="Q33" i="53"/>
  <c r="Q34" i="53"/>
  <c r="Q35" i="53"/>
  <c r="Q37" i="53"/>
  <c r="Q38" i="53"/>
  <c r="Q39" i="53"/>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s="1"/>
  <c r="C4" i="52"/>
  <c r="C5" i="52"/>
  <c r="C2" i="52"/>
  <c r="C8" i="52"/>
  <c r="C7" i="52"/>
  <c r="C6" i="52"/>
  <c r="C3" i="52"/>
  <c r="L49" i="53"/>
  <c r="P20" i="53"/>
  <c r="L33" i="53"/>
  <c r="N33" i="53"/>
  <c r="N38" i="53"/>
  <c r="L34" i="53"/>
  <c r="P34" i="53"/>
  <c r="N34" i="53"/>
  <c r="L19" i="53"/>
  <c r="L20" i="53"/>
  <c r="L66" i="53"/>
  <c r="L67" i="53" s="1"/>
  <c r="J67" i="53"/>
  <c r="P66" i="53"/>
  <c r="P67" i="53" s="1"/>
  <c r="P58" i="53" l="1"/>
  <c r="L58" i="53"/>
  <c r="P57" i="53"/>
  <c r="L37" i="53"/>
  <c r="N37" i="53"/>
  <c r="P17" i="53"/>
  <c r="N17" i="53"/>
  <c r="R17" i="53" s="1"/>
  <c r="N31" i="53"/>
  <c r="L31" i="53"/>
  <c r="N49" i="53"/>
  <c r="N50" i="53" s="1"/>
  <c r="L30" i="53"/>
  <c r="J59" i="53"/>
  <c r="J32" i="53"/>
  <c r="N57" i="53"/>
  <c r="N59" i="53" s="1"/>
  <c r="Q50" i="53"/>
  <c r="P59" i="53"/>
  <c r="N30" i="53"/>
  <c r="N16" i="53"/>
  <c r="J50" i="53"/>
  <c r="N19" i="53"/>
  <c r="R19" i="53" s="1"/>
  <c r="Q32" i="53"/>
  <c r="P48" i="53"/>
  <c r="P50" i="53" s="1"/>
  <c r="J36" i="53"/>
  <c r="P16" i="53"/>
  <c r="L48" i="53"/>
  <c r="R33" i="53"/>
  <c r="L36" i="53"/>
  <c r="Q40" i="53"/>
  <c r="Q59" i="53"/>
  <c r="Q36" i="53"/>
  <c r="P38" i="53"/>
  <c r="R38" i="53" s="1"/>
  <c r="L59" i="53"/>
  <c r="R66" i="53"/>
  <c r="R67" i="53" s="1"/>
  <c r="T67" i="53" s="1"/>
  <c r="J21" i="53"/>
  <c r="Q21" i="53"/>
  <c r="P35" i="53"/>
  <c r="P36" i="53" s="1"/>
  <c r="P18" i="53"/>
  <c r="F69" i="53"/>
  <c r="N35" i="53"/>
  <c r="N36" i="53" s="1"/>
  <c r="R20" i="53"/>
  <c r="N18" i="53"/>
  <c r="R34" i="53"/>
  <c r="P32" i="53"/>
  <c r="R58" i="53"/>
  <c r="L21" i="53"/>
  <c r="L40" i="53"/>
  <c r="P39" i="53"/>
  <c r="J40" i="53"/>
  <c r="N39" i="53"/>
  <c r="AK26" i="93"/>
  <c r="AK113" i="93" s="1"/>
  <c r="AL26" i="93"/>
  <c r="AL113" i="93" s="1"/>
  <c r="R37" i="53" l="1"/>
  <c r="R31" i="53"/>
  <c r="N40" i="53"/>
  <c r="R49" i="53"/>
  <c r="L32" i="53"/>
  <c r="N32" i="53"/>
  <c r="R57" i="53"/>
  <c r="R59" i="53" s="1"/>
  <c r="T59" i="53" s="1"/>
  <c r="R30" i="53"/>
  <c r="R32" i="53" s="1"/>
  <c r="T32" i="53" s="1"/>
  <c r="R16" i="53"/>
  <c r="R48" i="53"/>
  <c r="L50" i="53"/>
  <c r="P40" i="53"/>
  <c r="P21" i="53"/>
  <c r="R18" i="53"/>
  <c r="Q69" i="53"/>
  <c r="R35" i="53"/>
  <c r="R36" i="53" s="1"/>
  <c r="T36" i="53" s="1"/>
  <c r="N21" i="53"/>
  <c r="R39" i="53"/>
  <c r="R40" i="53" s="1"/>
  <c r="R50" i="53" l="1"/>
  <c r="T50" i="53" s="1"/>
  <c r="R21" i="53"/>
  <c r="T21" i="53" s="1"/>
  <c r="T40" i="53"/>
  <c r="R69" i="53" l="1"/>
  <c r="S69" i="53" s="1"/>
  <c r="V113" i="93" l="1"/>
</calcChain>
</file>

<file path=xl/comments1.xml><?xml version="1.0" encoding="utf-8"?>
<comments xmlns="http://schemas.openxmlformats.org/spreadsheetml/2006/main">
  <authors>
    <author>Adriana Gomez Martinez</author>
  </authors>
  <commentList>
    <comment ref="AI57" authorId="0" shapeId="0">
      <text>
        <r>
          <rPr>
            <b/>
            <sz val="9"/>
            <color indexed="81"/>
            <rFont val="Tahoma"/>
            <family val="2"/>
          </rPr>
          <t>Creciente</t>
        </r>
        <r>
          <rPr>
            <sz val="9"/>
            <color indexed="81"/>
            <rFont val="Tahoma"/>
            <family val="2"/>
          </rPr>
          <t xml:space="preserve">
</t>
        </r>
      </text>
    </comment>
    <comment ref="AJ57" authorId="0" shapeId="0">
      <text>
        <r>
          <rPr>
            <b/>
            <sz val="9"/>
            <color indexed="81"/>
            <rFont val="Tahoma"/>
            <family val="2"/>
          </rPr>
          <t>Creciente</t>
        </r>
        <r>
          <rPr>
            <sz val="9"/>
            <color indexed="81"/>
            <rFont val="Tahoma"/>
            <family val="2"/>
          </rPr>
          <t xml:space="preserve">
</t>
        </r>
      </text>
    </comment>
  </commentList>
</comments>
</file>

<file path=xl/sharedStrings.xml><?xml version="1.0" encoding="utf-8"?>
<sst xmlns="http://schemas.openxmlformats.org/spreadsheetml/2006/main" count="515" uniqueCount="183">
  <si>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</si>
  <si>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</si>
  <si>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</si>
  <si>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</si>
  <si>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</si>
  <si>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</si>
  <si>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</si>
  <si>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</si>
  <si>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</si>
  <si>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</si>
  <si>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</si>
  <si>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</si>
  <si>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</si>
  <si>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</si>
  <si>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</si>
  <si>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</si>
  <si>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</si>
  <si>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</si>
  <si>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</si>
  <si>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</si>
  <si>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</si>
  <si>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</si>
  <si>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</si>
  <si>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</si>
  <si>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</si>
  <si>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</si>
  <si>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</si>
  <si>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</si>
  <si>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</si>
  <si>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</si>
  <si>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</si>
  <si>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</si>
  <si>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</si>
  <si>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</si>
  <si>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</si>
  <si>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</si>
  <si>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</si>
  <si>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</si>
  <si>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</si>
  <si>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</si>
  <si>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</si>
  <si>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</si>
  <si>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</si>
  <si>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</si>
  <si>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</si>
  <si>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</si>
  <si>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</si>
  <si>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</si>
  <si>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</si>
  <si>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</si>
  <si>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</si>
  <si>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</si>
  <si>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</si>
  <si>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</si>
  <si>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</si>
  <si>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</si>
  <si>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</si>
  <si>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</si>
  <si>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</si>
  <si>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</si>
  <si>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</si>
  <si>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</si>
  <si>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</si>
  <si>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</si>
  <si>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</si>
  <si>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</si>
  <si>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</si>
  <si>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</si>
  <si>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</si>
  <si>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</si>
  <si>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</si>
  <si>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</si>
  <si>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</si>
  <si>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</si>
  <si>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</si>
  <si>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</si>
  <si>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</si>
  <si>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</si>
  <si>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</si>
  <si>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</si>
  <si>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</si>
  <si>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</si>
  <si>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</si>
  <si>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</si>
  <si>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</si>
  <si>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</si>
  <si>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</si>
  <si>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</si>
  <si>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</si>
  <si>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</si>
  <si>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</si>
  <si>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</si>
  <si>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</si>
  <si>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</si>
  <si>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</si>
  <si>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</si>
  <si>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</si>
  <si>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</si>
  <si>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</si>
  <si>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</si>
  <si>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</si>
  <si>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</si>
  <si>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</si>
  <si>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</si>
  <si>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</si>
  <si>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</si>
  <si>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</si>
  <si>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</si>
  <si>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</si>
  <si>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</si>
  <si>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</si>
  <si>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</si>
  <si>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</si>
  <si>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</si>
  <si>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</si>
  <si>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</si>
  <si>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</si>
  <si>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</si>
  <si>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Titular 2400 predios registrados en las 20 localidades / Obtener 2400 títulos predios registrados</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</si>
  <si>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</si>
  <si>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</si>
  <si>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</si>
  <si>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</si>
  <si>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</si>
  <si>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</si>
  <si>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</si>
  <si>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</si>
  <si>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</si>
  <si>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</si>
  <si>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</si>
  <si>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</si>
  <si>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</si>
  <si>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</si>
  <si>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</si>
  <si>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</si>
  <si>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</si>
  <si>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</si>
  <si>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</si>
  <si>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</si>
  <si>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</si>
  <si>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</si>
  <si>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</si>
  <si>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</si>
  <si>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</si>
  <si>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</si>
  <si>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</si>
  <si>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</si>
  <si>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</si>
  <si>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</si>
  <si>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</si>
  <si>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</si>
  <si>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</si>
  <si>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</si>
  <si>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</si>
  <si>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</si>
  <si>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</si>
  <si>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</si>
  <si>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</si>
  <si>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</si>
  <si>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</si>
  <si>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</si>
  <si>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</si>
  <si>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134. Titular 2400 predios registrados en las 20 localidades / Obtener 2400 títulos predios registrados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</si>
  <si>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</si>
  <si>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</si>
  <si>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</si>
  <si>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</si>
  <si>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</si>
  <si>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</si>
  <si>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</si>
  <si>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</si>
  <si>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</si>
  <si>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</si>
  <si>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</si>
  <si>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Construir 107.000 m2 de en espacio público en los territorios priorizados para realizar el mejoramiento de barrios en las Upz tipo1</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</si>
  <si>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</si>
  <si>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</si>
  <si>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Beneficiar 1.850 hogares localizados en zonas de alto riesgo no mitigable o los ordenados mediante sentencias judiciales o actos administrativos, con instrumentos financieros para relocalización transitoria.</t>
  </si>
  <si>
    <t>Implementar 5.000 acciones administrativas técnicas y sociales que generen condiciones para iniciar las intervenciones del proyecto Piloto Plan Terrazas.</t>
  </si>
  <si>
    <t>26.5%</t>
  </si>
  <si>
    <t>4. Entregar 1.749 viviendas a hogares para su reubicación definitiva.</t>
  </si>
  <si>
    <t xml:space="preserve"> </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</si>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</sst>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s>
  <fonts count="49"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9">
    <xf numFmtId="0" fontId="0" fillId="0" borderId="0"/>
    <xf numFmtId="0" fontId="11"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2"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9" fontId="18"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3" fillId="0" borderId="0"/>
    <xf numFmtId="0" fontId="18"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7"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3" fillId="0" borderId="0"/>
    <xf numFmtId="0" fontId="3" fillId="0" borderId="0"/>
    <xf numFmtId="0" fontId="18" fillId="0" borderId="0"/>
    <xf numFmtId="0" fontId="18" fillId="0" borderId="0"/>
    <xf numFmtId="0" fontId="3"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3" fillId="0" borderId="0" applyNumberFormat="0" applyFont="0" applyFill="0" applyBorder="0" applyAlignment="0" applyProtection="0">
      <alignment vertical="top"/>
    </xf>
    <xf numFmtId="0" fontId="3" fillId="0" borderId="0"/>
    <xf numFmtId="0" fontId="18" fillId="0" borderId="0"/>
    <xf numFmtId="0" fontId="18"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42"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8" fillId="0" borderId="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41"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7" fillId="0" borderId="0"/>
    <xf numFmtId="0" fontId="17" fillId="0" borderId="0"/>
    <xf numFmtId="0" fontId="3" fillId="0" borderId="0"/>
    <xf numFmtId="0" fontId="18" fillId="0" borderId="0"/>
    <xf numFmtId="0" fontId="17" fillId="0" borderId="0"/>
    <xf numFmtId="43" fontId="18" fillId="0" borderId="0" applyFont="0" applyFill="0" applyBorder="0" applyAlignment="0" applyProtection="0"/>
    <xf numFmtId="43" fontId="18" fillId="0" borderId="0" applyFont="0" applyFill="0" applyBorder="0" applyAlignment="0" applyProtection="0"/>
    <xf numFmtId="9" fontId="3"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1"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2"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166" fontId="1"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0" fontId="1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1"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3" fillId="0" borderId="0" applyFont="0" applyFill="0" applyBorder="0" applyAlignment="0" applyProtection="0"/>
    <xf numFmtId="9" fontId="1" fillId="0" borderId="0" applyFont="0" applyFill="0" applyBorder="0" applyAlignment="0" applyProtection="0"/>
    <xf numFmtId="0" fontId="13" fillId="0" borderId="1" applyNumberFormat="0" applyFill="0" applyAlignment="0" applyProtection="0"/>
    <xf numFmtId="164"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 fillId="0" borderId="0"/>
    <xf numFmtId="0" fontId="17" fillId="0" borderId="0"/>
    <xf numFmtId="0" fontId="17" fillId="0" borderId="0"/>
    <xf numFmtId="168" fontId="18" fillId="0" borderId="0" applyFont="0" applyFill="0" applyBorder="0" applyAlignment="0" applyProtection="0"/>
    <xf numFmtId="0" fontId="3" fillId="0" borderId="0"/>
    <xf numFmtId="41" fontId="18" fillId="0" borderId="0" applyFont="0" applyFill="0" applyBorder="0" applyAlignment="0" applyProtection="0"/>
    <xf numFmtId="0" fontId="18" fillId="0" borderId="0"/>
    <xf numFmtId="0" fontId="44" fillId="0" borderId="0"/>
    <xf numFmtId="0" fontId="43"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5" fillId="15" borderId="0" applyNumberFormat="0" applyBorder="0" applyAlignment="0" applyProtection="0"/>
    <xf numFmtId="0" fontId="3" fillId="0" borderId="0"/>
    <xf numFmtId="0" fontId="18" fillId="0" borderId="0"/>
    <xf numFmtId="0" fontId="18" fillId="0" borderId="0"/>
    <xf numFmtId="0" fontId="18"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80" fontId="3" fillId="0" borderId="0" applyFont="0" applyFill="0" applyBorder="0" applyAlignment="0" applyProtection="0"/>
    <xf numFmtId="0" fontId="46" fillId="0" borderId="0"/>
    <xf numFmtId="164" fontId="46"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43" fontId="18" fillId="0" borderId="0" applyFont="0" applyFill="0" applyBorder="0" applyAlignment="0" applyProtection="0"/>
    <xf numFmtId="164" fontId="46" fillId="0" borderId="0" applyFont="0" applyFill="0" applyBorder="0" applyAlignment="0" applyProtection="0"/>
    <xf numFmtId="165" fontId="3" fillId="0" borderId="0" applyFont="0" applyFill="0" applyBorder="0" applyAlignment="0" applyProtection="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4" fontId="18" fillId="0" borderId="0" applyFont="0" applyFill="0" applyBorder="0" applyAlignment="0" applyProtection="0"/>
    <xf numFmtId="41" fontId="18" fillId="0" borderId="0" applyFont="0" applyFill="0" applyBorder="0" applyAlignment="0" applyProtection="0"/>
    <xf numFmtId="0" fontId="18" fillId="0" borderId="0"/>
    <xf numFmtId="0" fontId="18" fillId="0" borderId="0"/>
  </cellStyleXfs>
  <cellXfs count="268">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4" fillId="0" borderId="0" xfId="128" applyFont="1"/>
    <xf numFmtId="0" fontId="18" fillId="0" borderId="0" xfId="128" applyBorder="1"/>
    <xf numFmtId="0" fontId="18" fillId="0" borderId="0" xfId="128"/>
    <xf numFmtId="0" fontId="24" fillId="0" borderId="0" xfId="128" applyFont="1" applyAlignment="1">
      <alignment horizontal="left"/>
    </xf>
    <xf numFmtId="0" fontId="25" fillId="0" borderId="17" xfId="128" applyFont="1" applyBorder="1"/>
    <xf numFmtId="0" fontId="25" fillId="0" borderId="0" xfId="128" applyFont="1"/>
    <xf numFmtId="0" fontId="25" fillId="0" borderId="17" xfId="128" applyFont="1" applyBorder="1" applyAlignment="1">
      <alignment horizontal="center" vertical="center" wrapText="1"/>
    </xf>
    <xf numFmtId="0" fontId="26" fillId="0" borderId="3" xfId="128" applyFont="1" applyFill="1" applyBorder="1" applyAlignment="1" applyProtection="1">
      <alignment horizontal="justify" vertical="center" wrapText="1"/>
    </xf>
    <xf numFmtId="171" fontId="27" fillId="0" borderId="0" xfId="81" applyNumberFormat="1" applyFont="1" applyFill="1" applyBorder="1"/>
    <xf numFmtId="3" fontId="27" fillId="0" borderId="3" xfId="81" applyNumberFormat="1" applyFont="1" applyFill="1" applyBorder="1" applyAlignment="1">
      <alignment horizontal="center" vertical="center"/>
    </xf>
    <xf numFmtId="0" fontId="28" fillId="0" borderId="0" xfId="128" applyFont="1" applyBorder="1"/>
    <xf numFmtId="49" fontId="9" fillId="5" borderId="0" xfId="106" applyNumberFormat="1" applyFont="1" applyFill="1" applyBorder="1" applyAlignment="1">
      <alignment horizontal="center" vertical="center" wrapText="1"/>
    </xf>
    <xf numFmtId="0" fontId="26" fillId="5" borderId="3" xfId="128" applyFont="1" applyFill="1" applyBorder="1" applyAlignment="1" applyProtection="1">
      <alignment horizontal="justify" vertical="center" wrapText="1"/>
    </xf>
    <xf numFmtId="4" fontId="27" fillId="0" borderId="3" xfId="81" applyNumberFormat="1" applyFont="1" applyFill="1" applyBorder="1" applyAlignment="1">
      <alignment horizontal="center" vertical="center"/>
    </xf>
    <xf numFmtId="3" fontId="27" fillId="0" borderId="3" xfId="81" applyNumberFormat="1" applyFont="1" applyFill="1" applyBorder="1" applyAlignment="1">
      <alignment horizontal="center" vertical="center" wrapText="1"/>
    </xf>
    <xf numFmtId="171" fontId="27" fillId="5" borderId="0" xfId="81" applyNumberFormat="1" applyFont="1" applyFill="1" applyBorder="1"/>
    <xf numFmtId="0" fontId="18" fillId="5" borderId="0" xfId="128" applyFill="1"/>
    <xf numFmtId="0" fontId="28" fillId="0" borderId="0" xfId="128" applyFont="1" applyFill="1" applyBorder="1"/>
    <xf numFmtId="0" fontId="24" fillId="0" borderId="3" xfId="128" applyFont="1" applyFill="1" applyBorder="1" applyAlignment="1">
      <alignment vertical="center" wrapText="1"/>
    </xf>
    <xf numFmtId="171" fontId="24" fillId="0" borderId="0" xfId="128" applyNumberFormat="1" applyFont="1"/>
    <xf numFmtId="9" fontId="27" fillId="0" borderId="3" xfId="149" applyFont="1" applyFill="1" applyBorder="1" applyAlignment="1">
      <alignment horizontal="center" vertical="center"/>
    </xf>
    <xf numFmtId="171" fontId="27" fillId="0" borderId="3" xfId="80" applyNumberFormat="1" applyFont="1" applyFill="1" applyBorder="1" applyAlignment="1">
      <alignment vertical="center"/>
    </xf>
    <xf numFmtId="171" fontId="27" fillId="0" borderId="3" xfId="88" applyNumberFormat="1" applyFont="1" applyFill="1" applyBorder="1" applyAlignment="1">
      <alignment horizontal="center" vertical="center"/>
    </xf>
    <xf numFmtId="171" fontId="27" fillId="0" borderId="3" xfId="80" applyNumberFormat="1" applyFont="1" applyFill="1" applyBorder="1" applyAlignment="1">
      <alignment horizontal="center" vertical="center"/>
    </xf>
    <xf numFmtId="171" fontId="27" fillId="5" borderId="3" xfId="88" applyNumberFormat="1" applyFont="1" applyFill="1" applyBorder="1" applyAlignment="1">
      <alignment horizontal="center" vertical="center"/>
    </xf>
    <xf numFmtId="171" fontId="27" fillId="5" borderId="3" xfId="80" applyNumberFormat="1" applyFont="1" applyFill="1" applyBorder="1" applyAlignment="1">
      <alignment horizontal="center" vertical="center"/>
    </xf>
    <xf numFmtId="171" fontId="27" fillId="0" borderId="5" xfId="88" applyNumberFormat="1" applyFont="1" applyFill="1" applyBorder="1" applyAlignment="1">
      <alignment horizontal="center" vertical="center"/>
    </xf>
    <xf numFmtId="0" fontId="24" fillId="0" borderId="0" xfId="128" applyFont="1" applyAlignment="1">
      <alignment vertical="center"/>
    </xf>
    <xf numFmtId="171" fontId="27" fillId="0" borderId="3" xfId="88" applyNumberFormat="1" applyFont="1" applyFill="1" applyBorder="1" applyAlignment="1">
      <alignment vertical="center"/>
    </xf>
    <xf numFmtId="171" fontId="27" fillId="5" borderId="3" xfId="88" applyNumberFormat="1" applyFont="1" applyFill="1" applyBorder="1" applyAlignment="1">
      <alignment vertical="center"/>
    </xf>
    <xf numFmtId="171" fontId="27" fillId="5" borderId="3" xfId="80" applyNumberFormat="1" applyFont="1" applyFill="1" applyBorder="1" applyAlignment="1">
      <alignment vertical="center"/>
    </xf>
    <xf numFmtId="0" fontId="29"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0" fillId="0" borderId="3" xfId="128" applyFont="1" applyFill="1" applyBorder="1" applyAlignment="1" applyProtection="1">
      <alignment horizontal="justify" vertical="center" wrapText="1"/>
    </xf>
    <xf numFmtId="171" fontId="31" fillId="0" borderId="0" xfId="81" applyNumberFormat="1" applyFont="1" applyFill="1" applyBorder="1"/>
    <xf numFmtId="3" fontId="31" fillId="0" borderId="3" xfId="81" applyNumberFormat="1" applyFont="1" applyFill="1" applyBorder="1" applyAlignment="1">
      <alignment horizontal="center" vertical="center"/>
    </xf>
    <xf numFmtId="171" fontId="31" fillId="0" borderId="3" xfId="80" applyNumberFormat="1" applyFont="1" applyFill="1" applyBorder="1" applyAlignment="1">
      <alignment horizontal="center" vertical="center"/>
    </xf>
    <xf numFmtId="0" fontId="32" fillId="0" borderId="0" xfId="128" applyFont="1" applyBorder="1"/>
    <xf numFmtId="49" fontId="9" fillId="7" borderId="5" xfId="106" applyNumberFormat="1" applyFont="1" applyFill="1" applyBorder="1" applyAlignment="1">
      <alignment horizontal="center" vertical="center" wrapText="1"/>
    </xf>
    <xf numFmtId="0" fontId="30" fillId="5" borderId="3" xfId="128" applyFont="1" applyFill="1" applyBorder="1" applyAlignment="1" applyProtection="1">
      <alignment horizontal="justify" vertical="center" wrapText="1"/>
    </xf>
    <xf numFmtId="171" fontId="31" fillId="0" borderId="3" xfId="88" applyNumberFormat="1" applyFont="1" applyFill="1" applyBorder="1" applyAlignment="1">
      <alignment horizontal="center" vertical="center"/>
    </xf>
    <xf numFmtId="171" fontId="31" fillId="5" borderId="0" xfId="81" applyNumberFormat="1" applyFont="1" applyFill="1" applyBorder="1"/>
    <xf numFmtId="171" fontId="31" fillId="5" borderId="3" xfId="88" applyNumberFormat="1" applyFont="1" applyFill="1" applyBorder="1" applyAlignment="1">
      <alignment horizontal="center" vertical="center"/>
    </xf>
    <xf numFmtId="0" fontId="24" fillId="5" borderId="0" xfId="128" applyFont="1" applyFill="1"/>
    <xf numFmtId="0" fontId="18" fillId="0" borderId="0" xfId="128" applyFont="1"/>
    <xf numFmtId="0" fontId="32" fillId="0" borderId="0" xfId="128" applyFont="1" applyFill="1" applyBorder="1"/>
    <xf numFmtId="0" fontId="24" fillId="0" borderId="3" xfId="128" applyFont="1" applyBorder="1"/>
    <xf numFmtId="0" fontId="24" fillId="0" borderId="3" xfId="128" applyFont="1" applyBorder="1" applyAlignment="1">
      <alignment horizontal="center"/>
    </xf>
    <xf numFmtId="0" fontId="24" fillId="0" borderId="0" xfId="128" applyFont="1" applyBorder="1"/>
    <xf numFmtId="0" fontId="24" fillId="0" borderId="0" xfId="128" applyFont="1" applyBorder="1" applyAlignment="1">
      <alignment horizontal="center"/>
    </xf>
    <xf numFmtId="0" fontId="30" fillId="5" borderId="0" xfId="128" applyFont="1" applyFill="1" applyBorder="1" applyAlignment="1" applyProtection="1">
      <alignment horizontal="justify" vertical="center" wrapText="1"/>
    </xf>
    <xf numFmtId="171" fontId="31" fillId="0" borderId="0" xfId="80" applyNumberFormat="1" applyFont="1" applyFill="1" applyBorder="1" applyAlignment="1">
      <alignment horizontal="center" vertical="center"/>
    </xf>
    <xf numFmtId="171" fontId="31" fillId="0" borderId="0" xfId="80" applyNumberFormat="1" applyFont="1" applyFill="1" applyBorder="1" applyAlignment="1">
      <alignment vertical="center"/>
    </xf>
    <xf numFmtId="171" fontId="33" fillId="0" borderId="0" xfId="80" applyNumberFormat="1" applyFont="1" applyFill="1" applyBorder="1" applyAlignment="1">
      <alignment horizontal="center" vertical="center"/>
    </xf>
    <xf numFmtId="171" fontId="27" fillId="0" borderId="4" xfId="80" applyNumberFormat="1" applyFont="1" applyFill="1" applyBorder="1" applyAlignment="1">
      <alignment horizontal="center" vertical="center"/>
    </xf>
    <xf numFmtId="0" fontId="34" fillId="8" borderId="3" xfId="128" applyFont="1" applyFill="1" applyBorder="1" applyAlignment="1">
      <alignment vertical="center" wrapText="1"/>
    </xf>
    <xf numFmtId="171" fontId="35" fillId="0" borderId="3" xfId="80" applyNumberFormat="1" applyFont="1" applyFill="1" applyBorder="1" applyAlignment="1">
      <alignment vertical="center"/>
    </xf>
    <xf numFmtId="171" fontId="35" fillId="0" borderId="3" xfId="80" applyNumberFormat="1" applyFont="1" applyFill="1" applyBorder="1" applyAlignment="1">
      <alignment horizontal="center" vertical="center"/>
    </xf>
    <xf numFmtId="171" fontId="36" fillId="0" borderId="3" xfId="80" applyNumberFormat="1" applyFont="1" applyFill="1" applyBorder="1" applyAlignment="1">
      <alignment horizontal="center" vertical="center"/>
    </xf>
    <xf numFmtId="0" fontId="24" fillId="0" borderId="4" xfId="128" applyFont="1" applyFill="1" applyBorder="1" applyAlignment="1">
      <alignment vertical="center" wrapText="1"/>
    </xf>
    <xf numFmtId="0" fontId="24" fillId="0" borderId="5"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173" fontId="18" fillId="0" borderId="0" xfId="24" applyNumberFormat="1" applyBorder="1"/>
    <xf numFmtId="171" fontId="18" fillId="0" borderId="0" xfId="128" applyNumberFormat="1" applyBorder="1"/>
    <xf numFmtId="0" fontId="24" fillId="0" borderId="3" xfId="0" applyFont="1" applyBorder="1"/>
    <xf numFmtId="0" fontId="0" fillId="0" borderId="3" xfId="0" applyBorder="1"/>
    <xf numFmtId="171" fontId="0" fillId="0" borderId="3" xfId="0" applyNumberFormat="1" applyBorder="1"/>
    <xf numFmtId="171" fontId="24" fillId="0" borderId="3" xfId="0" applyNumberFormat="1" applyFont="1" applyBorder="1"/>
    <xf numFmtId="171" fontId="31" fillId="10" borderId="3" xfId="80" applyNumberFormat="1" applyFont="1" applyFill="1" applyBorder="1" applyAlignment="1">
      <alignment horizontal="center" vertical="center"/>
    </xf>
    <xf numFmtId="0" fontId="25" fillId="0" borderId="3" xfId="128" applyFont="1" applyBorder="1"/>
    <xf numFmtId="0" fontId="25" fillId="0" borderId="3" xfId="128" applyFont="1" applyBorder="1" applyAlignment="1">
      <alignment horizontal="center" vertical="center" wrapText="1"/>
    </xf>
    <xf numFmtId="0" fontId="28" fillId="0" borderId="3" xfId="128" applyFont="1" applyBorder="1"/>
    <xf numFmtId="0" fontId="18" fillId="0" borderId="3" xfId="128" applyBorder="1"/>
    <xf numFmtId="0" fontId="32" fillId="0" borderId="3" xfId="128" applyFont="1" applyBorder="1"/>
    <xf numFmtId="0" fontId="28" fillId="5" borderId="3" xfId="128" applyFont="1" applyFill="1" applyBorder="1"/>
    <xf numFmtId="0" fontId="32" fillId="5" borderId="3" xfId="128" applyFont="1" applyFill="1" applyBorder="1"/>
    <xf numFmtId="171" fontId="31" fillId="0" borderId="3" xfId="80" applyNumberFormat="1" applyFont="1" applyFill="1" applyBorder="1" applyAlignment="1">
      <alignment vertical="center"/>
    </xf>
    <xf numFmtId="171" fontId="18" fillId="11" borderId="0" xfId="128" applyNumberFormat="1" applyFill="1"/>
    <xf numFmtId="171" fontId="24" fillId="11" borderId="0" xfId="128" applyNumberFormat="1" applyFont="1" applyFill="1"/>
    <xf numFmtId="171" fontId="18" fillId="0" borderId="0" xfId="128" applyNumberFormat="1"/>
    <xf numFmtId="3" fontId="35" fillId="0" borderId="3" xfId="81" applyNumberFormat="1" applyFont="1" applyFill="1" applyBorder="1" applyAlignment="1">
      <alignment horizontal="center" vertical="center"/>
    </xf>
    <xf numFmtId="0" fontId="19" fillId="0" borderId="0" xfId="128" applyFont="1" applyBorder="1"/>
    <xf numFmtId="0" fontId="23" fillId="0" borderId="0" xfId="128" applyFont="1"/>
    <xf numFmtId="0" fontId="38" fillId="0" borderId="0" xfId="106" applyFont="1"/>
    <xf numFmtId="0" fontId="39" fillId="0" borderId="0" xfId="106" applyFont="1"/>
    <xf numFmtId="0" fontId="23" fillId="0" borderId="0" xfId="128" applyFont="1" applyBorder="1"/>
    <xf numFmtId="3" fontId="33" fillId="0" borderId="3" xfId="81" applyNumberFormat="1" applyFont="1" applyFill="1" applyBorder="1" applyAlignment="1">
      <alignment horizontal="center" vertical="center"/>
    </xf>
    <xf numFmtId="173" fontId="23" fillId="0" borderId="0" xfId="24" applyNumberFormat="1" applyFont="1" applyBorder="1"/>
    <xf numFmtId="0" fontId="40" fillId="0" borderId="0" xfId="128" applyFont="1"/>
    <xf numFmtId="173" fontId="23" fillId="0" borderId="0" xfId="24" applyNumberFormat="1" applyFont="1" applyAlignment="1">
      <alignment vertical="center"/>
    </xf>
    <xf numFmtId="0" fontId="18" fillId="0" borderId="0" xfId="128" applyFill="1"/>
    <xf numFmtId="0" fontId="41" fillId="0" borderId="0" xfId="128" applyFont="1" applyFill="1"/>
    <xf numFmtId="0" fontId="4" fillId="0" borderId="0" xfId="168" applyFont="1" applyBorder="1" applyAlignment="1"/>
    <xf numFmtId="1" fontId="10" fillId="5" borderId="3" xfId="319" applyNumberFormat="1" applyFont="1" applyFill="1" applyBorder="1" applyAlignment="1">
      <alignment horizontal="center" vertical="center" wrapText="1"/>
    </xf>
    <xf numFmtId="6" fontId="3" fillId="0" borderId="3" xfId="0" applyNumberFormat="1" applyFont="1" applyFill="1" applyBorder="1" applyAlignment="1">
      <alignment horizontal="right" vertical="center"/>
    </xf>
    <xf numFmtId="174" fontId="3" fillId="0" borderId="3" xfId="0" applyNumberFormat="1" applyFont="1" applyFill="1" applyBorder="1" applyAlignment="1">
      <alignment horizontal="right" vertical="center"/>
    </xf>
    <xf numFmtId="174" fontId="29" fillId="0" borderId="3" xfId="0" applyNumberFormat="1" applyFont="1" applyFill="1" applyBorder="1" applyAlignment="1">
      <alignment horizontal="right" vertical="center"/>
    </xf>
    <xf numFmtId="3" fontId="27" fillId="0" borderId="4" xfId="81" applyNumberFormat="1" applyFont="1" applyFill="1" applyBorder="1" applyAlignment="1">
      <alignment horizontal="center" vertical="center"/>
    </xf>
    <xf numFmtId="0" fontId="18" fillId="0" borderId="0" xfId="128" applyFill="1" applyBorder="1"/>
    <xf numFmtId="0" fontId="37" fillId="0" borderId="0" xfId="168" applyFont="1" applyBorder="1" applyAlignment="1"/>
    <xf numFmtId="0" fontId="38" fillId="0" borderId="0" xfId="168" applyFont="1"/>
    <xf numFmtId="9" fontId="35" fillId="0" borderId="3" xfId="149" applyFont="1" applyFill="1" applyBorder="1" applyAlignment="1">
      <alignment horizontal="center" vertical="center"/>
    </xf>
    <xf numFmtId="0" fontId="24" fillId="0" borderId="0" xfId="128" applyFont="1" applyFill="1"/>
    <xf numFmtId="1" fontId="10" fillId="0" borderId="3" xfId="150"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6"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24" fillId="0" borderId="6" xfId="128" applyFont="1" applyFill="1" applyBorder="1" applyAlignment="1">
      <alignment horizontal="left" vertical="center" wrapText="1"/>
    </xf>
    <xf numFmtId="0" fontId="26" fillId="0" borderId="2" xfId="128" applyFont="1" applyFill="1" applyBorder="1" applyAlignment="1" applyProtection="1">
      <alignment horizontal="center" vertical="center" wrapText="1"/>
    </xf>
    <xf numFmtId="0" fontId="18" fillId="0" borderId="0" xfId="128" applyAlignment="1">
      <alignment horizontal="center"/>
    </xf>
    <xf numFmtId="0" fontId="24" fillId="0" borderId="0" xfId="128" applyFont="1" applyAlignment="1">
      <alignment vertical="center" wrapText="1"/>
    </xf>
    <xf numFmtId="0" fontId="24" fillId="0" borderId="0" xfId="128" applyFont="1" applyAlignment="1">
      <alignment wrapText="1"/>
    </xf>
    <xf numFmtId="9" fontId="10" fillId="0" borderId="3" xfId="149" applyFont="1" applyFill="1" applyBorder="1" applyAlignment="1">
      <alignment horizontal="center" vertical="center" wrapText="1"/>
    </xf>
    <xf numFmtId="173" fontId="23" fillId="0" borderId="0" xfId="24" applyNumberFormat="1" applyFont="1" applyFill="1" applyAlignment="1">
      <alignment vertical="center"/>
    </xf>
    <xf numFmtId="9" fontId="27" fillId="16" borderId="4" xfId="149" applyFont="1" applyFill="1" applyBorder="1" applyAlignment="1">
      <alignment horizontal="center" vertical="center"/>
    </xf>
    <xf numFmtId="3" fontId="27" fillId="16" borderId="4" xfId="81" applyNumberFormat="1" applyFont="1" applyFill="1" applyBorder="1" applyAlignment="1">
      <alignment horizontal="center" vertical="center"/>
    </xf>
    <xf numFmtId="171" fontId="27" fillId="16" borderId="3" xfId="80" applyNumberFormat="1" applyFont="1" applyFill="1" applyBorder="1" applyAlignment="1">
      <alignment horizontal="center" vertical="center"/>
    </xf>
    <xf numFmtId="0" fontId="28" fillId="16" borderId="0" xfId="128" applyFont="1" applyFill="1" applyBorder="1"/>
    <xf numFmtId="9" fontId="27" fillId="16" borderId="3" xfId="149" applyFont="1" applyFill="1" applyBorder="1" applyAlignment="1">
      <alignment horizontal="center" vertical="center"/>
    </xf>
    <xf numFmtId="0" fontId="18" fillId="16" borderId="0" xfId="128" applyFill="1"/>
    <xf numFmtId="9" fontId="10" fillId="16" borderId="3" xfId="149" applyFont="1" applyFill="1" applyBorder="1" applyAlignment="1">
      <alignment horizontal="center" vertical="center" wrapText="1"/>
    </xf>
    <xf numFmtId="6" fontId="3" fillId="16" borderId="3" xfId="0" applyNumberFormat="1" applyFont="1" applyFill="1" applyBorder="1" applyAlignment="1">
      <alignment horizontal="right" vertical="center"/>
    </xf>
    <xf numFmtId="174" fontId="3" fillId="16" borderId="3" xfId="0" applyNumberFormat="1" applyFont="1" applyFill="1" applyBorder="1" applyAlignment="1">
      <alignment horizontal="right" vertical="center"/>
    </xf>
    <xf numFmtId="0" fontId="41" fillId="16" borderId="0" xfId="128" applyFont="1" applyFill="1"/>
    <xf numFmtId="9" fontId="35" fillId="16" borderId="3" xfId="149" applyFont="1" applyFill="1" applyBorder="1" applyAlignment="1">
      <alignment horizontal="center" vertical="center"/>
    </xf>
    <xf numFmtId="171" fontId="35" fillId="16" borderId="3" xfId="80" applyNumberFormat="1" applyFont="1" applyFill="1" applyBorder="1" applyAlignment="1">
      <alignment vertical="center"/>
    </xf>
    <xf numFmtId="0" fontId="26" fillId="16" borderId="3" xfId="128" applyFont="1" applyFill="1" applyBorder="1" applyAlignment="1" applyProtection="1">
      <alignment horizontal="justify" vertical="center" wrapText="1"/>
    </xf>
    <xf numFmtId="9" fontId="10" fillId="5" borderId="3" xfId="149" applyFont="1" applyFill="1" applyBorder="1" applyAlignment="1">
      <alignment horizontal="center" vertical="center" wrapText="1"/>
    </xf>
    <xf numFmtId="0" fontId="4" fillId="0" borderId="0" xfId="106" applyFont="1" applyBorder="1" applyAlignment="1">
      <alignment horizontal="center"/>
    </xf>
    <xf numFmtId="0" fontId="24" fillId="0" borderId="0" xfId="128" applyFont="1" applyAlignment="1">
      <alignment horizontal="center"/>
    </xf>
    <xf numFmtId="0" fontId="24" fillId="0" borderId="0" xfId="128" applyFont="1" applyAlignment="1">
      <alignment horizontal="center" vertical="center"/>
    </xf>
    <xf numFmtId="0" fontId="18" fillId="0" borderId="0" xfId="128" applyFont="1" applyAlignment="1">
      <alignment horizontal="center"/>
    </xf>
    <xf numFmtId="3" fontId="27" fillId="16" borderId="3" xfId="81" applyNumberFormat="1" applyFont="1" applyFill="1" applyBorder="1" applyAlignment="1">
      <alignment horizontal="center" vertical="center"/>
    </xf>
    <xf numFmtId="1" fontId="10" fillId="16" borderId="3" xfId="319" applyNumberFormat="1" applyFont="1" applyFill="1" applyBorder="1" applyAlignment="1">
      <alignment horizontal="center" vertical="center" wrapText="1"/>
    </xf>
    <xf numFmtId="3" fontId="35" fillId="16" borderId="3" xfId="81" applyNumberFormat="1" applyFont="1" applyFill="1" applyBorder="1" applyAlignment="1">
      <alignment horizontal="center" vertical="center"/>
    </xf>
    <xf numFmtId="187" fontId="27" fillId="0" borderId="4" xfId="81" applyNumberFormat="1" applyFont="1" applyFill="1" applyBorder="1" applyAlignment="1">
      <alignment horizontal="center" vertical="center"/>
    </xf>
    <xf numFmtId="187" fontId="27" fillId="16" borderId="4" xfId="81" applyNumberFormat="1" applyFont="1" applyFill="1" applyBorder="1" applyAlignment="1">
      <alignment horizontal="center" vertical="center"/>
    </xf>
    <xf numFmtId="170" fontId="35" fillId="0" borderId="3" xfId="149" applyNumberFormat="1" applyFont="1" applyFill="1" applyBorder="1" applyAlignment="1">
      <alignment horizontal="center" vertical="center"/>
    </xf>
    <xf numFmtId="0" fontId="0" fillId="0" borderId="3" xfId="128" applyFont="1" applyBorder="1" applyAlignment="1">
      <alignment wrapText="1"/>
    </xf>
    <xf numFmtId="188" fontId="31" fillId="0" borderId="3" xfId="80" applyNumberFormat="1" applyFont="1" applyFill="1" applyBorder="1" applyAlignment="1">
      <alignment horizontal="center" vertical="center"/>
    </xf>
    <xf numFmtId="49" fontId="9" fillId="6" borderId="0" xfId="106"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189" fontId="18" fillId="0" borderId="0" xfId="3515" applyNumberFormat="1"/>
    <xf numFmtId="189" fontId="4" fillId="0" borderId="0" xfId="3515" applyNumberFormat="1" applyFont="1" applyBorder="1" applyAlignment="1"/>
    <xf numFmtId="189" fontId="18" fillId="0" borderId="0" xfId="3515" applyNumberFormat="1" applyBorder="1"/>
    <xf numFmtId="189" fontId="34" fillId="8" borderId="3" xfId="3515" applyNumberFormat="1" applyFont="1" applyFill="1" applyBorder="1" applyAlignment="1">
      <alignment vertical="center" wrapText="1"/>
    </xf>
    <xf numFmtId="189" fontId="27" fillId="16" borderId="4" xfId="3515" applyNumberFormat="1" applyFont="1" applyFill="1" applyBorder="1" applyAlignment="1">
      <alignment horizontal="center" vertical="center"/>
    </xf>
    <xf numFmtId="189" fontId="27" fillId="0" borderId="3" xfId="3515" applyNumberFormat="1" applyFont="1" applyFill="1" applyBorder="1" applyAlignment="1">
      <alignment horizontal="center" vertical="center"/>
    </xf>
    <xf numFmtId="189" fontId="31" fillId="0" borderId="3" xfId="3515" applyNumberFormat="1" applyFont="1" applyFill="1" applyBorder="1" applyAlignment="1">
      <alignment horizontal="center" vertical="center"/>
    </xf>
    <xf numFmtId="189" fontId="27" fillId="0" borderId="4" xfId="3515" applyNumberFormat="1" applyFont="1" applyFill="1" applyBorder="1" applyAlignment="1">
      <alignment horizontal="center" vertical="center"/>
    </xf>
    <xf numFmtId="189" fontId="27" fillId="16" borderId="3" xfId="3515" applyNumberFormat="1" applyFont="1" applyFill="1" applyBorder="1" applyAlignment="1">
      <alignment horizontal="center" vertical="center"/>
    </xf>
    <xf numFmtId="189" fontId="19" fillId="0" borderId="0" xfId="3515" applyNumberFormat="1" applyFont="1"/>
    <xf numFmtId="0" fontId="18" fillId="0" borderId="0" xfId="128" applyBorder="1" applyAlignment="1">
      <alignment horizontal="center"/>
    </xf>
    <xf numFmtId="169" fontId="27" fillId="0" borderId="3" xfId="24" applyFont="1" applyFill="1" applyBorder="1" applyAlignment="1">
      <alignment horizontal="center" vertical="center"/>
    </xf>
    <xf numFmtId="169" fontId="35" fillId="0" borderId="3" xfId="24" applyFont="1" applyFill="1" applyBorder="1" applyAlignment="1">
      <alignment horizontal="center" vertical="center"/>
    </xf>
    <xf numFmtId="44" fontId="27" fillId="0" borderId="3" xfId="3515" applyNumberFormat="1" applyFont="1" applyFill="1" applyBorder="1" applyAlignment="1">
      <alignment horizontal="center" vertical="center"/>
    </xf>
    <xf numFmtId="168" fontId="27" fillId="0" borderId="3" xfId="80" applyNumberFormat="1" applyFont="1" applyFill="1" applyBorder="1" applyAlignment="1">
      <alignment horizontal="center" vertical="center"/>
    </xf>
    <xf numFmtId="190" fontId="27" fillId="0" borderId="3" xfId="3516" applyNumberFormat="1" applyFont="1" applyFill="1" applyBorder="1" applyAlignment="1">
      <alignment horizontal="center" vertical="center"/>
    </xf>
    <xf numFmtId="41" fontId="35" fillId="0" borderId="3" xfId="3516" applyFont="1" applyFill="1" applyBorder="1" applyAlignment="1">
      <alignment horizontal="center" vertical="center"/>
    </xf>
    <xf numFmtId="170" fontId="10" fillId="5" borderId="3" xfId="149" applyNumberFormat="1" applyFont="1" applyFill="1" applyBorder="1" applyAlignment="1">
      <alignment horizontal="center" vertical="center" wrapText="1"/>
    </xf>
    <xf numFmtId="170" fontId="27" fillId="16" borderId="3" xfId="149" applyNumberFormat="1" applyFont="1" applyFill="1" applyBorder="1" applyAlignment="1">
      <alignment horizontal="center" vertical="center"/>
    </xf>
    <xf numFmtId="170" fontId="27" fillId="0" borderId="3" xfId="149" applyNumberFormat="1" applyFont="1" applyFill="1" applyBorder="1" applyAlignment="1">
      <alignment horizontal="center" vertical="center"/>
    </xf>
    <xf numFmtId="189" fontId="35" fillId="0" borderId="3" xfId="80" applyNumberFormat="1" applyFont="1" applyFill="1" applyBorder="1" applyAlignment="1">
      <alignment horizontal="center" vertical="center"/>
    </xf>
    <xf numFmtId="9" fontId="35" fillId="0" borderId="3" xfId="149" applyNumberFormat="1" applyFont="1" applyFill="1" applyBorder="1" applyAlignment="1">
      <alignment horizontal="center" vertical="center"/>
    </xf>
    <xf numFmtId="9" fontId="27" fillId="16" borderId="3" xfId="3459" applyFont="1" applyFill="1" applyBorder="1" applyAlignment="1">
      <alignment horizontal="center" vertical="center"/>
    </xf>
    <xf numFmtId="170" fontId="35" fillId="16" borderId="3" xfId="3459" applyNumberFormat="1" applyFont="1" applyFill="1" applyBorder="1" applyAlignment="1">
      <alignment horizontal="center" vertical="center"/>
    </xf>
    <xf numFmtId="9" fontId="27" fillId="0" borderId="3" xfId="3459" applyFont="1" applyFill="1" applyBorder="1" applyAlignment="1">
      <alignment horizontal="center" vertical="center"/>
    </xf>
    <xf numFmtId="10" fontId="35" fillId="0" borderId="3" xfId="3459" applyNumberFormat="1" applyFont="1" applyFill="1" applyBorder="1" applyAlignment="1">
      <alignment horizontal="center" vertical="center"/>
    </xf>
    <xf numFmtId="9" fontId="10" fillId="16" borderId="3" xfId="3459" applyFont="1" applyFill="1" applyBorder="1" applyAlignment="1">
      <alignment horizontal="center" vertical="center" wrapText="1"/>
    </xf>
    <xf numFmtId="9" fontId="10" fillId="5" borderId="3" xfId="3459" applyFont="1" applyFill="1" applyBorder="1" applyAlignment="1">
      <alignment horizontal="center" vertical="center" wrapText="1"/>
    </xf>
    <xf numFmtId="9" fontId="35" fillId="16" borderId="3" xfId="3459" applyFont="1" applyFill="1" applyBorder="1" applyAlignment="1">
      <alignment horizontal="center" vertical="center"/>
    </xf>
    <xf numFmtId="9" fontId="35" fillId="0" borderId="3" xfId="3459" applyFont="1" applyFill="1" applyBorder="1" applyAlignment="1">
      <alignment horizontal="center" vertical="center"/>
    </xf>
    <xf numFmtId="170" fontId="27" fillId="0" borderId="3" xfId="3459" applyNumberFormat="1" applyFont="1" applyFill="1" applyBorder="1" applyAlignment="1">
      <alignment horizontal="center" vertical="center"/>
    </xf>
    <xf numFmtId="9" fontId="10" fillId="0" borderId="3" xfId="3459" applyFont="1" applyFill="1" applyBorder="1" applyAlignment="1">
      <alignment horizontal="center" vertical="center" wrapText="1"/>
    </xf>
    <xf numFmtId="170" fontId="35" fillId="0" borderId="3" xfId="3459" applyNumberFormat="1" applyFont="1" applyFill="1" applyBorder="1" applyAlignment="1">
      <alignment horizontal="center" vertical="center"/>
    </xf>
    <xf numFmtId="170" fontId="35" fillId="16" borderId="3" xfId="149" applyNumberFormat="1" applyFont="1" applyFill="1" applyBorder="1" applyAlignment="1">
      <alignment horizontal="center" vertical="center"/>
    </xf>
    <xf numFmtId="0" fontId="26" fillId="0" borderId="2" xfId="128" applyFont="1" applyFill="1" applyBorder="1" applyAlignment="1" applyProtection="1">
      <alignment horizontal="center" vertical="center" wrapText="1"/>
    </xf>
    <xf numFmtId="9" fontId="35" fillId="0" borderId="3" xfId="3459" applyNumberFormat="1" applyFont="1" applyFill="1" applyBorder="1" applyAlignment="1">
      <alignment horizontal="center" vertical="center"/>
    </xf>
    <xf numFmtId="191" fontId="35" fillId="0" borderId="3" xfId="3516" applyNumberFormat="1" applyFont="1" applyFill="1" applyBorder="1" applyAlignment="1">
      <alignment horizontal="center" vertical="center"/>
    </xf>
    <xf numFmtId="10" fontId="27" fillId="0" borderId="3" xfId="149" applyNumberFormat="1" applyFont="1" applyFill="1" applyBorder="1" applyAlignment="1">
      <alignment horizontal="center" vertical="center"/>
    </xf>
    <xf numFmtId="2" fontId="10" fillId="5" borderId="3" xfId="319" applyNumberFormat="1" applyFont="1" applyFill="1" applyBorder="1" applyAlignment="1">
      <alignment horizontal="center" vertical="center" wrapText="1"/>
    </xf>
    <xf numFmtId="189" fontId="24" fillId="0" borderId="0" xfId="128" applyNumberFormat="1" applyFont="1"/>
    <xf numFmtId="189" fontId="18" fillId="0" borderId="0" xfId="128" applyNumberFormat="1"/>
    <xf numFmtId="187" fontId="27" fillId="16" borderId="3" xfId="81" applyNumberFormat="1" applyFont="1" applyFill="1" applyBorder="1" applyAlignment="1">
      <alignment horizontal="center" vertical="center"/>
    </xf>
    <xf numFmtId="187" fontId="35" fillId="0" borderId="3" xfId="81" applyNumberFormat="1" applyFont="1" applyFill="1" applyBorder="1" applyAlignment="1">
      <alignment horizontal="center" vertical="center"/>
    </xf>
    <xf numFmtId="4" fontId="35" fillId="0" borderId="3" xfId="81" applyNumberFormat="1" applyFont="1" applyFill="1" applyBorder="1" applyAlignment="1">
      <alignment horizontal="center" vertical="center"/>
    </xf>
    <xf numFmtId="0" fontId="41" fillId="0" borderId="3" xfId="128" applyFont="1" applyFill="1" applyBorder="1" applyAlignment="1" applyProtection="1">
      <alignment horizontal="justify" vertical="center" wrapText="1"/>
    </xf>
    <xf numFmtId="3" fontId="27" fillId="0" borderId="3" xfId="80" applyNumberFormat="1" applyFont="1" applyFill="1" applyBorder="1" applyAlignment="1">
      <alignment horizontal="right" vertical="center"/>
    </xf>
    <xf numFmtId="170" fontId="10" fillId="0" borderId="3" xfId="149" applyNumberFormat="1" applyFont="1" applyFill="1" applyBorder="1" applyAlignment="1">
      <alignment horizontal="center" vertical="center" wrapText="1"/>
    </xf>
    <xf numFmtId="4" fontId="27" fillId="16" borderId="3" xfId="81" applyNumberFormat="1" applyFont="1" applyFill="1" applyBorder="1" applyAlignment="1">
      <alignment horizontal="center" vertical="center"/>
    </xf>
    <xf numFmtId="170" fontId="10" fillId="0" borderId="3" xfId="3459" applyNumberFormat="1" applyFont="1" applyFill="1" applyBorder="1" applyAlignment="1">
      <alignment horizontal="center" vertical="center" wrapText="1"/>
    </xf>
    <xf numFmtId="171" fontId="23" fillId="0" borderId="0" xfId="128" applyNumberFormat="1" applyFont="1"/>
    <xf numFmtId="3" fontId="23" fillId="0" borderId="0" xfId="128" applyNumberFormat="1" applyFont="1"/>
    <xf numFmtId="10" fontId="35" fillId="0" borderId="3" xfId="149" applyNumberFormat="1" applyFont="1" applyFill="1" applyBorder="1" applyAlignment="1">
      <alignment horizontal="center" vertical="center"/>
    </xf>
    <xf numFmtId="3" fontId="18" fillId="0" borderId="0" xfId="128" applyNumberFormat="1"/>
    <xf numFmtId="1" fontId="10" fillId="0" borderId="3" xfId="319" applyNumberFormat="1" applyFont="1" applyFill="1" applyBorder="1" applyAlignment="1">
      <alignment horizontal="center" vertical="center" wrapText="1"/>
    </xf>
    <xf numFmtId="9" fontId="27" fillId="16" borderId="3" xfId="3459" applyNumberFormat="1" applyFont="1" applyFill="1" applyBorder="1" applyAlignment="1">
      <alignment horizontal="center" vertical="center"/>
    </xf>
    <xf numFmtId="9" fontId="27" fillId="0" borderId="3" xfId="3459" applyNumberFormat="1" applyFont="1" applyFill="1" applyBorder="1" applyAlignment="1">
      <alignment horizontal="center" vertical="center"/>
    </xf>
    <xf numFmtId="10" fontId="10" fillId="16" borderId="3" xfId="3459" applyNumberFormat="1" applyFont="1" applyFill="1" applyBorder="1" applyAlignment="1">
      <alignment horizontal="center" vertical="center" wrapText="1"/>
    </xf>
    <xf numFmtId="170" fontId="27" fillId="16" borderId="3" xfId="3459" applyNumberFormat="1" applyFont="1" applyFill="1" applyBorder="1" applyAlignment="1">
      <alignment horizontal="center" vertical="center"/>
    </xf>
    <xf numFmtId="10" fontId="27" fillId="16" borderId="3" xfId="149" applyNumberFormat="1" applyFont="1" applyFill="1" applyBorder="1" applyAlignment="1">
      <alignment horizontal="center" vertical="center"/>
    </xf>
    <xf numFmtId="0" fontId="34" fillId="8" borderId="3"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5" fillId="8" borderId="8" xfId="128" applyFont="1" applyFill="1" applyBorder="1" applyAlignment="1">
      <alignment horizontal="center" vertical="center" wrapText="1"/>
    </xf>
    <xf numFmtId="0" fontId="25" fillId="8" borderId="9" xfId="128" applyFont="1" applyFill="1" applyBorder="1" applyAlignment="1">
      <alignment horizontal="center" vertical="center" wrapText="1"/>
    </xf>
    <xf numFmtId="0" fontId="34" fillId="8" borderId="5" xfId="128" applyFont="1" applyFill="1" applyBorder="1" applyAlignment="1">
      <alignment horizontal="center" vertical="center" wrapText="1"/>
    </xf>
    <xf numFmtId="0" fontId="34" fillId="8" borderId="4" xfId="128" applyFont="1" applyFill="1" applyBorder="1" applyAlignment="1">
      <alignment horizontal="center" vertical="center" wrapText="1"/>
    </xf>
    <xf numFmtId="0" fontId="25" fillId="8" borderId="18" xfId="128" applyFont="1" applyFill="1" applyBorder="1" applyAlignment="1">
      <alignment horizontal="center" vertical="center" wrapText="1"/>
    </xf>
    <xf numFmtId="0" fontId="25" fillId="8" borderId="19" xfId="128" applyFont="1" applyFill="1" applyBorder="1" applyAlignment="1">
      <alignment horizontal="center" vertical="center" wrapText="1"/>
    </xf>
    <xf numFmtId="0" fontId="25" fillId="8" borderId="20" xfId="128" applyFont="1" applyFill="1" applyBorder="1" applyAlignment="1">
      <alignment horizontal="center" vertical="center" wrapText="1"/>
    </xf>
    <xf numFmtId="0" fontId="24" fillId="0" borderId="5" xfId="128" applyFont="1" applyFill="1" applyBorder="1" applyAlignment="1">
      <alignment horizontal="center" vertical="center" wrapText="1"/>
    </xf>
    <xf numFmtId="0" fontId="24"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4"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4" fillId="5" borderId="5" xfId="128"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4"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5" fillId="8" borderId="24" xfId="128" applyFont="1" applyFill="1" applyBorder="1" applyAlignment="1">
      <alignment horizontal="center" vertical="center" wrapText="1"/>
    </xf>
    <xf numFmtId="0" fontId="25" fillId="8" borderId="6" xfId="128" applyFont="1" applyFill="1" applyBorder="1" applyAlignment="1">
      <alignment horizontal="center" vertical="center" wrapText="1"/>
    </xf>
    <xf numFmtId="0" fontId="25" fillId="8" borderId="25" xfId="128" applyFont="1" applyFill="1" applyBorder="1" applyAlignment="1">
      <alignment horizontal="center" vertical="center" wrapText="1"/>
    </xf>
    <xf numFmtId="0" fontId="25" fillId="8" borderId="21" xfId="128" applyFont="1" applyFill="1" applyBorder="1" applyAlignment="1">
      <alignment horizontal="center" vertical="center" wrapText="1"/>
    </xf>
    <xf numFmtId="0" fontId="25" fillId="8" borderId="22" xfId="128" applyFont="1" applyFill="1" applyBorder="1" applyAlignment="1">
      <alignment horizontal="center" vertical="center" wrapText="1"/>
    </xf>
    <xf numFmtId="0" fontId="25"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4"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5" fillId="8" borderId="10" xfId="128" applyFont="1" applyFill="1" applyBorder="1" applyAlignment="1">
      <alignment horizontal="center" vertical="center" wrapText="1"/>
    </xf>
    <xf numFmtId="0" fontId="24" fillId="0" borderId="5" xfId="128" applyFont="1" applyFill="1" applyBorder="1" applyAlignment="1">
      <alignment horizontal="left" vertical="center" wrapText="1"/>
    </xf>
    <xf numFmtId="0" fontId="24" fillId="0" borderId="6" xfId="128" applyFont="1" applyFill="1" applyBorder="1" applyAlignment="1">
      <alignment horizontal="left" vertical="center" wrapText="1"/>
    </xf>
    <xf numFmtId="0" fontId="25" fillId="8" borderId="5" xfId="128" applyFont="1" applyFill="1" applyBorder="1" applyAlignment="1">
      <alignment horizontal="center" vertical="center" wrapText="1"/>
    </xf>
    <xf numFmtId="0" fontId="25" fillId="8" borderId="4" xfId="128" applyFont="1" applyFill="1" applyBorder="1" applyAlignment="1">
      <alignment horizontal="center" vertical="center" wrapText="1"/>
    </xf>
    <xf numFmtId="0" fontId="0" fillId="0" borderId="0" xfId="128" applyFont="1" applyAlignment="1">
      <alignment horizontal="left" vertical="center" wrapText="1"/>
    </xf>
    <xf numFmtId="0" fontId="20" fillId="8" borderId="3" xfId="128" applyFont="1" applyFill="1" applyBorder="1" applyAlignment="1">
      <alignment horizontal="center" vertical="center" wrapText="1"/>
    </xf>
    <xf numFmtId="0" fontId="26" fillId="0" borderId="15" xfId="128" applyFont="1" applyFill="1" applyBorder="1" applyAlignment="1" applyProtection="1">
      <alignment horizontal="center" vertical="center" wrapText="1"/>
    </xf>
    <xf numFmtId="0" fontId="26" fillId="0" borderId="2" xfId="128" applyFont="1" applyFill="1" applyBorder="1" applyAlignment="1" applyProtection="1">
      <alignment horizontal="center" vertical="center" wrapText="1"/>
    </xf>
    <xf numFmtId="0" fontId="6" fillId="12" borderId="0" xfId="106" applyFont="1" applyFill="1" applyBorder="1" applyAlignment="1">
      <alignment horizontal="center" vertical="center"/>
    </xf>
    <xf numFmtId="0" fontId="25" fillId="8" borderId="2" xfId="128" applyFont="1" applyFill="1" applyBorder="1" applyAlignment="1">
      <alignment horizontal="center" vertical="center" wrapText="1"/>
    </xf>
    <xf numFmtId="0" fontId="28" fillId="0" borderId="0" xfId="128" applyFont="1" applyAlignment="1">
      <alignment horizontal="left" vertical="center" wrapText="1"/>
    </xf>
    <xf numFmtId="0" fontId="24" fillId="0" borderId="4" xfId="128" applyFont="1" applyFill="1" applyBorder="1" applyAlignment="1">
      <alignment horizontal="left" vertical="center" wrapText="1"/>
    </xf>
    <xf numFmtId="0" fontId="24" fillId="0" borderId="11" xfId="128" applyFont="1" applyBorder="1" applyAlignment="1">
      <alignment horizontal="left"/>
    </xf>
    <xf numFmtId="0" fontId="24" fillId="0" borderId="12" xfId="128" applyFont="1" applyBorder="1" applyAlignment="1">
      <alignment horizontal="left"/>
    </xf>
    <xf numFmtId="0" fontId="24" fillId="0" borderId="13" xfId="128" applyFont="1" applyBorder="1" applyAlignment="1">
      <alignment horizontal="left"/>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5" x14ac:dyDescent="0.25"/>
  <sheetData>
    <row r="1" spans="1:3" x14ac:dyDescent="0.25">
      <c r="A1" s="74" t="s">
        <v>77</v>
      </c>
      <c r="B1" s="74" t="s">
        <v>75</v>
      </c>
      <c r="C1" s="74" t="s">
        <v>76</v>
      </c>
    </row>
    <row r="2" spans="1:3" x14ac:dyDescent="0.25">
      <c r="A2" s="75">
        <v>3075</v>
      </c>
      <c r="B2" s="42">
        <v>188629.99454699998</v>
      </c>
      <c r="C2" s="76" t="e">
        <f>+B2-#REF!</f>
        <v>#REF!</v>
      </c>
    </row>
    <row r="3" spans="1:3" x14ac:dyDescent="0.25">
      <c r="A3" s="75">
        <v>208</v>
      </c>
      <c r="B3" s="46">
        <v>46860.264536000002</v>
      </c>
      <c r="C3" s="76" t="e">
        <f>+B3-#REF!</f>
        <v>#REF!</v>
      </c>
    </row>
    <row r="4" spans="1:3" x14ac:dyDescent="0.25">
      <c r="A4" s="75">
        <v>3075</v>
      </c>
      <c r="B4" s="48">
        <v>16911.999999</v>
      </c>
      <c r="C4" s="76" t="e">
        <f>+B4-#REF!</f>
        <v>#REF!</v>
      </c>
    </row>
    <row r="5" spans="1:3" x14ac:dyDescent="0.25">
      <c r="A5" s="75">
        <v>471</v>
      </c>
      <c r="B5" s="64">
        <v>29280</v>
      </c>
      <c r="C5" s="76" t="e">
        <f>+B5-#REF!</f>
        <v>#REF!</v>
      </c>
    </row>
    <row r="6" spans="1:3" x14ac:dyDescent="0.25">
      <c r="A6" s="75">
        <v>943</v>
      </c>
      <c r="B6" s="42">
        <v>1910.88</v>
      </c>
      <c r="C6" s="76" t="e">
        <f>+B6-#REF!</f>
        <v>#REF!</v>
      </c>
    </row>
    <row r="7" spans="1:3" x14ac:dyDescent="0.25">
      <c r="A7" s="75">
        <v>404</v>
      </c>
      <c r="B7" s="42">
        <v>13556.24</v>
      </c>
      <c r="C7" s="76" t="e">
        <f>+B7-#REF!</f>
        <v>#REF!</v>
      </c>
    </row>
    <row r="8" spans="1:3" x14ac:dyDescent="0.25">
      <c r="A8" s="75">
        <v>1174</v>
      </c>
      <c r="B8" s="42">
        <v>7858.6167699999996</v>
      </c>
      <c r="C8" s="76" t="e">
        <f>+B8-#REF!</f>
        <v>#REF!</v>
      </c>
    </row>
    <row r="9" spans="1:3" x14ac:dyDescent="0.25">
      <c r="A9" s="74" t="s">
        <v>75</v>
      </c>
      <c r="B9" s="77">
        <f>SUM(B2:B8)</f>
        <v>305007.99585200002</v>
      </c>
      <c r="C9" s="76"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238" t="s">
        <v>0</v>
      </c>
      <c r="B3" s="239"/>
      <c r="C3" s="239"/>
      <c r="D3" s="240"/>
      <c r="E3" s="1"/>
      <c r="F3" s="2"/>
      <c r="G3" s="2"/>
      <c r="H3" s="2"/>
      <c r="I3" s="2"/>
      <c r="J3" s="2"/>
      <c r="K3" s="2"/>
      <c r="M3" s="2"/>
      <c r="O3" s="2"/>
      <c r="Q3" s="2"/>
    </row>
    <row r="4" spans="1:18" s="3" customFormat="1" ht="12.75" x14ac:dyDescent="0.2">
      <c r="A4" s="238" t="s">
        <v>14</v>
      </c>
      <c r="B4" s="239"/>
      <c r="C4" s="239"/>
      <c r="D4" s="240"/>
      <c r="E4" s="1"/>
      <c r="F4" s="2"/>
      <c r="G4" s="2"/>
      <c r="H4" s="2"/>
      <c r="I4" s="2"/>
      <c r="J4" s="2"/>
      <c r="K4" s="2"/>
      <c r="M4" s="2"/>
      <c r="O4" s="2"/>
      <c r="Q4" s="2"/>
    </row>
    <row r="5" spans="1:18" s="3" customFormat="1" ht="12.75" x14ac:dyDescent="0.2">
      <c r="A5" s="238" t="s">
        <v>0</v>
      </c>
      <c r="B5" s="239"/>
      <c r="C5" s="239"/>
      <c r="D5" s="240"/>
      <c r="E5" s="1"/>
      <c r="F5" s="2"/>
      <c r="G5" s="2"/>
      <c r="H5" s="2"/>
      <c r="I5" s="2"/>
      <c r="J5" s="2"/>
      <c r="K5" s="2"/>
      <c r="M5" s="2"/>
      <c r="O5" s="2"/>
      <c r="Q5" s="2"/>
    </row>
    <row r="6" spans="1:18" s="3" customFormat="1" ht="12.75" x14ac:dyDescent="0.2">
      <c r="A6" s="238" t="s">
        <v>15</v>
      </c>
      <c r="B6" s="239"/>
      <c r="C6" s="239"/>
      <c r="D6" s="240"/>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47" t="s">
        <v>85</v>
      </c>
      <c r="B8" s="248"/>
      <c r="C8" s="248"/>
      <c r="D8" s="248"/>
    </row>
    <row r="9" spans="1:18" s="3" customFormat="1" ht="12.75" x14ac:dyDescent="0.2">
      <c r="A9" s="4"/>
      <c r="B9" s="4"/>
      <c r="C9" s="4"/>
      <c r="D9" s="4"/>
      <c r="E9" s="2"/>
      <c r="F9" s="2"/>
      <c r="G9" s="2"/>
      <c r="H9" s="2"/>
      <c r="I9" s="2"/>
      <c r="J9" s="2"/>
      <c r="K9" s="2"/>
      <c r="M9" s="2"/>
      <c r="O9" s="2"/>
      <c r="Q9" s="2"/>
    </row>
    <row r="10" spans="1:18" ht="34.5" customHeight="1" x14ac:dyDescent="0.25">
      <c r="A10" s="33" t="s">
        <v>1</v>
      </c>
      <c r="B10" s="249" t="s">
        <v>16</v>
      </c>
      <c r="C10" s="249"/>
      <c r="D10" s="249"/>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44" t="s">
        <v>2</v>
      </c>
      <c r="B13" s="219" t="s">
        <v>3</v>
      </c>
      <c r="C13" s="219" t="s">
        <v>67</v>
      </c>
      <c r="D13" s="241" t="s">
        <v>19</v>
      </c>
      <c r="E13" s="10"/>
      <c r="F13" s="67">
        <v>2016</v>
      </c>
      <c r="G13" s="10"/>
      <c r="H13" s="215">
        <v>2017</v>
      </c>
      <c r="I13" s="216"/>
      <c r="J13" s="252"/>
      <c r="K13" s="215">
        <v>2018</v>
      </c>
      <c r="L13" s="252"/>
      <c r="M13" s="215">
        <v>2019</v>
      </c>
      <c r="N13" s="252"/>
      <c r="O13" s="215">
        <v>2020</v>
      </c>
      <c r="P13" s="216"/>
      <c r="Q13" s="216" t="s">
        <v>78</v>
      </c>
      <c r="R13" s="216"/>
    </row>
    <row r="14" spans="1:18" s="11" customFormat="1" ht="15" customHeight="1" x14ac:dyDescent="0.25">
      <c r="A14" s="245"/>
      <c r="B14" s="220"/>
      <c r="C14" s="220"/>
      <c r="D14" s="242"/>
      <c r="E14" s="10"/>
      <c r="F14" s="213" t="s">
        <v>8</v>
      </c>
      <c r="G14" s="10"/>
      <c r="H14" s="213" t="s">
        <v>8</v>
      </c>
      <c r="I14" s="213" t="s">
        <v>84</v>
      </c>
      <c r="J14" s="213" t="s">
        <v>80</v>
      </c>
      <c r="K14" s="213" t="s">
        <v>8</v>
      </c>
      <c r="L14" s="213" t="s">
        <v>79</v>
      </c>
      <c r="M14" s="213" t="s">
        <v>8</v>
      </c>
      <c r="N14" s="213" t="s">
        <v>79</v>
      </c>
      <c r="O14" s="217" t="s">
        <v>8</v>
      </c>
      <c r="P14" s="213" t="s">
        <v>79</v>
      </c>
      <c r="Q14" s="217" t="s">
        <v>8</v>
      </c>
      <c r="R14" s="213" t="s">
        <v>79</v>
      </c>
    </row>
    <row r="15" spans="1:18" s="11" customFormat="1" ht="47.25" customHeight="1" x14ac:dyDescent="0.25">
      <c r="A15" s="246"/>
      <c r="B15" s="221"/>
      <c r="C15" s="221"/>
      <c r="D15" s="243"/>
      <c r="E15" s="12"/>
      <c r="F15" s="213"/>
      <c r="G15" s="12"/>
      <c r="H15" s="213"/>
      <c r="I15" s="213"/>
      <c r="J15" s="213"/>
      <c r="K15" s="213"/>
      <c r="L15" s="213"/>
      <c r="M15" s="213"/>
      <c r="N15" s="213"/>
      <c r="O15" s="218"/>
      <c r="P15" s="213"/>
      <c r="Q15" s="218"/>
      <c r="R15" s="213"/>
    </row>
    <row r="16" spans="1:18" ht="60" customHeight="1" x14ac:dyDescent="0.25">
      <c r="A16" s="250" t="s">
        <v>11</v>
      </c>
      <c r="B16" s="222" t="s">
        <v>12</v>
      </c>
      <c r="C16" s="222"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51"/>
      <c r="B17" s="229"/>
      <c r="C17" s="229"/>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51"/>
      <c r="B18" s="229"/>
      <c r="C18" s="229"/>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51"/>
      <c r="B19" s="229"/>
      <c r="C19" s="229"/>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51"/>
      <c r="B20" s="223"/>
      <c r="C20" s="223"/>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8" t="s">
        <v>52</v>
      </c>
      <c r="C21" s="68"/>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8">
        <f t="shared" si="0"/>
        <v>188629.99454699998</v>
      </c>
      <c r="R21" s="78">
        <f t="shared" si="0"/>
        <v>188629.99454699998</v>
      </c>
      <c r="S21" s="42">
        <v>188629.99454699998</v>
      </c>
      <c r="T21" s="87">
        <f>+S21-R21</f>
        <v>0</v>
      </c>
    </row>
    <row r="22" spans="1:20" ht="21.75" customHeight="1" x14ac:dyDescent="0.25">
      <c r="A22" s="50"/>
      <c r="D22" s="7"/>
      <c r="E22" s="8"/>
      <c r="F22" s="7"/>
      <c r="G22" s="8"/>
      <c r="H22" s="7"/>
      <c r="I22" s="8"/>
      <c r="J22" s="8"/>
      <c r="K22" s="7"/>
      <c r="M22" s="7"/>
      <c r="O22" s="7"/>
      <c r="Q22" s="72"/>
    </row>
    <row r="23" spans="1:20" ht="12.75" customHeight="1" x14ac:dyDescent="0.25">
      <c r="A23" s="6" t="s">
        <v>21</v>
      </c>
      <c r="B23" s="6" t="s">
        <v>22</v>
      </c>
      <c r="C23" s="6"/>
      <c r="D23" s="7"/>
      <c r="E23" s="8"/>
      <c r="F23" s="7"/>
      <c r="G23" s="8"/>
      <c r="H23" s="7"/>
      <c r="I23" s="8"/>
      <c r="J23" s="8"/>
      <c r="K23" s="7"/>
      <c r="M23" s="7"/>
      <c r="O23" s="7"/>
      <c r="Q23" s="73"/>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14" t="s">
        <v>2</v>
      </c>
      <c r="B26" s="214" t="s">
        <v>3</v>
      </c>
      <c r="C26" s="219" t="s">
        <v>67</v>
      </c>
      <c r="D26" s="214" t="s">
        <v>19</v>
      </c>
      <c r="E26" s="10"/>
      <c r="F26" s="71">
        <v>2016</v>
      </c>
      <c r="G26" s="79"/>
      <c r="H26" s="214">
        <v>2017</v>
      </c>
      <c r="I26" s="214"/>
      <c r="J26" s="214"/>
      <c r="K26" s="214">
        <v>2018</v>
      </c>
      <c r="L26" s="214"/>
      <c r="M26" s="214">
        <v>2019</v>
      </c>
      <c r="N26" s="214"/>
      <c r="O26" s="214">
        <v>2020</v>
      </c>
      <c r="P26" s="214"/>
      <c r="Q26" s="214" t="s">
        <v>78</v>
      </c>
      <c r="R26" s="214"/>
    </row>
    <row r="27" spans="1:20" s="11" customFormat="1" ht="15" customHeight="1" x14ac:dyDescent="0.25">
      <c r="A27" s="214"/>
      <c r="B27" s="214"/>
      <c r="C27" s="220"/>
      <c r="D27" s="214"/>
      <c r="E27" s="10"/>
      <c r="F27" s="213" t="s">
        <v>8</v>
      </c>
      <c r="G27" s="79"/>
      <c r="H27" s="213" t="s">
        <v>8</v>
      </c>
      <c r="I27" s="213" t="s">
        <v>84</v>
      </c>
      <c r="J27" s="213" t="s">
        <v>80</v>
      </c>
      <c r="K27" s="213" t="s">
        <v>8</v>
      </c>
      <c r="L27" s="213" t="s">
        <v>79</v>
      </c>
      <c r="M27" s="213" t="s">
        <v>8</v>
      </c>
      <c r="N27" s="213" t="s">
        <v>79</v>
      </c>
      <c r="O27" s="213" t="s">
        <v>8</v>
      </c>
      <c r="P27" s="213" t="s">
        <v>79</v>
      </c>
      <c r="Q27" s="213" t="s">
        <v>8</v>
      </c>
      <c r="R27" s="213" t="s">
        <v>79</v>
      </c>
    </row>
    <row r="28" spans="1:20" s="11" customFormat="1" ht="47.25" customHeight="1" x14ac:dyDescent="0.25">
      <c r="A28" s="214"/>
      <c r="B28" s="214"/>
      <c r="C28" s="221"/>
      <c r="D28" s="214"/>
      <c r="E28" s="12"/>
      <c r="F28" s="213"/>
      <c r="G28" s="80"/>
      <c r="H28" s="213"/>
      <c r="I28" s="213"/>
      <c r="J28" s="213"/>
      <c r="K28" s="213"/>
      <c r="L28" s="213"/>
      <c r="M28" s="213"/>
      <c r="N28" s="213"/>
      <c r="O28" s="213"/>
      <c r="P28" s="213"/>
      <c r="Q28" s="213"/>
      <c r="R28" s="213"/>
    </row>
    <row r="29" spans="1:20" ht="51" hidden="1" customHeight="1" x14ac:dyDescent="0.25">
      <c r="A29" s="236" t="s">
        <v>24</v>
      </c>
      <c r="B29" s="237" t="s">
        <v>25</v>
      </c>
      <c r="C29" s="68"/>
      <c r="D29" s="18" t="s">
        <v>9</v>
      </c>
      <c r="E29" s="14"/>
      <c r="F29" s="28"/>
      <c r="G29" s="81"/>
      <c r="H29" s="28"/>
      <c r="I29" s="81"/>
      <c r="J29" s="81"/>
      <c r="K29" s="29"/>
      <c r="L29" s="82"/>
      <c r="M29" s="20"/>
      <c r="N29" s="82"/>
      <c r="O29" s="20"/>
      <c r="P29" s="82"/>
      <c r="Q29" s="15"/>
      <c r="R29" s="82"/>
    </row>
    <row r="30" spans="1:20" ht="95.25" customHeight="1" x14ac:dyDescent="0.25">
      <c r="A30" s="236"/>
      <c r="B30" s="237"/>
      <c r="C30" s="237" t="s">
        <v>69</v>
      </c>
      <c r="D30" s="13" t="s">
        <v>47</v>
      </c>
      <c r="E30" s="14"/>
      <c r="F30" s="15">
        <v>2310.5661340000001</v>
      </c>
      <c r="G30" s="81"/>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36"/>
      <c r="B31" s="237"/>
      <c r="C31" s="237"/>
      <c r="D31" s="18" t="s">
        <v>48</v>
      </c>
      <c r="E31" s="14"/>
      <c r="F31" s="27">
        <v>6931.698402</v>
      </c>
      <c r="G31" s="81"/>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6" t="s">
        <v>53</v>
      </c>
      <c r="C32" s="65"/>
      <c r="D32" s="45"/>
      <c r="E32" s="40"/>
      <c r="F32" s="46">
        <f>SUM(F30:F31)</f>
        <v>9242.2645360000006</v>
      </c>
      <c r="G32" s="83"/>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8">
        <f>+S32-R32</f>
        <v>0</v>
      </c>
    </row>
    <row r="33" spans="1:20" s="22" customFormat="1" ht="144.75" customHeight="1" x14ac:dyDescent="0.25">
      <c r="A33" s="230" t="s">
        <v>10</v>
      </c>
      <c r="B33" s="233" t="s">
        <v>26</v>
      </c>
      <c r="C33" s="233" t="s">
        <v>70</v>
      </c>
      <c r="D33" s="18" t="s">
        <v>49</v>
      </c>
      <c r="E33" s="21"/>
      <c r="F33" s="35">
        <v>843.23047499999996</v>
      </c>
      <c r="G33" s="84"/>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31"/>
      <c r="B34" s="234"/>
      <c r="C34" s="234"/>
      <c r="D34" s="18" t="s">
        <v>50</v>
      </c>
      <c r="E34" s="21"/>
      <c r="F34" s="35">
        <v>607.23047499999996</v>
      </c>
      <c r="G34" s="84"/>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32"/>
      <c r="B35" s="235"/>
      <c r="C35" s="235"/>
      <c r="D35" s="18" t="s">
        <v>51</v>
      </c>
      <c r="E35" s="21"/>
      <c r="F35" s="30">
        <v>814.53904999999997</v>
      </c>
      <c r="G35" s="84"/>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9"/>
      <c r="B36" s="70" t="s">
        <v>54</v>
      </c>
      <c r="C36" s="70"/>
      <c r="D36" s="45"/>
      <c r="E36" s="47"/>
      <c r="F36" s="48">
        <f>SUM(F33:F35)</f>
        <v>2265</v>
      </c>
      <c r="G36" s="85"/>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8">
        <f>+S36-R36</f>
        <v>0</v>
      </c>
    </row>
    <row r="37" spans="1:20" s="22" customFormat="1" ht="30" customHeight="1" x14ac:dyDescent="0.25">
      <c r="A37" s="226" t="s">
        <v>27</v>
      </c>
      <c r="B37" s="222" t="s">
        <v>28</v>
      </c>
      <c r="C37" s="222" t="s">
        <v>71</v>
      </c>
      <c r="D37" s="18" t="s">
        <v>29</v>
      </c>
      <c r="E37" s="21"/>
      <c r="F37" s="30">
        <v>1039</v>
      </c>
      <c r="G37" s="84"/>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27"/>
      <c r="B38" s="229"/>
      <c r="C38" s="229"/>
      <c r="D38" s="18" t="s">
        <v>30</v>
      </c>
      <c r="E38" s="21"/>
      <c r="F38" s="30">
        <v>257</v>
      </c>
      <c r="G38" s="84"/>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2">
        <f>+F38+H38+K38+M38+O38</f>
        <v>1771</v>
      </c>
      <c r="R38" s="29">
        <f t="shared" si="2"/>
        <v>1771</v>
      </c>
      <c r="S38" s="11"/>
    </row>
    <row r="39" spans="1:20" ht="60" x14ac:dyDescent="0.25">
      <c r="A39" s="228"/>
      <c r="B39" s="223"/>
      <c r="C39" s="223"/>
      <c r="D39" s="18" t="s">
        <v>31</v>
      </c>
      <c r="E39" s="14"/>
      <c r="F39" s="29">
        <v>2758</v>
      </c>
      <c r="G39" s="81"/>
      <c r="H39" s="29">
        <v>2547</v>
      </c>
      <c r="I39" s="31">
        <v>1897.029</v>
      </c>
      <c r="J39" s="31">
        <f>+H39-I39</f>
        <v>649.971</v>
      </c>
      <c r="K39" s="29">
        <v>0</v>
      </c>
      <c r="L39" s="31">
        <f>+($J$39/3)+K39</f>
        <v>216.65700000000001</v>
      </c>
      <c r="M39" s="27">
        <v>0</v>
      </c>
      <c r="N39" s="31">
        <f>+($J$39/3)+M39</f>
        <v>216.65700000000001</v>
      </c>
      <c r="O39" s="29">
        <v>0</v>
      </c>
      <c r="P39" s="31">
        <f>+($J$39/3)+O39</f>
        <v>216.65700000000001</v>
      </c>
      <c r="Q39" s="63">
        <f>+F39+H39+K39+M39+O39</f>
        <v>5305</v>
      </c>
      <c r="R39" s="29">
        <f t="shared" si="2"/>
        <v>5305.0000000000009</v>
      </c>
      <c r="S39" s="11"/>
    </row>
    <row r="40" spans="1:20" s="6" customFormat="1" ht="18.75" customHeight="1" x14ac:dyDescent="0.25">
      <c r="A40" s="52"/>
      <c r="B40" s="53" t="s">
        <v>55</v>
      </c>
      <c r="C40" s="53"/>
      <c r="D40" s="45"/>
      <c r="E40" s="40"/>
      <c r="F40" s="42">
        <f>SUM(F37:F39)</f>
        <v>4054</v>
      </c>
      <c r="G40" s="83"/>
      <c r="H40" s="42">
        <f t="shared" ref="H40:R40" si="4">SUM(H37:H39)</f>
        <v>8784</v>
      </c>
      <c r="I40" s="42">
        <f t="shared" si="4"/>
        <v>6542.4040000000005</v>
      </c>
      <c r="J40" s="42">
        <f t="shared" si="4"/>
        <v>2241.596</v>
      </c>
      <c r="K40" s="42">
        <f t="shared" si="4"/>
        <v>9662</v>
      </c>
      <c r="L40" s="42">
        <f t="shared" si="4"/>
        <v>10409.198666666665</v>
      </c>
      <c r="M40" s="86">
        <f t="shared" si="4"/>
        <v>4930</v>
      </c>
      <c r="N40" s="86">
        <f t="shared" si="4"/>
        <v>5677.1986666666662</v>
      </c>
      <c r="O40" s="42">
        <f t="shared" si="4"/>
        <v>1850</v>
      </c>
      <c r="P40" s="42">
        <f t="shared" si="4"/>
        <v>2597.1986666666671</v>
      </c>
      <c r="Q40" s="64">
        <f t="shared" si="4"/>
        <v>29280</v>
      </c>
      <c r="R40" s="64">
        <f t="shared" si="4"/>
        <v>29280</v>
      </c>
      <c r="S40" s="64">
        <v>29280</v>
      </c>
      <c r="T40" s="88">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14" t="s">
        <v>2</v>
      </c>
      <c r="B45" s="214" t="s">
        <v>3</v>
      </c>
      <c r="C45" s="219" t="s">
        <v>67</v>
      </c>
      <c r="D45" s="214" t="s">
        <v>19</v>
      </c>
      <c r="E45" s="10"/>
      <c r="F45" s="71">
        <v>2016</v>
      </c>
      <c r="G45" s="79"/>
      <c r="H45" s="214">
        <v>2017</v>
      </c>
      <c r="I45" s="214"/>
      <c r="J45" s="214"/>
      <c r="K45" s="214">
        <v>2018</v>
      </c>
      <c r="L45" s="214"/>
      <c r="M45" s="214">
        <v>2019</v>
      </c>
      <c r="N45" s="214"/>
      <c r="O45" s="214">
        <v>2020</v>
      </c>
      <c r="P45" s="214"/>
      <c r="Q45" s="214" t="s">
        <v>78</v>
      </c>
      <c r="R45" s="214"/>
    </row>
    <row r="46" spans="1:20" s="11" customFormat="1" ht="15" customHeight="1" x14ac:dyDescent="0.25">
      <c r="A46" s="214"/>
      <c r="B46" s="214"/>
      <c r="C46" s="220"/>
      <c r="D46" s="214"/>
      <c r="E46" s="10"/>
      <c r="F46" s="217" t="s">
        <v>8</v>
      </c>
      <c r="G46" s="79"/>
      <c r="H46" s="217" t="s">
        <v>8</v>
      </c>
      <c r="I46" s="213" t="s">
        <v>84</v>
      </c>
      <c r="J46" s="213" t="s">
        <v>80</v>
      </c>
      <c r="K46" s="217" t="s">
        <v>8</v>
      </c>
      <c r="L46" s="213" t="s">
        <v>79</v>
      </c>
      <c r="M46" s="217" t="s">
        <v>8</v>
      </c>
      <c r="N46" s="213" t="s">
        <v>79</v>
      </c>
      <c r="O46" s="213" t="s">
        <v>8</v>
      </c>
      <c r="P46" s="213" t="s">
        <v>79</v>
      </c>
      <c r="Q46" s="217" t="s">
        <v>8</v>
      </c>
      <c r="R46" s="213" t="s">
        <v>79</v>
      </c>
    </row>
    <row r="47" spans="1:20" s="11" customFormat="1" ht="47.25" customHeight="1" x14ac:dyDescent="0.25">
      <c r="A47" s="214"/>
      <c r="B47" s="214"/>
      <c r="C47" s="221"/>
      <c r="D47" s="214"/>
      <c r="E47" s="12"/>
      <c r="F47" s="218"/>
      <c r="G47" s="80"/>
      <c r="H47" s="218"/>
      <c r="I47" s="213"/>
      <c r="J47" s="213"/>
      <c r="K47" s="218"/>
      <c r="L47" s="213"/>
      <c r="M47" s="218"/>
      <c r="N47" s="213"/>
      <c r="O47" s="213"/>
      <c r="P47" s="213"/>
      <c r="Q47" s="218"/>
      <c r="R47" s="213"/>
    </row>
    <row r="48" spans="1:20" ht="60" customHeight="1" x14ac:dyDescent="0.25">
      <c r="A48" s="224" t="s">
        <v>35</v>
      </c>
      <c r="B48" s="222" t="s">
        <v>36</v>
      </c>
      <c r="C48" s="222"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25"/>
      <c r="B49" s="223"/>
      <c r="C49" s="223"/>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8">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14" t="s">
        <v>2</v>
      </c>
      <c r="B54" s="214" t="s">
        <v>3</v>
      </c>
      <c r="C54" s="219" t="s">
        <v>67</v>
      </c>
      <c r="D54" s="214" t="s">
        <v>19</v>
      </c>
      <c r="E54" s="10"/>
      <c r="F54" s="71">
        <v>2016</v>
      </c>
      <c r="G54" s="79"/>
      <c r="H54" s="214">
        <v>2017</v>
      </c>
      <c r="I54" s="214"/>
      <c r="J54" s="214"/>
      <c r="K54" s="214">
        <v>2018</v>
      </c>
      <c r="L54" s="214"/>
      <c r="M54" s="214">
        <v>2019</v>
      </c>
      <c r="N54" s="214"/>
      <c r="O54" s="214">
        <v>2020</v>
      </c>
      <c r="P54" s="214"/>
      <c r="Q54" s="214" t="s">
        <v>78</v>
      </c>
      <c r="R54" s="214"/>
    </row>
    <row r="55" spans="1:20" s="11" customFormat="1" ht="15" customHeight="1" x14ac:dyDescent="0.25">
      <c r="A55" s="214"/>
      <c r="B55" s="214"/>
      <c r="C55" s="220"/>
      <c r="D55" s="214"/>
      <c r="E55" s="10"/>
      <c r="F55" s="213" t="s">
        <v>8</v>
      </c>
      <c r="G55" s="79"/>
      <c r="H55" s="213" t="s">
        <v>8</v>
      </c>
      <c r="I55" s="213" t="s">
        <v>84</v>
      </c>
      <c r="J55" s="213" t="s">
        <v>80</v>
      </c>
      <c r="K55" s="213" t="s">
        <v>8</v>
      </c>
      <c r="L55" s="213" t="s">
        <v>79</v>
      </c>
      <c r="M55" s="213" t="s">
        <v>8</v>
      </c>
      <c r="N55" s="213" t="s">
        <v>79</v>
      </c>
      <c r="O55" s="213" t="s">
        <v>8</v>
      </c>
      <c r="P55" s="213" t="s">
        <v>79</v>
      </c>
      <c r="Q55" s="213" t="s">
        <v>8</v>
      </c>
      <c r="R55" s="213" t="s">
        <v>79</v>
      </c>
    </row>
    <row r="56" spans="1:20" s="11" customFormat="1" ht="47.25" customHeight="1" x14ac:dyDescent="0.25">
      <c r="A56" s="214"/>
      <c r="B56" s="214"/>
      <c r="C56" s="221"/>
      <c r="D56" s="214"/>
      <c r="E56" s="12"/>
      <c r="F56" s="213"/>
      <c r="G56" s="80"/>
      <c r="H56" s="213"/>
      <c r="I56" s="213"/>
      <c r="J56" s="213"/>
      <c r="K56" s="213"/>
      <c r="L56" s="213"/>
      <c r="M56" s="213"/>
      <c r="N56" s="213"/>
      <c r="O56" s="213"/>
      <c r="P56" s="213"/>
      <c r="Q56" s="213"/>
      <c r="R56" s="213"/>
    </row>
    <row r="57" spans="1:20" ht="88.5" customHeight="1" x14ac:dyDescent="0.25">
      <c r="A57" s="224" t="s">
        <v>39</v>
      </c>
      <c r="B57" s="222" t="s">
        <v>13</v>
      </c>
      <c r="C57" s="222"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25"/>
      <c r="B58" s="223"/>
      <c r="C58" s="223"/>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8">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14" t="s">
        <v>2</v>
      </c>
      <c r="B63" s="214" t="s">
        <v>3</v>
      </c>
      <c r="C63" s="219" t="s">
        <v>67</v>
      </c>
      <c r="D63" s="214" t="s">
        <v>19</v>
      </c>
      <c r="E63" s="10"/>
      <c r="F63" s="71">
        <v>2016</v>
      </c>
      <c r="G63" s="79"/>
      <c r="H63" s="214">
        <v>2017</v>
      </c>
      <c r="I63" s="214"/>
      <c r="J63" s="214"/>
      <c r="K63" s="214">
        <v>2018</v>
      </c>
      <c r="L63" s="214"/>
      <c r="M63" s="214">
        <v>2019</v>
      </c>
      <c r="N63" s="214"/>
      <c r="O63" s="214">
        <v>2020</v>
      </c>
      <c r="P63" s="214"/>
      <c r="Q63" s="214" t="s">
        <v>78</v>
      </c>
      <c r="R63" s="214"/>
    </row>
    <row r="64" spans="1:20" s="11" customFormat="1" ht="15" customHeight="1" x14ac:dyDescent="0.25">
      <c r="A64" s="214"/>
      <c r="B64" s="214"/>
      <c r="C64" s="220"/>
      <c r="D64" s="214"/>
      <c r="E64" s="10"/>
      <c r="F64" s="213" t="s">
        <v>8</v>
      </c>
      <c r="G64" s="79"/>
      <c r="H64" s="213" t="s">
        <v>8</v>
      </c>
      <c r="I64" s="213" t="s">
        <v>84</v>
      </c>
      <c r="J64" s="213" t="s">
        <v>80</v>
      </c>
      <c r="K64" s="213" t="s">
        <v>8</v>
      </c>
      <c r="L64" s="213" t="s">
        <v>79</v>
      </c>
      <c r="M64" s="213" t="s">
        <v>8</v>
      </c>
      <c r="N64" s="213" t="s">
        <v>79</v>
      </c>
      <c r="O64" s="213" t="s">
        <v>8</v>
      </c>
      <c r="P64" s="213" t="s">
        <v>79</v>
      </c>
      <c r="Q64" s="213" t="s">
        <v>8</v>
      </c>
      <c r="R64" s="213" t="s">
        <v>79</v>
      </c>
    </row>
    <row r="65" spans="1:20" s="11" customFormat="1" ht="47.25" customHeight="1" x14ac:dyDescent="0.25">
      <c r="A65" s="214"/>
      <c r="B65" s="214"/>
      <c r="C65" s="221"/>
      <c r="D65" s="214"/>
      <c r="E65" s="12"/>
      <c r="F65" s="213"/>
      <c r="G65" s="80"/>
      <c r="H65" s="213"/>
      <c r="I65" s="213"/>
      <c r="J65" s="213"/>
      <c r="K65" s="213"/>
      <c r="L65" s="213"/>
      <c r="M65" s="213"/>
      <c r="N65" s="213"/>
      <c r="O65" s="213"/>
      <c r="P65" s="213"/>
      <c r="Q65" s="213"/>
      <c r="R65" s="213"/>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8">
        <f>+S67-R67</f>
        <v>0</v>
      </c>
    </row>
    <row r="69" spans="1:20" x14ac:dyDescent="0.25">
      <c r="F69" s="25">
        <f>+F21+F32+F36+F40+F50+F59+F67</f>
        <v>54582.299831000004</v>
      </c>
      <c r="M69" s="6"/>
      <c r="N69" s="6"/>
      <c r="O69" s="6"/>
      <c r="P69" s="6"/>
      <c r="Q69" s="25">
        <f>+Q21+Q32+Q36+Q40+Q50+Q59+Q67</f>
        <v>305007.99585200002</v>
      </c>
      <c r="R69" s="25">
        <f>+R21+R32+R36+R40+R50+R59+R67</f>
        <v>305007.99585200002</v>
      </c>
      <c r="S69" s="87">
        <f>+Q69-R69</f>
        <v>0</v>
      </c>
    </row>
    <row r="70" spans="1:20" x14ac:dyDescent="0.25">
      <c r="K70" s="25"/>
      <c r="M70" s="25"/>
      <c r="N70" s="6"/>
      <c r="O70" s="25"/>
      <c r="P70" s="6"/>
      <c r="Q70" s="25"/>
    </row>
    <row r="72" spans="1:20" x14ac:dyDescent="0.25">
      <c r="F72" s="89">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13"/>
  <sheetViews>
    <sheetView tabSelected="1" topLeftCell="F4" zoomScale="65" zoomScaleNormal="65" workbookViewId="0">
      <pane xSplit="4" ySplit="13" topLeftCell="M17" activePane="bottomRight" state="frozen"/>
      <selection activeCell="F4" sqref="F4"/>
      <selection pane="topRight" activeCell="J4" sqref="J4"/>
      <selection pane="bottomLeft" activeCell="F17" sqref="F17"/>
      <selection pane="bottomRight" activeCell="V17" sqref="V17"/>
    </sheetView>
  </sheetViews>
  <sheetFormatPr baseColWidth="10" defaultColWidth="11.42578125" defaultRowHeight="15" x14ac:dyDescent="0.25"/>
  <cols>
    <col min="1" max="1" width="7.42578125" style="121" customWidth="1"/>
    <col min="2" max="2" width="20.28515625" style="8" customWidth="1"/>
    <col min="3" max="3" width="15.7109375" style="8" customWidth="1"/>
    <col min="4" max="4" width="44.85546875" style="8" customWidth="1"/>
    <col min="5" max="5" width="56.42578125" style="8" customWidth="1"/>
    <col min="6" max="6" width="55.5703125" style="8" customWidth="1"/>
    <col min="7" max="7" width="35.85546875" style="8" customWidth="1"/>
    <col min="8" max="8" width="44.28515625" style="8" hidden="1" customWidth="1"/>
    <col min="9" max="9" width="1.85546875" style="7" customWidth="1"/>
    <col min="10" max="10" width="10.7109375" style="121" customWidth="1"/>
    <col min="11" max="11" width="10.7109375" style="8" customWidth="1"/>
    <col min="12" max="12" width="19.7109375" style="154" customWidth="1"/>
    <col min="13" max="13" width="18.7109375" style="8" customWidth="1"/>
    <col min="14" max="14" width="0.5703125" style="7" customWidth="1"/>
    <col min="15" max="16" width="10.7109375" style="8" customWidth="1"/>
    <col min="17" max="17" width="20.5703125" style="8" bestFit="1" customWidth="1"/>
    <col min="18" max="18" width="16.28515625" style="8" bestFit="1" customWidth="1"/>
    <col min="19" max="19" width="0.5703125" style="8" customWidth="1"/>
    <col min="20" max="21" width="10.7109375" style="8" customWidth="1"/>
    <col min="22" max="22" width="20.140625" style="8" bestFit="1" customWidth="1"/>
    <col min="23" max="23" width="14.7109375" style="8" bestFit="1" customWidth="1"/>
    <col min="24" max="24" width="0.5703125" style="8" customWidth="1"/>
    <col min="25" max="26" width="10.7109375" style="8" customWidth="1"/>
    <col min="27" max="27" width="20.5703125" style="8" bestFit="1" customWidth="1"/>
    <col min="28" max="28" width="13.140625" style="8" bestFit="1" customWidth="1"/>
    <col min="29" max="29" width="0.85546875" style="8" customWidth="1"/>
    <col min="30" max="31" width="10.7109375" style="8" customWidth="1"/>
    <col min="32" max="32" width="19" style="8" customWidth="1"/>
    <col min="33" max="33" width="18.7109375" style="8" bestFit="1" customWidth="1"/>
    <col min="34" max="34" width="1.42578125" style="8" customWidth="1"/>
    <col min="35" max="35" width="15.28515625" style="92" customWidth="1"/>
    <col min="36" max="36" width="15.5703125" style="92" customWidth="1"/>
    <col min="37" max="37" width="27.85546875" style="92" customWidth="1"/>
    <col min="38" max="38" width="20.85546875" style="92" customWidth="1"/>
    <col min="39" max="39" width="11.42578125" style="92"/>
    <col min="40" max="40" width="14.7109375" style="8" customWidth="1"/>
    <col min="41" max="16384" width="11.42578125" style="8"/>
  </cols>
  <sheetData>
    <row r="1" spans="1:39" hidden="1" x14ac:dyDescent="0.25">
      <c r="A1" s="8"/>
      <c r="L1" s="163">
        <v>1000000</v>
      </c>
    </row>
    <row r="2" spans="1:39" s="3" customFormat="1" x14ac:dyDescent="0.25">
      <c r="A2" s="265" t="s">
        <v>0</v>
      </c>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7"/>
      <c r="AM2" s="93"/>
    </row>
    <row r="3" spans="1:39" s="3" customFormat="1" x14ac:dyDescent="0.25">
      <c r="A3" s="265" t="s">
        <v>92</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7"/>
      <c r="AM3" s="93"/>
    </row>
    <row r="4" spans="1:39" s="3" customFormat="1" x14ac:dyDescent="0.25">
      <c r="A4" s="265" t="s">
        <v>0</v>
      </c>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7"/>
      <c r="AM4" s="93"/>
    </row>
    <row r="5" spans="1:39" s="3" customFormat="1" x14ac:dyDescent="0.25">
      <c r="A5" s="265" t="s">
        <v>93</v>
      </c>
      <c r="B5" s="266"/>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7"/>
      <c r="AM5" s="93"/>
    </row>
    <row r="6" spans="1:39" s="3" customFormat="1" x14ac:dyDescent="0.25">
      <c r="A6" s="265"/>
      <c r="B6" s="266"/>
      <c r="C6" s="266"/>
      <c r="D6" s="266"/>
      <c r="E6" s="266"/>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7"/>
      <c r="AM6" s="93"/>
    </row>
    <row r="7" spans="1:39" s="5" customFormat="1" ht="15.75" customHeight="1" x14ac:dyDescent="0.2">
      <c r="A7" s="261"/>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94"/>
    </row>
    <row r="8" spans="1:39" s="3" customFormat="1" ht="12.75" hidden="1" x14ac:dyDescent="0.2">
      <c r="A8" s="140"/>
      <c r="B8" s="4"/>
      <c r="C8" s="4"/>
      <c r="D8" s="4"/>
      <c r="E8" s="4"/>
      <c r="F8" s="4"/>
      <c r="G8" s="4"/>
      <c r="H8" s="4"/>
      <c r="I8" s="2"/>
      <c r="J8" s="140"/>
      <c r="K8" s="2"/>
      <c r="L8" s="155"/>
      <c r="M8" s="2"/>
      <c r="N8" s="2"/>
      <c r="O8" s="2"/>
      <c r="P8" s="2"/>
      <c r="Q8" s="2"/>
      <c r="R8" s="2"/>
      <c r="T8" s="102"/>
      <c r="U8" s="102"/>
      <c r="V8" s="102"/>
      <c r="W8" s="102"/>
      <c r="Y8" s="102"/>
      <c r="Z8" s="102"/>
      <c r="AA8" s="102"/>
      <c r="AB8" s="102"/>
      <c r="AD8" s="2"/>
      <c r="AE8" s="2"/>
      <c r="AF8" s="102"/>
      <c r="AG8" s="102"/>
      <c r="AI8" s="109"/>
      <c r="AJ8" s="109"/>
      <c r="AK8" s="109"/>
      <c r="AL8" s="110"/>
      <c r="AM8" s="93"/>
    </row>
    <row r="9" spans="1:39" hidden="1" x14ac:dyDescent="0.25">
      <c r="A9" s="142">
        <v>1</v>
      </c>
      <c r="B9" s="122" t="s">
        <v>94</v>
      </c>
      <c r="C9" s="257" t="s">
        <v>97</v>
      </c>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row>
    <row r="10" spans="1:39" hidden="1" x14ac:dyDescent="0.25">
      <c r="A10" s="141">
        <v>8</v>
      </c>
      <c r="B10" s="6" t="s">
        <v>157</v>
      </c>
      <c r="C10" s="257" t="s">
        <v>158</v>
      </c>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row>
    <row r="11" spans="1:39" hidden="1" x14ac:dyDescent="0.25">
      <c r="A11" s="141">
        <v>19</v>
      </c>
      <c r="B11" s="6" t="s">
        <v>95</v>
      </c>
      <c r="C11" s="257" t="s">
        <v>156</v>
      </c>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row>
    <row r="12" spans="1:39" ht="30" hidden="1" x14ac:dyDescent="0.25">
      <c r="A12" s="141">
        <v>3</v>
      </c>
      <c r="B12" s="123" t="s">
        <v>98</v>
      </c>
      <c r="C12" s="257" t="s">
        <v>96</v>
      </c>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row>
    <row r="13" spans="1:39" ht="14.25" customHeight="1" x14ac:dyDescent="0.25">
      <c r="F13" s="7"/>
      <c r="G13" s="7"/>
      <c r="H13" s="7"/>
      <c r="I13" s="8"/>
      <c r="J13" s="164"/>
      <c r="K13" s="7"/>
      <c r="L13" s="156"/>
      <c r="M13" s="7"/>
      <c r="N13" s="8"/>
      <c r="O13" s="7"/>
      <c r="P13" s="7"/>
      <c r="Q13" s="7"/>
      <c r="R13" s="91">
        <v>1000000</v>
      </c>
      <c r="T13" s="91"/>
      <c r="U13" s="91"/>
      <c r="V13" s="91">
        <v>1000000</v>
      </c>
      <c r="W13" s="91">
        <v>1000000</v>
      </c>
      <c r="Y13" s="91"/>
      <c r="Z13" s="91"/>
      <c r="AA13" s="91"/>
      <c r="AB13" s="91">
        <v>1000000</v>
      </c>
      <c r="AD13" s="7"/>
      <c r="AE13" s="7"/>
      <c r="AF13" s="91"/>
      <c r="AG13" s="91">
        <v>1000000</v>
      </c>
      <c r="AI13" s="95"/>
      <c r="AJ13" s="95"/>
      <c r="AK13" s="95"/>
    </row>
    <row r="14" spans="1:39" s="11" customFormat="1" ht="27" customHeight="1" x14ac:dyDescent="0.25">
      <c r="A14" s="244" t="s">
        <v>2</v>
      </c>
      <c r="B14" s="219" t="s">
        <v>3</v>
      </c>
      <c r="C14" s="255" t="s">
        <v>87</v>
      </c>
      <c r="D14" s="219" t="s">
        <v>67</v>
      </c>
      <c r="E14" s="255" t="s">
        <v>170</v>
      </c>
      <c r="F14" s="241" t="s">
        <v>101</v>
      </c>
      <c r="G14" s="262" t="s">
        <v>90</v>
      </c>
      <c r="H14" s="214" t="s">
        <v>171</v>
      </c>
      <c r="I14" s="10"/>
      <c r="J14" s="214">
        <v>2020</v>
      </c>
      <c r="K14" s="214"/>
      <c r="L14" s="214"/>
      <c r="M14" s="214"/>
      <c r="N14" s="10"/>
      <c r="O14" s="214">
        <v>2021</v>
      </c>
      <c r="P14" s="214"/>
      <c r="Q14" s="214"/>
      <c r="R14" s="214"/>
      <c r="T14" s="214">
        <v>2022</v>
      </c>
      <c r="U14" s="214"/>
      <c r="V14" s="214"/>
      <c r="W14" s="214"/>
      <c r="Y14" s="214">
        <v>2023</v>
      </c>
      <c r="Z14" s="214"/>
      <c r="AA14" s="214"/>
      <c r="AB14" s="214"/>
      <c r="AD14" s="215">
        <v>2024</v>
      </c>
      <c r="AE14" s="216"/>
      <c r="AF14" s="216"/>
      <c r="AG14" s="216"/>
      <c r="AI14" s="258" t="s">
        <v>102</v>
      </c>
      <c r="AJ14" s="258"/>
      <c r="AK14" s="258"/>
      <c r="AL14" s="258"/>
      <c r="AM14" s="98"/>
    </row>
    <row r="15" spans="1:39" s="11" customFormat="1" ht="16.5" customHeight="1" x14ac:dyDescent="0.25">
      <c r="A15" s="245"/>
      <c r="B15" s="220"/>
      <c r="C15" s="242"/>
      <c r="D15" s="220"/>
      <c r="E15" s="242"/>
      <c r="F15" s="242"/>
      <c r="G15" s="262"/>
      <c r="H15" s="214"/>
      <c r="I15" s="10"/>
      <c r="J15" s="213" t="s">
        <v>4</v>
      </c>
      <c r="K15" s="213"/>
      <c r="L15" s="213" t="s">
        <v>61</v>
      </c>
      <c r="M15" s="213"/>
      <c r="N15" s="10"/>
      <c r="O15" s="213" t="s">
        <v>6</v>
      </c>
      <c r="P15" s="213"/>
      <c r="Q15" s="213" t="s">
        <v>8</v>
      </c>
      <c r="R15" s="213"/>
      <c r="S15" s="10"/>
      <c r="T15" s="213" t="s">
        <v>7</v>
      </c>
      <c r="U15" s="213"/>
      <c r="V15" s="213" t="s">
        <v>8</v>
      </c>
      <c r="W15" s="213"/>
      <c r="Y15" s="213" t="s">
        <v>7</v>
      </c>
      <c r="Z15" s="213"/>
      <c r="AA15" s="213" t="s">
        <v>8</v>
      </c>
      <c r="AB15" s="213"/>
      <c r="AD15" s="213" t="s">
        <v>7</v>
      </c>
      <c r="AE15" s="213"/>
      <c r="AF15" s="213" t="s">
        <v>8</v>
      </c>
      <c r="AG15" s="213"/>
      <c r="AI15" s="217" t="s">
        <v>4</v>
      </c>
      <c r="AJ15" s="217" t="s">
        <v>66</v>
      </c>
      <c r="AK15" s="217" t="s">
        <v>8</v>
      </c>
      <c r="AL15" s="217" t="s">
        <v>5</v>
      </c>
      <c r="AM15" s="98"/>
    </row>
    <row r="16" spans="1:39" s="11" customFormat="1" ht="33" x14ac:dyDescent="0.25">
      <c r="A16" s="246"/>
      <c r="B16" s="221"/>
      <c r="C16" s="256"/>
      <c r="D16" s="221"/>
      <c r="E16" s="256"/>
      <c r="F16" s="243"/>
      <c r="G16" s="262"/>
      <c r="H16" s="214"/>
      <c r="I16" s="12"/>
      <c r="J16" s="153" t="s">
        <v>59</v>
      </c>
      <c r="K16" s="114" t="s">
        <v>60</v>
      </c>
      <c r="L16" s="157" t="s">
        <v>64</v>
      </c>
      <c r="M16" s="114" t="s">
        <v>63</v>
      </c>
      <c r="N16" s="12"/>
      <c r="O16" s="61" t="s">
        <v>59</v>
      </c>
      <c r="P16" s="114" t="s">
        <v>60</v>
      </c>
      <c r="Q16" s="157" t="s">
        <v>64</v>
      </c>
      <c r="R16" s="114" t="s">
        <v>63</v>
      </c>
      <c r="S16" s="10"/>
      <c r="T16" s="61" t="s">
        <v>59</v>
      </c>
      <c r="U16" s="114" t="s">
        <v>60</v>
      </c>
      <c r="V16" s="157" t="s">
        <v>64</v>
      </c>
      <c r="W16" s="114" t="s">
        <v>63</v>
      </c>
      <c r="Y16" s="114" t="s">
        <v>59</v>
      </c>
      <c r="Z16" s="114" t="s">
        <v>60</v>
      </c>
      <c r="AA16" s="114" t="s">
        <v>64</v>
      </c>
      <c r="AB16" s="114" t="s">
        <v>63</v>
      </c>
      <c r="AD16" s="114" t="s">
        <v>59</v>
      </c>
      <c r="AE16" s="114" t="s">
        <v>60</v>
      </c>
      <c r="AF16" s="114" t="s">
        <v>64</v>
      </c>
      <c r="AG16" s="114" t="s">
        <v>63</v>
      </c>
      <c r="AI16" s="218"/>
      <c r="AJ16" s="218"/>
      <c r="AK16" s="218"/>
      <c r="AL16" s="218"/>
      <c r="AM16" s="98"/>
    </row>
    <row r="17" spans="1:40" s="100" customFormat="1" ht="75.75" customHeight="1" x14ac:dyDescent="0.25">
      <c r="A17" s="250" t="s">
        <v>99</v>
      </c>
      <c r="B17" s="222" t="s">
        <v>100</v>
      </c>
      <c r="C17" s="222" t="s">
        <v>89</v>
      </c>
      <c r="D17" s="222" t="s">
        <v>151</v>
      </c>
      <c r="E17" s="253" t="str">
        <f>C10</f>
        <v xml:space="preserve">Aumentar el acceso a vivienda digna, espacio público y equipamientos de la población vulnerable en suelo urbano y rural </v>
      </c>
      <c r="F17" s="138" t="s">
        <v>160</v>
      </c>
      <c r="G17" s="138" t="s">
        <v>104</v>
      </c>
      <c r="H17" s="259" t="str">
        <f>C12</f>
        <v>Sistema Distrital de Cuidado</v>
      </c>
      <c r="I17" s="14"/>
      <c r="J17" s="126">
        <v>0.05</v>
      </c>
      <c r="K17" s="126">
        <v>0.05</v>
      </c>
      <c r="L17" s="158"/>
      <c r="M17" s="128"/>
      <c r="N17" s="23"/>
      <c r="O17" s="130">
        <v>0.3</v>
      </c>
      <c r="P17" s="211" t="s">
        <v>179</v>
      </c>
      <c r="Q17" s="128"/>
      <c r="R17" s="128"/>
      <c r="T17" s="132">
        <v>0.65</v>
      </c>
      <c r="U17" s="132">
        <v>0.3</v>
      </c>
      <c r="V17" s="133"/>
      <c r="W17" s="134"/>
      <c r="X17" s="101"/>
      <c r="Y17" s="132">
        <v>0.95</v>
      </c>
      <c r="Z17" s="132">
        <v>0</v>
      </c>
      <c r="AA17" s="133"/>
      <c r="AB17" s="134"/>
      <c r="AC17" s="101"/>
      <c r="AD17" s="136">
        <v>1</v>
      </c>
      <c r="AE17" s="136">
        <v>0</v>
      </c>
      <c r="AF17" s="133"/>
      <c r="AG17" s="134"/>
      <c r="AI17" s="136">
        <f>AD17</f>
        <v>1</v>
      </c>
      <c r="AJ17" s="187">
        <f>+U17</f>
        <v>0.3</v>
      </c>
      <c r="AK17" s="137">
        <f>L17+Q17+V17+AA17+AF17</f>
        <v>0</v>
      </c>
      <c r="AL17" s="137">
        <f>M17+R17+W17+AB17+AG17</f>
        <v>0</v>
      </c>
      <c r="AM17" s="125"/>
    </row>
    <row r="18" spans="1:40" ht="90" x14ac:dyDescent="0.25">
      <c r="A18" s="251"/>
      <c r="B18" s="229"/>
      <c r="C18" s="229"/>
      <c r="D18" s="229"/>
      <c r="E18" s="254"/>
      <c r="F18" s="13" t="s">
        <v>105</v>
      </c>
      <c r="G18" s="13" t="s">
        <v>172</v>
      </c>
      <c r="H18" s="260"/>
      <c r="I18" s="14"/>
      <c r="J18" s="15">
        <v>20</v>
      </c>
      <c r="K18" s="15">
        <v>20</v>
      </c>
      <c r="L18" s="159">
        <v>1562.1521029999999</v>
      </c>
      <c r="M18" s="29">
        <v>1072.7394810000001</v>
      </c>
      <c r="N18" s="23"/>
      <c r="O18" s="90">
        <v>280</v>
      </c>
      <c r="P18" s="15">
        <v>280</v>
      </c>
      <c r="Q18" s="29">
        <f>4680171442/L1</f>
        <v>4680.1714419999998</v>
      </c>
      <c r="R18" s="63">
        <f>4544842307/L1</f>
        <v>4544.8423069999999</v>
      </c>
      <c r="S18" s="100"/>
      <c r="T18" s="90">
        <v>480</v>
      </c>
      <c r="U18" s="103">
        <v>30</v>
      </c>
      <c r="V18" s="104">
        <f>3181518618/L1</f>
        <v>3181.5186180000001</v>
      </c>
      <c r="W18" s="105">
        <f>1317565086/L1</f>
        <v>1317.5650860000001</v>
      </c>
      <c r="X18" s="101"/>
      <c r="Y18" s="90">
        <v>420</v>
      </c>
      <c r="Z18" s="103">
        <v>0</v>
      </c>
      <c r="AA18" s="104">
        <f>4117000000/L1</f>
        <v>4117</v>
      </c>
      <c r="AB18" s="105"/>
      <c r="AC18" s="101"/>
      <c r="AD18" s="90">
        <v>50</v>
      </c>
      <c r="AE18" s="90">
        <v>0</v>
      </c>
      <c r="AF18" s="104">
        <f>269733265/L1</f>
        <v>269.73326500000002</v>
      </c>
      <c r="AG18" s="105"/>
      <c r="AH18" s="100"/>
      <c r="AI18" s="90">
        <f>J18+O18+T18+Y18+AD18</f>
        <v>1250</v>
      </c>
      <c r="AJ18" s="90">
        <f t="shared" ref="AJ18:AJ19" si="0">K18+P18+U18+Z18+AE18</f>
        <v>330</v>
      </c>
      <c r="AK18" s="62">
        <f t="shared" ref="AK18" si="1">L18+Q18+V18+AA18+AF18</f>
        <v>13810.575428</v>
      </c>
      <c r="AL18" s="62">
        <f t="shared" ref="AL18" si="2">M18+R18+W18+AB18+AG18</f>
        <v>6935.146874</v>
      </c>
      <c r="AM18" s="99" t="s">
        <v>182</v>
      </c>
    </row>
    <row r="19" spans="1:40" ht="75" x14ac:dyDescent="0.25">
      <c r="A19" s="251"/>
      <c r="B19" s="229"/>
      <c r="C19" s="229"/>
      <c r="D19" s="229"/>
      <c r="E19" s="254"/>
      <c r="F19" s="13" t="s">
        <v>106</v>
      </c>
      <c r="G19" s="13" t="s">
        <v>107</v>
      </c>
      <c r="H19" s="260"/>
      <c r="I19" s="14"/>
      <c r="J19" s="15">
        <v>0</v>
      </c>
      <c r="K19" s="15">
        <v>0</v>
      </c>
      <c r="L19" s="159">
        <v>0</v>
      </c>
      <c r="M19" s="29"/>
      <c r="N19" s="23"/>
      <c r="O19" s="90">
        <v>0</v>
      </c>
      <c r="P19" s="15">
        <v>0</v>
      </c>
      <c r="Q19" s="29">
        <f>1456900000/L1</f>
        <v>1456.9</v>
      </c>
      <c r="R19" s="29">
        <f>1454454730/L1</f>
        <v>1454.4547299999999</v>
      </c>
      <c r="S19" s="100"/>
      <c r="T19" s="90">
        <v>497</v>
      </c>
      <c r="U19" s="103">
        <v>0</v>
      </c>
      <c r="V19" s="104">
        <f>4130638432/1000000</f>
        <v>4130.6384319999997</v>
      </c>
      <c r="W19" s="106">
        <f>736681458/L1</f>
        <v>736.68145800000002</v>
      </c>
      <c r="X19" s="101"/>
      <c r="Y19" s="90">
        <v>603</v>
      </c>
      <c r="Z19" s="103">
        <v>0</v>
      </c>
      <c r="AA19" s="104">
        <v>1082</v>
      </c>
      <c r="AB19" s="105"/>
      <c r="AC19" s="101"/>
      <c r="AD19" s="90">
        <v>150</v>
      </c>
      <c r="AE19" s="90">
        <v>0</v>
      </c>
      <c r="AF19" s="104">
        <v>1235</v>
      </c>
      <c r="AG19" s="106"/>
      <c r="AH19" s="100"/>
      <c r="AI19" s="90">
        <f>J19+O19+T19+Y19+AD19</f>
        <v>1250</v>
      </c>
      <c r="AJ19" s="90">
        <f t="shared" si="0"/>
        <v>0</v>
      </c>
      <c r="AK19" s="62">
        <f t="shared" ref="AK19" si="3">L19+Q19+V19+AA19+AF19</f>
        <v>7904.5384319999994</v>
      </c>
      <c r="AL19" s="62">
        <f t="shared" ref="AL19" si="4">M19+R19+W19+AB19+AG19</f>
        <v>2191.1361879999999</v>
      </c>
      <c r="AM19" s="203" t="s">
        <v>182</v>
      </c>
    </row>
    <row r="20" spans="1:40" ht="49.5" customHeight="1" x14ac:dyDescent="0.25">
      <c r="A20" s="251"/>
      <c r="B20" s="229"/>
      <c r="C20" s="229"/>
      <c r="D20" s="229"/>
      <c r="E20" s="254"/>
      <c r="F20" s="13" t="s">
        <v>178</v>
      </c>
      <c r="G20" s="13" t="s">
        <v>107</v>
      </c>
      <c r="H20" s="260"/>
      <c r="I20" s="14"/>
      <c r="J20" s="15">
        <v>0</v>
      </c>
      <c r="K20" s="15">
        <v>0</v>
      </c>
      <c r="L20" s="159">
        <v>0</v>
      </c>
      <c r="M20" s="29"/>
      <c r="N20" s="23"/>
      <c r="O20" s="90">
        <v>406</v>
      </c>
      <c r="P20" s="90">
        <v>406</v>
      </c>
      <c r="Q20" s="29">
        <f>165096800/L1</f>
        <v>165.0968</v>
      </c>
      <c r="R20" s="29">
        <f>123822600/L1</f>
        <v>123.82259999999999</v>
      </c>
      <c r="S20" s="100"/>
      <c r="T20" s="90">
        <v>2154</v>
      </c>
      <c r="U20" s="103">
        <v>143</v>
      </c>
      <c r="V20" s="104">
        <f>1046954652/1000000</f>
        <v>1046.9546519999999</v>
      </c>
      <c r="W20" s="106">
        <f>46379292/L1</f>
        <v>46.379292</v>
      </c>
      <c r="X20" s="101"/>
      <c r="Y20" s="90">
        <v>1840</v>
      </c>
      <c r="Z20" s="103">
        <v>0</v>
      </c>
      <c r="AA20" s="104">
        <v>870</v>
      </c>
      <c r="AB20" s="105"/>
      <c r="AC20" s="101"/>
      <c r="AD20" s="90">
        <v>600</v>
      </c>
      <c r="AE20" s="90">
        <v>0</v>
      </c>
      <c r="AF20" s="104">
        <v>266</v>
      </c>
      <c r="AG20" s="106"/>
      <c r="AH20" s="100"/>
      <c r="AI20" s="90">
        <f>J20+O20+T20+Y20+AD20</f>
        <v>5000</v>
      </c>
      <c r="AJ20" s="90">
        <f t="shared" ref="AJ20" si="5">K20+P20+U20+Z20+AE20</f>
        <v>549</v>
      </c>
      <c r="AK20" s="62">
        <f t="shared" ref="AK20" si="6">L20+Q20+V20+AA20+AF20</f>
        <v>2348.0514519999997</v>
      </c>
      <c r="AL20" s="62">
        <f t="shared" ref="AL20" si="7">M20+R20+W20+AB20+AG20</f>
        <v>170.20189199999999</v>
      </c>
      <c r="AM20" s="204" t="s">
        <v>182</v>
      </c>
    </row>
    <row r="21" spans="1:40" s="100" customFormat="1" ht="75.75" customHeight="1" x14ac:dyDescent="0.25">
      <c r="A21" s="251"/>
      <c r="B21" s="229"/>
      <c r="C21" s="229"/>
      <c r="D21" s="229"/>
      <c r="E21" s="254"/>
      <c r="F21" s="138" t="s">
        <v>159</v>
      </c>
      <c r="G21" s="138" t="s">
        <v>108</v>
      </c>
      <c r="H21" s="260"/>
      <c r="I21" s="14"/>
      <c r="J21" s="126">
        <v>0.3</v>
      </c>
      <c r="K21" s="126">
        <v>0.3</v>
      </c>
      <c r="L21" s="158"/>
      <c r="M21" s="128"/>
      <c r="N21" s="129"/>
      <c r="O21" s="130">
        <v>0.7</v>
      </c>
      <c r="P21" s="172">
        <v>0.67200000000000004</v>
      </c>
      <c r="Q21" s="128"/>
      <c r="R21" s="128"/>
      <c r="S21" s="131"/>
      <c r="T21" s="132">
        <v>0.9</v>
      </c>
      <c r="U21" s="132">
        <v>0.69</v>
      </c>
      <c r="V21" s="133"/>
      <c r="W21" s="134"/>
      <c r="X21" s="135"/>
      <c r="Y21" s="132">
        <v>1</v>
      </c>
      <c r="Z21" s="132">
        <v>0</v>
      </c>
      <c r="AA21" s="133"/>
      <c r="AB21" s="134"/>
      <c r="AC21" s="135"/>
      <c r="AD21" s="136">
        <v>1</v>
      </c>
      <c r="AE21" s="136">
        <v>0</v>
      </c>
      <c r="AF21" s="133"/>
      <c r="AG21" s="134"/>
      <c r="AH21" s="131"/>
      <c r="AI21" s="136">
        <f>AD21</f>
        <v>1</v>
      </c>
      <c r="AJ21" s="187">
        <f>U21</f>
        <v>0.69</v>
      </c>
      <c r="AK21" s="137">
        <f t="shared" ref="AJ21:AL22" si="8">L21+Q21+V21+AA21+AF21</f>
        <v>0</v>
      </c>
      <c r="AL21" s="137">
        <f t="shared" si="8"/>
        <v>0</v>
      </c>
      <c r="AM21" s="125"/>
    </row>
    <row r="22" spans="1:40" s="100" customFormat="1" ht="75.75" customHeight="1" x14ac:dyDescent="0.25">
      <c r="A22" s="251"/>
      <c r="B22" s="229"/>
      <c r="C22" s="229"/>
      <c r="D22" s="229"/>
      <c r="E22" s="254"/>
      <c r="F22" s="138" t="s">
        <v>159</v>
      </c>
      <c r="G22" s="138" t="s">
        <v>173</v>
      </c>
      <c r="H22" s="260"/>
      <c r="I22" s="14"/>
      <c r="J22" s="126">
        <v>1</v>
      </c>
      <c r="K22" s="126">
        <v>1</v>
      </c>
      <c r="L22" s="158"/>
      <c r="M22" s="128"/>
      <c r="N22" s="129"/>
      <c r="O22" s="136">
        <v>0</v>
      </c>
      <c r="P22" s="187">
        <v>0</v>
      </c>
      <c r="Q22" s="128"/>
      <c r="R22" s="128"/>
      <c r="S22" s="131"/>
      <c r="T22" s="132">
        <v>0</v>
      </c>
      <c r="U22" s="132">
        <v>0</v>
      </c>
      <c r="V22" s="133"/>
      <c r="W22" s="134"/>
      <c r="X22" s="135"/>
      <c r="Y22" s="132">
        <v>0</v>
      </c>
      <c r="Z22" s="132">
        <v>0</v>
      </c>
      <c r="AA22" s="133"/>
      <c r="AB22" s="134"/>
      <c r="AC22" s="135"/>
      <c r="AD22" s="136">
        <v>0</v>
      </c>
      <c r="AE22" s="136">
        <v>0</v>
      </c>
      <c r="AF22" s="133"/>
      <c r="AG22" s="134"/>
      <c r="AH22" s="131"/>
      <c r="AI22" s="136">
        <f>J22+O22+T22+Y22+AD22</f>
        <v>1</v>
      </c>
      <c r="AJ22" s="136">
        <f t="shared" si="8"/>
        <v>1</v>
      </c>
      <c r="AK22" s="137">
        <f t="shared" si="8"/>
        <v>0</v>
      </c>
      <c r="AL22" s="137">
        <f t="shared" si="8"/>
        <v>0</v>
      </c>
      <c r="AM22" s="125"/>
    </row>
    <row r="23" spans="1:40" ht="60" x14ac:dyDescent="0.25">
      <c r="A23" s="251"/>
      <c r="B23" s="229"/>
      <c r="C23" s="229"/>
      <c r="D23" s="229"/>
      <c r="E23" s="254"/>
      <c r="F23" s="13" t="s">
        <v>109</v>
      </c>
      <c r="G23" s="13" t="s">
        <v>110</v>
      </c>
      <c r="H23" s="260"/>
      <c r="I23" s="14"/>
      <c r="J23" s="15">
        <v>50</v>
      </c>
      <c r="K23" s="15">
        <v>50</v>
      </c>
      <c r="L23" s="159">
        <v>3103.2696059999998</v>
      </c>
      <c r="M23" s="29">
        <v>2913.9473720000001</v>
      </c>
      <c r="N23" s="23"/>
      <c r="O23" s="15">
        <v>250</v>
      </c>
      <c r="P23" s="15">
        <v>250</v>
      </c>
      <c r="Q23" s="63">
        <f>3932276784/L1</f>
        <v>3932.2767840000001</v>
      </c>
      <c r="R23" s="63">
        <f>3805545713/L1</f>
        <v>3805.545713</v>
      </c>
      <c r="S23" s="100"/>
      <c r="T23" s="90">
        <v>600</v>
      </c>
      <c r="U23" s="103">
        <v>11</v>
      </c>
      <c r="V23" s="104">
        <f>2788638298/L1</f>
        <v>2788.6382979999998</v>
      </c>
      <c r="W23" s="106">
        <f>978493292/L1</f>
        <v>978.493292</v>
      </c>
      <c r="X23" s="101"/>
      <c r="Y23" s="90">
        <v>550</v>
      </c>
      <c r="Z23" s="103">
        <v>0</v>
      </c>
      <c r="AA23" s="104">
        <v>5050</v>
      </c>
      <c r="AB23" s="106"/>
      <c r="AC23" s="101"/>
      <c r="AD23" s="90">
        <v>50</v>
      </c>
      <c r="AE23" s="90">
        <v>0</v>
      </c>
      <c r="AF23" s="104">
        <v>1000</v>
      </c>
      <c r="AG23" s="106"/>
      <c r="AH23" s="100"/>
      <c r="AI23" s="90">
        <f>J23+O23+T23+Y23+AD23</f>
        <v>1500</v>
      </c>
      <c r="AJ23" s="90">
        <f t="shared" ref="AJ23" si="9">K23+P23+U23+Z23+AE23</f>
        <v>311</v>
      </c>
      <c r="AK23" s="62">
        <f t="shared" ref="AK23" si="10">L23+Q23+V23+AA23+AF23</f>
        <v>15874.184687999999</v>
      </c>
      <c r="AL23" s="62">
        <f t="shared" ref="AL23" si="11">M23+R23+W23+AB23+AG23</f>
        <v>7697.9863770000002</v>
      </c>
      <c r="AM23" s="92" t="s">
        <v>182</v>
      </c>
    </row>
    <row r="24" spans="1:40" s="100" customFormat="1" ht="75.75" customHeight="1" x14ac:dyDescent="0.25">
      <c r="A24" s="251"/>
      <c r="B24" s="229"/>
      <c r="C24" s="229"/>
      <c r="D24" s="229"/>
      <c r="E24" s="254"/>
      <c r="F24" s="138" t="s">
        <v>161</v>
      </c>
      <c r="G24" s="138" t="s">
        <v>111</v>
      </c>
      <c r="H24" s="260"/>
      <c r="I24" s="14"/>
      <c r="J24" s="126">
        <v>0.2</v>
      </c>
      <c r="K24" s="126">
        <v>0.2</v>
      </c>
      <c r="L24" s="158"/>
      <c r="M24" s="128"/>
      <c r="N24" s="129"/>
      <c r="O24" s="130">
        <v>0.45</v>
      </c>
      <c r="P24" s="212">
        <v>0.40749999999999997</v>
      </c>
      <c r="Q24" s="128"/>
      <c r="R24" s="128"/>
      <c r="S24" s="131"/>
      <c r="T24" s="132">
        <v>0.8</v>
      </c>
      <c r="U24" s="132">
        <v>0</v>
      </c>
      <c r="V24" s="133"/>
      <c r="W24" s="134"/>
      <c r="X24" s="135"/>
      <c r="Y24" s="132">
        <v>1</v>
      </c>
      <c r="Z24" s="132">
        <v>0</v>
      </c>
      <c r="AA24" s="133"/>
      <c r="AB24" s="134"/>
      <c r="AC24" s="135"/>
      <c r="AD24" s="136">
        <v>1</v>
      </c>
      <c r="AE24" s="136">
        <v>0</v>
      </c>
      <c r="AF24" s="133"/>
      <c r="AG24" s="134"/>
      <c r="AH24" s="131"/>
      <c r="AI24" s="136">
        <f>+AD24</f>
        <v>1</v>
      </c>
      <c r="AJ24" s="187">
        <f>+U24</f>
        <v>0</v>
      </c>
      <c r="AK24" s="137">
        <f>L24+Q24+V24+AA24+AF24</f>
        <v>0</v>
      </c>
      <c r="AL24" s="137">
        <f>M24+R24+W24+AB24+AG24</f>
        <v>0</v>
      </c>
      <c r="AM24" s="125" t="s">
        <v>182</v>
      </c>
    </row>
    <row r="25" spans="1:40" s="100" customFormat="1" ht="75" x14ac:dyDescent="0.25">
      <c r="A25" s="251"/>
      <c r="B25" s="223"/>
      <c r="C25" s="223"/>
      <c r="D25" s="223"/>
      <c r="E25" s="264"/>
      <c r="F25" s="13" t="s">
        <v>112</v>
      </c>
      <c r="G25" s="13" t="s">
        <v>111</v>
      </c>
      <c r="H25" s="260"/>
      <c r="I25" s="14"/>
      <c r="J25" s="26">
        <v>0.2</v>
      </c>
      <c r="K25" s="111">
        <v>0.2</v>
      </c>
      <c r="L25" s="159">
        <f>80000000/L1</f>
        <v>80</v>
      </c>
      <c r="M25" s="29">
        <v>37.799999999999997</v>
      </c>
      <c r="N25" s="23"/>
      <c r="O25" s="26">
        <v>0.45</v>
      </c>
      <c r="P25" s="191">
        <v>0.40749999999999997</v>
      </c>
      <c r="Q25" s="29">
        <f>2986400000/L1</f>
        <v>2986.4</v>
      </c>
      <c r="R25" s="29">
        <f>2978800000/L1</f>
        <v>2978.8</v>
      </c>
      <c r="T25" s="124">
        <v>0.8</v>
      </c>
      <c r="U25" s="124">
        <v>0</v>
      </c>
      <c r="V25" s="104">
        <f>3852250000/L1</f>
        <v>3852.25</v>
      </c>
      <c r="W25" s="199">
        <v>0</v>
      </c>
      <c r="X25" s="101"/>
      <c r="Y25" s="124">
        <v>1</v>
      </c>
      <c r="Z25" s="124">
        <v>0</v>
      </c>
      <c r="AA25" s="104">
        <f>6188000000/L1</f>
        <v>6188</v>
      </c>
      <c r="AB25" s="105"/>
      <c r="AC25" s="101"/>
      <c r="AD25" s="111">
        <v>1</v>
      </c>
      <c r="AE25" s="111">
        <v>0</v>
      </c>
      <c r="AF25" s="104">
        <f>70000000/L1</f>
        <v>70</v>
      </c>
      <c r="AG25" s="105"/>
      <c r="AI25" s="111">
        <f>AD25</f>
        <v>1</v>
      </c>
      <c r="AJ25" s="205">
        <f>+U25</f>
        <v>0</v>
      </c>
      <c r="AK25" s="62">
        <f t="shared" ref="AK25" si="12">L25+Q25+V25+AA25+AF25</f>
        <v>13176.65</v>
      </c>
      <c r="AL25" s="62">
        <f t="shared" ref="AL25" si="13">M25+R25+W25+AB25+AG25</f>
        <v>3016.6000000000004</v>
      </c>
      <c r="AM25" s="125" t="s">
        <v>182</v>
      </c>
    </row>
    <row r="26" spans="1:40" s="6" customFormat="1" ht="15.75" x14ac:dyDescent="0.25">
      <c r="A26" s="17"/>
      <c r="B26" s="115" t="s">
        <v>103</v>
      </c>
      <c r="C26" s="115"/>
      <c r="D26" s="115"/>
      <c r="E26" s="115"/>
      <c r="F26" s="39"/>
      <c r="G26" s="39"/>
      <c r="H26" s="39"/>
      <c r="I26" s="40"/>
      <c r="J26" s="41"/>
      <c r="K26" s="41"/>
      <c r="L26" s="160">
        <f>SUM(L17:L25)</f>
        <v>4745.4217090000002</v>
      </c>
      <c r="M26" s="42">
        <f>SUM(M17:M25)</f>
        <v>4024.4868530000003</v>
      </c>
      <c r="N26" s="51"/>
      <c r="O26" s="41"/>
      <c r="P26" s="41"/>
      <c r="Q26" s="42">
        <f>SUM(Q17:Q25)</f>
        <v>13220.845026000001</v>
      </c>
      <c r="R26" s="42">
        <f>SUM(R17:R25)</f>
        <v>12907.465350000002</v>
      </c>
      <c r="T26" s="41"/>
      <c r="U26" s="41"/>
      <c r="V26" s="42">
        <f>SUM(V17:V25)</f>
        <v>15000</v>
      </c>
      <c r="W26" s="42">
        <f>SUM(W17:W25)</f>
        <v>3079.1191280000003</v>
      </c>
      <c r="Y26" s="41"/>
      <c r="Z26" s="41"/>
      <c r="AA26" s="42">
        <f>SUM(AA17:AA25)</f>
        <v>17307</v>
      </c>
      <c r="AB26" s="42">
        <f>SUM(AB17:AB25)</f>
        <v>0</v>
      </c>
      <c r="AC26" s="112"/>
      <c r="AD26" s="41"/>
      <c r="AE26" s="42"/>
      <c r="AF26" s="42">
        <f>SUM(AF17:AF25)</f>
        <v>2840.7332649999998</v>
      </c>
      <c r="AG26" s="42">
        <f>SUM(AG17:AG25)</f>
        <v>0</v>
      </c>
      <c r="AI26" s="96"/>
      <c r="AJ26" s="96"/>
      <c r="AK26" s="64">
        <f>SUM(AK17:AK25)</f>
        <v>53114</v>
      </c>
      <c r="AL26" s="64">
        <f>SUM(AL17:AL25)</f>
        <v>20011.071330999999</v>
      </c>
      <c r="AM26" s="98"/>
      <c r="AN26" s="25"/>
    </row>
    <row r="27" spans="1:40" s="3" customFormat="1" ht="12.75" x14ac:dyDescent="0.2">
      <c r="A27" s="140"/>
      <c r="B27" s="4"/>
      <c r="C27" s="4"/>
      <c r="D27" s="4"/>
      <c r="E27" s="4"/>
      <c r="F27" s="4"/>
      <c r="G27" s="4"/>
      <c r="H27" s="4"/>
      <c r="I27" s="2"/>
      <c r="J27" s="140"/>
      <c r="K27" s="2"/>
      <c r="L27" s="155"/>
      <c r="M27" s="2"/>
      <c r="N27" s="2"/>
      <c r="O27" s="2"/>
      <c r="P27" s="2"/>
      <c r="Q27" s="2"/>
      <c r="R27" s="2"/>
      <c r="T27" s="102"/>
      <c r="U27" s="102"/>
      <c r="V27" s="102"/>
      <c r="W27" s="102"/>
      <c r="Y27" s="102"/>
      <c r="Z27" s="102"/>
      <c r="AA27" s="102"/>
      <c r="AB27" s="102"/>
      <c r="AD27" s="2"/>
      <c r="AE27" s="2"/>
      <c r="AF27" s="102"/>
      <c r="AG27" s="102"/>
      <c r="AI27" s="109"/>
      <c r="AJ27" s="109"/>
      <c r="AK27" s="109"/>
      <c r="AL27" s="110"/>
      <c r="AM27" s="93"/>
    </row>
    <row r="28" spans="1:40" s="5" customFormat="1" ht="15.75" customHeight="1" x14ac:dyDescent="0.2">
      <c r="A28" s="261"/>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94"/>
    </row>
    <row r="29" spans="1:40" s="3" customFormat="1" ht="12.75" x14ac:dyDescent="0.2">
      <c r="A29" s="140"/>
      <c r="B29" s="4"/>
      <c r="C29" s="4"/>
      <c r="D29" s="4"/>
      <c r="E29" s="4"/>
      <c r="F29" s="4"/>
      <c r="G29" s="4"/>
      <c r="H29" s="4"/>
      <c r="I29" s="2"/>
      <c r="J29" s="140"/>
      <c r="K29" s="2"/>
      <c r="L29" s="155"/>
      <c r="M29" s="2"/>
      <c r="N29" s="2"/>
      <c r="O29" s="2"/>
      <c r="P29" s="2"/>
      <c r="Q29" s="2"/>
      <c r="R29" s="2"/>
      <c r="T29" s="102"/>
      <c r="U29" s="102"/>
      <c r="V29" s="102"/>
      <c r="W29" s="102"/>
      <c r="Y29" s="102"/>
      <c r="Z29" s="102"/>
      <c r="AA29" s="102"/>
      <c r="AB29" s="102"/>
      <c r="AD29" s="2"/>
      <c r="AE29" s="2"/>
      <c r="AF29" s="102"/>
      <c r="AG29" s="102"/>
      <c r="AI29" s="109"/>
      <c r="AJ29" s="109"/>
      <c r="AK29" s="109"/>
      <c r="AL29" s="110"/>
      <c r="AM29" s="93"/>
    </row>
    <row r="30" spans="1:40" x14ac:dyDescent="0.25">
      <c r="A30" s="142">
        <v>1</v>
      </c>
      <c r="B30" s="122" t="s">
        <v>94</v>
      </c>
      <c r="C30" s="257" t="s">
        <v>113</v>
      </c>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row>
    <row r="31" spans="1:40" x14ac:dyDescent="0.25">
      <c r="A31" s="141">
        <v>8</v>
      </c>
      <c r="B31" s="6" t="s">
        <v>157</v>
      </c>
      <c r="C31" s="257" t="s">
        <v>158</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row>
    <row r="32" spans="1:40" x14ac:dyDescent="0.25">
      <c r="A32" s="141">
        <v>19</v>
      </c>
      <c r="B32" s="6" t="s">
        <v>95</v>
      </c>
      <c r="C32" s="257" t="s">
        <v>156</v>
      </c>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row>
    <row r="33" spans="1:40" ht="30" x14ac:dyDescent="0.25">
      <c r="A33" s="141">
        <v>3</v>
      </c>
      <c r="B33" s="123" t="s">
        <v>98</v>
      </c>
      <c r="C33" s="257" t="s">
        <v>114</v>
      </c>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row>
    <row r="34" spans="1:40" x14ac:dyDescent="0.25">
      <c r="A34" s="143"/>
      <c r="F34" s="7"/>
      <c r="G34" s="7"/>
      <c r="H34" s="7"/>
      <c r="I34" s="8"/>
      <c r="J34" s="164"/>
      <c r="K34" s="7"/>
      <c r="L34" s="156"/>
      <c r="M34" s="7"/>
      <c r="N34" s="8"/>
      <c r="O34" s="7"/>
      <c r="P34" s="7"/>
      <c r="Q34" s="7"/>
      <c r="R34" s="7"/>
      <c r="T34" s="7"/>
      <c r="U34" s="7"/>
      <c r="V34" s="72"/>
      <c r="W34" s="72"/>
      <c r="Y34" s="7"/>
      <c r="Z34" s="7"/>
      <c r="AA34" s="72"/>
      <c r="AB34" s="72"/>
      <c r="AC34" s="100"/>
      <c r="AD34" s="108"/>
      <c r="AE34" s="108"/>
      <c r="AF34" s="72"/>
      <c r="AG34" s="72"/>
      <c r="AI34" s="95"/>
      <c r="AJ34" s="95"/>
      <c r="AK34" s="97"/>
    </row>
    <row r="35" spans="1:40" s="11" customFormat="1" ht="27" customHeight="1" x14ac:dyDescent="0.25">
      <c r="A35" s="244" t="s">
        <v>2</v>
      </c>
      <c r="B35" s="219" t="s">
        <v>3</v>
      </c>
      <c r="C35" s="255" t="s">
        <v>87</v>
      </c>
      <c r="D35" s="219" t="s">
        <v>67</v>
      </c>
      <c r="E35" s="255" t="s">
        <v>170</v>
      </c>
      <c r="F35" s="241" t="s">
        <v>101</v>
      </c>
      <c r="G35" s="262" t="s">
        <v>90</v>
      </c>
      <c r="H35" s="214" t="s">
        <v>171</v>
      </c>
      <c r="I35" s="10"/>
      <c r="J35" s="214">
        <v>2020</v>
      </c>
      <c r="K35" s="214"/>
      <c r="L35" s="214"/>
      <c r="M35" s="214"/>
      <c r="N35" s="10"/>
      <c r="O35" s="214">
        <v>2021</v>
      </c>
      <c r="P35" s="214"/>
      <c r="Q35" s="214"/>
      <c r="R35" s="214"/>
      <c r="T35" s="214">
        <v>2022</v>
      </c>
      <c r="U35" s="214"/>
      <c r="V35" s="214"/>
      <c r="W35" s="214"/>
      <c r="Y35" s="214">
        <v>2023</v>
      </c>
      <c r="Z35" s="214"/>
      <c r="AA35" s="214"/>
      <c r="AB35" s="214"/>
      <c r="AD35" s="215">
        <v>2024</v>
      </c>
      <c r="AE35" s="216"/>
      <c r="AF35" s="216"/>
      <c r="AG35" s="216"/>
      <c r="AI35" s="258" t="s">
        <v>102</v>
      </c>
      <c r="AJ35" s="258"/>
      <c r="AK35" s="258"/>
      <c r="AL35" s="258"/>
      <c r="AM35" s="98"/>
    </row>
    <row r="36" spans="1:40" s="11" customFormat="1" ht="16.5" customHeight="1" x14ac:dyDescent="0.25">
      <c r="A36" s="245"/>
      <c r="B36" s="220"/>
      <c r="C36" s="242"/>
      <c r="D36" s="220"/>
      <c r="E36" s="242"/>
      <c r="F36" s="242"/>
      <c r="G36" s="262"/>
      <c r="H36" s="214"/>
      <c r="I36" s="10"/>
      <c r="J36" s="213" t="s">
        <v>4</v>
      </c>
      <c r="K36" s="213"/>
      <c r="L36" s="213" t="s">
        <v>61</v>
      </c>
      <c r="M36" s="213"/>
      <c r="N36" s="10"/>
      <c r="O36" s="213" t="s">
        <v>6</v>
      </c>
      <c r="P36" s="213"/>
      <c r="Q36" s="213" t="s">
        <v>8</v>
      </c>
      <c r="R36" s="213"/>
      <c r="S36" s="10"/>
      <c r="T36" s="213" t="s">
        <v>7</v>
      </c>
      <c r="U36" s="213"/>
      <c r="V36" s="213" t="s">
        <v>8</v>
      </c>
      <c r="W36" s="213"/>
      <c r="Y36" s="213" t="s">
        <v>7</v>
      </c>
      <c r="Z36" s="213"/>
      <c r="AA36" s="213" t="s">
        <v>8</v>
      </c>
      <c r="AB36" s="213"/>
      <c r="AD36" s="213" t="s">
        <v>7</v>
      </c>
      <c r="AE36" s="213"/>
      <c r="AF36" s="213" t="s">
        <v>8</v>
      </c>
      <c r="AG36" s="213"/>
      <c r="AI36" s="217" t="s">
        <v>4</v>
      </c>
      <c r="AJ36" s="217" t="s">
        <v>66</v>
      </c>
      <c r="AK36" s="217" t="s">
        <v>8</v>
      </c>
      <c r="AL36" s="217" t="s">
        <v>5</v>
      </c>
      <c r="AM36" s="98"/>
    </row>
    <row r="37" spans="1:40" s="11" customFormat="1" ht="33" x14ac:dyDescent="0.25">
      <c r="A37" s="246"/>
      <c r="B37" s="221"/>
      <c r="C37" s="256"/>
      <c r="D37" s="221"/>
      <c r="E37" s="256"/>
      <c r="F37" s="243"/>
      <c r="G37" s="262"/>
      <c r="H37" s="214"/>
      <c r="I37" s="12"/>
      <c r="J37" s="153" t="s">
        <v>59</v>
      </c>
      <c r="K37" s="116" t="s">
        <v>60</v>
      </c>
      <c r="L37" s="157" t="s">
        <v>64</v>
      </c>
      <c r="M37" s="116" t="s">
        <v>63</v>
      </c>
      <c r="N37" s="12"/>
      <c r="O37" s="61" t="s">
        <v>59</v>
      </c>
      <c r="P37" s="116" t="s">
        <v>60</v>
      </c>
      <c r="Q37" s="61" t="s">
        <v>62</v>
      </c>
      <c r="R37" s="116" t="s">
        <v>63</v>
      </c>
      <c r="S37" s="10"/>
      <c r="T37" s="61" t="s">
        <v>59</v>
      </c>
      <c r="U37" s="116" t="s">
        <v>60</v>
      </c>
      <c r="V37" s="116" t="s">
        <v>62</v>
      </c>
      <c r="W37" s="116" t="s">
        <v>63</v>
      </c>
      <c r="Y37" s="116" t="s">
        <v>59</v>
      </c>
      <c r="Z37" s="116" t="s">
        <v>60</v>
      </c>
      <c r="AA37" s="116" t="s">
        <v>64</v>
      </c>
      <c r="AB37" s="116" t="s">
        <v>63</v>
      </c>
      <c r="AD37" s="116" t="s">
        <v>59</v>
      </c>
      <c r="AE37" s="116" t="s">
        <v>60</v>
      </c>
      <c r="AF37" s="116" t="s">
        <v>64</v>
      </c>
      <c r="AG37" s="116" t="s">
        <v>63</v>
      </c>
      <c r="AI37" s="218"/>
      <c r="AJ37" s="218"/>
      <c r="AK37" s="218"/>
      <c r="AL37" s="218"/>
      <c r="AM37" s="98"/>
    </row>
    <row r="38" spans="1:40" ht="75.75" customHeight="1" x14ac:dyDescent="0.25">
      <c r="A38" s="250" t="s">
        <v>115</v>
      </c>
      <c r="B38" s="222" t="s">
        <v>116</v>
      </c>
      <c r="C38" s="222" t="s">
        <v>117</v>
      </c>
      <c r="D38" s="222" t="s">
        <v>152</v>
      </c>
      <c r="E38" s="253" t="str">
        <f>C31</f>
        <v xml:space="preserve">Aumentar el acceso a vivienda digna, espacio público y equipamientos de la población vulnerable en suelo urbano y rural </v>
      </c>
      <c r="F38" s="138" t="s">
        <v>162</v>
      </c>
      <c r="G38" s="138" t="s">
        <v>91</v>
      </c>
      <c r="H38" s="259" t="str">
        <f>C33</f>
        <v>Sistema Distrital de cuidado</v>
      </c>
      <c r="I38" s="14"/>
      <c r="J38" s="127">
        <v>433</v>
      </c>
      <c r="K38" s="127">
        <v>433</v>
      </c>
      <c r="L38" s="158"/>
      <c r="M38" s="128"/>
      <c r="N38" s="129"/>
      <c r="O38" s="144">
        <v>1005</v>
      </c>
      <c r="P38" s="144">
        <v>1005</v>
      </c>
      <c r="Q38" s="128"/>
      <c r="R38" s="128"/>
      <c r="S38" s="131"/>
      <c r="T38" s="145">
        <v>600</v>
      </c>
      <c r="U38" s="145">
        <v>37</v>
      </c>
      <c r="V38" s="133"/>
      <c r="W38" s="134"/>
      <c r="X38" s="135"/>
      <c r="Y38" s="145">
        <v>262</v>
      </c>
      <c r="Z38" s="145">
        <v>0</v>
      </c>
      <c r="AA38" s="133"/>
      <c r="AB38" s="134"/>
      <c r="AC38" s="135"/>
      <c r="AD38" s="146">
        <v>100</v>
      </c>
      <c r="AE38" s="146">
        <v>0</v>
      </c>
      <c r="AF38" s="133"/>
      <c r="AG38" s="134"/>
      <c r="AH38" s="131"/>
      <c r="AI38" s="146">
        <f t="shared" ref="AI38:AL41" si="14">J38+O38+T38+Y38+AD38</f>
        <v>2400</v>
      </c>
      <c r="AJ38" s="146">
        <f t="shared" si="14"/>
        <v>1475</v>
      </c>
      <c r="AK38" s="137">
        <f t="shared" si="14"/>
        <v>0</v>
      </c>
      <c r="AL38" s="137">
        <f t="shared" si="14"/>
        <v>0</v>
      </c>
      <c r="AM38" s="99"/>
    </row>
    <row r="39" spans="1:40" ht="75.75" customHeight="1" x14ac:dyDescent="0.25">
      <c r="A39" s="251"/>
      <c r="B39" s="229"/>
      <c r="C39" s="229"/>
      <c r="D39" s="229"/>
      <c r="E39" s="254"/>
      <c r="F39" s="13" t="s">
        <v>118</v>
      </c>
      <c r="G39" s="13" t="s">
        <v>91</v>
      </c>
      <c r="H39" s="260"/>
      <c r="I39" s="14"/>
      <c r="J39" s="107">
        <v>433</v>
      </c>
      <c r="K39" s="107">
        <v>433</v>
      </c>
      <c r="L39" s="161">
        <v>2485.9104860000002</v>
      </c>
      <c r="M39" s="29">
        <v>2462.6375039999998</v>
      </c>
      <c r="N39" s="23"/>
      <c r="O39" s="15">
        <v>1005</v>
      </c>
      <c r="P39" s="15">
        <v>1005</v>
      </c>
      <c r="Q39" s="63">
        <f>3174460251/L1</f>
        <v>3174.460251</v>
      </c>
      <c r="R39" s="29">
        <f>3173790307/L1</f>
        <v>3173.7903070000002</v>
      </c>
      <c r="S39" s="100"/>
      <c r="T39" s="103">
        <v>600</v>
      </c>
      <c r="U39" s="103">
        <v>37</v>
      </c>
      <c r="V39" s="63">
        <f>6177512000/L1</f>
        <v>6177.5119999999997</v>
      </c>
      <c r="W39" s="105">
        <f>1516102000/L1</f>
        <v>1516.1020000000001</v>
      </c>
      <c r="X39" s="101"/>
      <c r="Y39" s="103">
        <v>262</v>
      </c>
      <c r="Z39" s="103">
        <v>0</v>
      </c>
      <c r="AA39" s="29">
        <v>2650</v>
      </c>
      <c r="AB39" s="105"/>
      <c r="AC39" s="101"/>
      <c r="AD39" s="90">
        <v>100</v>
      </c>
      <c r="AE39" s="90">
        <v>0</v>
      </c>
      <c r="AF39" s="104">
        <v>1909</v>
      </c>
      <c r="AG39" s="105"/>
      <c r="AH39" s="100"/>
      <c r="AI39" s="90">
        <f t="shared" si="14"/>
        <v>2400</v>
      </c>
      <c r="AJ39" s="90">
        <f t="shared" si="14"/>
        <v>1475</v>
      </c>
      <c r="AK39" s="62">
        <f t="shared" si="14"/>
        <v>16396.882737</v>
      </c>
      <c r="AL39" s="62">
        <f t="shared" si="14"/>
        <v>7152.5298109999994</v>
      </c>
      <c r="AM39" s="99" t="s">
        <v>182</v>
      </c>
      <c r="AN39" s="206"/>
    </row>
    <row r="40" spans="1:40" ht="39.75" customHeight="1" x14ac:dyDescent="0.25">
      <c r="A40" s="251"/>
      <c r="B40" s="229"/>
      <c r="C40" s="229"/>
      <c r="D40" s="229"/>
      <c r="E40" s="254"/>
      <c r="F40" s="13" t="s">
        <v>119</v>
      </c>
      <c r="G40" s="13" t="s">
        <v>120</v>
      </c>
      <c r="H40" s="260"/>
      <c r="I40" s="14"/>
      <c r="J40" s="15">
        <v>1</v>
      </c>
      <c r="K40" s="15">
        <v>1</v>
      </c>
      <c r="L40" s="167">
        <v>1.1481950000000001</v>
      </c>
      <c r="M40" s="168">
        <v>1.1481950000000001</v>
      </c>
      <c r="N40" s="23"/>
      <c r="O40" s="15">
        <v>1</v>
      </c>
      <c r="P40" s="15">
        <v>1</v>
      </c>
      <c r="Q40" s="63">
        <f>704512319/L1</f>
        <v>704.51231900000005</v>
      </c>
      <c r="R40" s="29">
        <f>700993442/L1</f>
        <v>700.99344199999996</v>
      </c>
      <c r="S40" s="100"/>
      <c r="T40" s="103">
        <v>1</v>
      </c>
      <c r="U40" s="103">
        <v>0</v>
      </c>
      <c r="V40" s="104">
        <f>861153000/L1</f>
        <v>861.15300000000002</v>
      </c>
      <c r="W40" s="104">
        <v>507.18</v>
      </c>
      <c r="X40" s="101"/>
      <c r="Y40" s="103">
        <v>1</v>
      </c>
      <c r="Z40" s="103">
        <v>0</v>
      </c>
      <c r="AA40" s="104">
        <v>50</v>
      </c>
      <c r="AB40" s="106"/>
      <c r="AC40" s="101"/>
      <c r="AD40" s="90">
        <v>0</v>
      </c>
      <c r="AE40" s="90">
        <v>0</v>
      </c>
      <c r="AF40" s="104">
        <v>0</v>
      </c>
      <c r="AG40" s="106"/>
      <c r="AH40" s="100"/>
      <c r="AI40" s="90">
        <f>J40+O40+T40+Y40+AD40</f>
        <v>4</v>
      </c>
      <c r="AJ40" s="90">
        <f t="shared" ref="AJ40:AJ41" si="15">K40+P40+U40+Z40+AE40</f>
        <v>2</v>
      </c>
      <c r="AK40" s="62">
        <f t="shared" si="14"/>
        <v>1616.8135139999999</v>
      </c>
      <c r="AL40" s="62">
        <f t="shared" ref="AL40:AL41" si="16">M40+R40+W40+AB40+AG40</f>
        <v>1209.321637</v>
      </c>
      <c r="AM40" s="203" t="s">
        <v>182</v>
      </c>
    </row>
    <row r="41" spans="1:40" ht="43.5" customHeight="1" x14ac:dyDescent="0.25">
      <c r="A41" s="251"/>
      <c r="B41" s="229"/>
      <c r="C41" s="229"/>
      <c r="D41" s="229"/>
      <c r="E41" s="254"/>
      <c r="F41" s="13" t="s">
        <v>121</v>
      </c>
      <c r="G41" s="13" t="s">
        <v>122</v>
      </c>
      <c r="H41" s="260"/>
      <c r="I41" s="14"/>
      <c r="J41" s="15">
        <v>1</v>
      </c>
      <c r="K41" s="15">
        <v>1</v>
      </c>
      <c r="L41" s="159">
        <v>3933.2635260000002</v>
      </c>
      <c r="M41" s="29">
        <v>3919.824286</v>
      </c>
      <c r="N41" s="23"/>
      <c r="O41" s="19">
        <v>0.35</v>
      </c>
      <c r="P41" s="197">
        <v>0.35</v>
      </c>
      <c r="Q41" s="63">
        <f>785812430/L1</f>
        <v>785.81242999999995</v>
      </c>
      <c r="R41" s="29">
        <f>783562430/L1</f>
        <v>783.56242999999995</v>
      </c>
      <c r="S41" s="100"/>
      <c r="T41" s="192">
        <v>0.65</v>
      </c>
      <c r="U41" s="103">
        <v>0</v>
      </c>
      <c r="V41" s="63">
        <f>1811335000/L1</f>
        <v>1811.335</v>
      </c>
      <c r="W41" s="106">
        <f>281190000/L1</f>
        <v>281.19</v>
      </c>
      <c r="X41" s="101"/>
      <c r="Y41" s="103">
        <v>0</v>
      </c>
      <c r="Z41" s="103">
        <v>0</v>
      </c>
      <c r="AA41" s="104">
        <v>0</v>
      </c>
      <c r="AB41" s="104"/>
      <c r="AC41" s="101"/>
      <c r="AD41" s="90">
        <v>0</v>
      </c>
      <c r="AE41" s="90">
        <v>0</v>
      </c>
      <c r="AF41" s="104">
        <v>0</v>
      </c>
      <c r="AG41" s="104"/>
      <c r="AH41" s="100"/>
      <c r="AI41" s="90">
        <f>J41+O41+T41+Y41+AD41</f>
        <v>2</v>
      </c>
      <c r="AJ41" s="197">
        <f t="shared" si="15"/>
        <v>1.35</v>
      </c>
      <c r="AK41" s="62">
        <f t="shared" si="14"/>
        <v>6530.4109560000006</v>
      </c>
      <c r="AL41" s="62">
        <f t="shared" si="16"/>
        <v>4984.5767159999996</v>
      </c>
      <c r="AM41" s="99" t="s">
        <v>182</v>
      </c>
      <c r="AN41" s="89"/>
    </row>
    <row r="42" spans="1:40" s="6" customFormat="1" ht="15.75" x14ac:dyDescent="0.25">
      <c r="A42" s="17"/>
      <c r="B42" s="118" t="s">
        <v>103</v>
      </c>
      <c r="C42" s="118"/>
      <c r="D42" s="118"/>
      <c r="E42" s="118"/>
      <c r="F42" s="39"/>
      <c r="G42" s="39"/>
      <c r="H42" s="39"/>
      <c r="I42" s="40"/>
      <c r="J42" s="41"/>
      <c r="K42" s="41"/>
      <c r="L42" s="160">
        <f>SUM(L38:L41)</f>
        <v>6420.3222070000011</v>
      </c>
      <c r="M42" s="42">
        <f>SUM(M38:M41)</f>
        <v>6383.6099850000001</v>
      </c>
      <c r="N42" s="51"/>
      <c r="O42" s="41"/>
      <c r="P42" s="41"/>
      <c r="Q42" s="42">
        <f>SUM(Q38:Q41)</f>
        <v>4664.7849999999999</v>
      </c>
      <c r="R42" s="42">
        <f>SUM(R38:R41)</f>
        <v>4658.3461790000001</v>
      </c>
      <c r="T42" s="41"/>
      <c r="U42" s="41"/>
      <c r="V42" s="42">
        <f>SUM(V38:V41)</f>
        <v>8850</v>
      </c>
      <c r="W42" s="42">
        <f>SUM(W38:W41)</f>
        <v>2304.4720000000002</v>
      </c>
      <c r="Y42" s="41"/>
      <c r="Z42" s="41"/>
      <c r="AA42" s="42">
        <f>SUM(AA38:AA41)</f>
        <v>2700</v>
      </c>
      <c r="AB42" s="42">
        <f>SUM(AB38:AB41)</f>
        <v>0</v>
      </c>
      <c r="AC42" s="112"/>
      <c r="AD42" s="41"/>
      <c r="AE42" s="42"/>
      <c r="AF42" s="42">
        <f>SUM(AF38:AF41)</f>
        <v>1909</v>
      </c>
      <c r="AG42" s="42">
        <f>SUM(AG38:AG41)</f>
        <v>0</v>
      </c>
      <c r="AI42" s="96"/>
      <c r="AJ42" s="96"/>
      <c r="AK42" s="64">
        <f>SUM(AK38:AK41)</f>
        <v>24544.107207000001</v>
      </c>
      <c r="AL42" s="64">
        <f>SUM(AL38:AL41)</f>
        <v>13346.428163999999</v>
      </c>
      <c r="AM42" s="98"/>
      <c r="AN42" s="25"/>
    </row>
    <row r="43" spans="1:40" x14ac:dyDescent="0.25">
      <c r="AN43" s="89"/>
    </row>
    <row r="44" spans="1:40" s="5" customFormat="1" ht="15.75" customHeight="1" x14ac:dyDescent="0.2">
      <c r="A44" s="261"/>
      <c r="B44" s="261"/>
      <c r="C44" s="261"/>
      <c r="D44" s="261"/>
      <c r="E44" s="261"/>
      <c r="F44" s="261"/>
      <c r="G44" s="261"/>
      <c r="H44" s="261"/>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94"/>
    </row>
    <row r="45" spans="1:40" s="3" customFormat="1" ht="12.75" x14ac:dyDescent="0.2">
      <c r="A45" s="140"/>
      <c r="B45" s="4"/>
      <c r="C45" s="4"/>
      <c r="D45" s="4"/>
      <c r="E45" s="4"/>
      <c r="F45" s="4"/>
      <c r="G45" s="4"/>
      <c r="H45" s="4"/>
      <c r="I45" s="2"/>
      <c r="J45" s="140"/>
      <c r="K45" s="2"/>
      <c r="L45" s="155"/>
      <c r="M45" s="2"/>
      <c r="N45" s="2"/>
      <c r="O45" s="2"/>
      <c r="P45" s="2"/>
      <c r="Q45" s="2"/>
      <c r="R45" s="2"/>
      <c r="T45" s="102"/>
      <c r="U45" s="102"/>
      <c r="V45" s="102"/>
      <c r="W45" s="102"/>
      <c r="Y45" s="102"/>
      <c r="Z45" s="102"/>
      <c r="AA45" s="102"/>
      <c r="AB45" s="102"/>
      <c r="AD45" s="2"/>
      <c r="AE45" s="2"/>
      <c r="AF45" s="102"/>
      <c r="AG45" s="102"/>
      <c r="AI45" s="109"/>
      <c r="AJ45" s="109"/>
      <c r="AK45" s="109"/>
      <c r="AL45" s="110"/>
      <c r="AM45" s="93"/>
    </row>
    <row r="46" spans="1:40" x14ac:dyDescent="0.25">
      <c r="A46" s="142">
        <v>2</v>
      </c>
      <c r="B46" s="122" t="s">
        <v>94</v>
      </c>
      <c r="C46" s="257" t="s">
        <v>163</v>
      </c>
      <c r="D46" s="257"/>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row>
    <row r="47" spans="1:40" ht="15.75" x14ac:dyDescent="0.25">
      <c r="A47" s="141">
        <v>15</v>
      </c>
      <c r="B47" s="6" t="s">
        <v>157</v>
      </c>
      <c r="C47" s="263" t="s">
        <v>164</v>
      </c>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row>
    <row r="48" spans="1:40" x14ac:dyDescent="0.25">
      <c r="A48" s="141">
        <v>29</v>
      </c>
      <c r="B48" s="6" t="s">
        <v>95</v>
      </c>
      <c r="C48" s="257" t="s">
        <v>165</v>
      </c>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row>
    <row r="49" spans="1:41" ht="30" x14ac:dyDescent="0.25">
      <c r="A49" s="141">
        <v>3</v>
      </c>
      <c r="B49" s="123" t="s">
        <v>98</v>
      </c>
      <c r="C49" s="257" t="s">
        <v>114</v>
      </c>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row>
    <row r="51" spans="1:41" s="11" customFormat="1" ht="27" customHeight="1" x14ac:dyDescent="0.25">
      <c r="A51" s="244" t="s">
        <v>2</v>
      </c>
      <c r="B51" s="219" t="s">
        <v>3</v>
      </c>
      <c r="C51" s="255" t="s">
        <v>87</v>
      </c>
      <c r="D51" s="219" t="s">
        <v>67</v>
      </c>
      <c r="E51" s="255" t="s">
        <v>170</v>
      </c>
      <c r="F51" s="241" t="s">
        <v>101</v>
      </c>
      <c r="G51" s="262" t="s">
        <v>90</v>
      </c>
      <c r="H51" s="214" t="s">
        <v>171</v>
      </c>
      <c r="I51" s="10"/>
      <c r="J51" s="214">
        <v>2020</v>
      </c>
      <c r="K51" s="214"/>
      <c r="L51" s="214"/>
      <c r="M51" s="214"/>
      <c r="N51" s="10"/>
      <c r="O51" s="214">
        <v>2021</v>
      </c>
      <c r="P51" s="214"/>
      <c r="Q51" s="214"/>
      <c r="R51" s="214"/>
      <c r="T51" s="214">
        <v>2022</v>
      </c>
      <c r="U51" s="214"/>
      <c r="V51" s="214"/>
      <c r="W51" s="214"/>
      <c r="Y51" s="214">
        <v>2023</v>
      </c>
      <c r="Z51" s="214"/>
      <c r="AA51" s="214"/>
      <c r="AB51" s="214"/>
      <c r="AD51" s="215">
        <v>2024</v>
      </c>
      <c r="AE51" s="216"/>
      <c r="AF51" s="216"/>
      <c r="AG51" s="216"/>
      <c r="AI51" s="258" t="s">
        <v>102</v>
      </c>
      <c r="AJ51" s="258"/>
      <c r="AK51" s="258"/>
      <c r="AL51" s="258"/>
      <c r="AM51" s="98"/>
    </row>
    <row r="52" spans="1:41" s="11" customFormat="1" ht="16.5" customHeight="1" x14ac:dyDescent="0.25">
      <c r="A52" s="245"/>
      <c r="B52" s="220"/>
      <c r="C52" s="242"/>
      <c r="D52" s="220"/>
      <c r="E52" s="242"/>
      <c r="F52" s="242"/>
      <c r="G52" s="262"/>
      <c r="H52" s="214"/>
      <c r="I52" s="10"/>
      <c r="J52" s="213" t="s">
        <v>4</v>
      </c>
      <c r="K52" s="213"/>
      <c r="L52" s="213" t="s">
        <v>61</v>
      </c>
      <c r="M52" s="213"/>
      <c r="N52" s="10"/>
      <c r="O52" s="213" t="s">
        <v>6</v>
      </c>
      <c r="P52" s="213"/>
      <c r="Q52" s="213" t="s">
        <v>8</v>
      </c>
      <c r="R52" s="213"/>
      <c r="S52" s="10"/>
      <c r="T52" s="213" t="s">
        <v>7</v>
      </c>
      <c r="U52" s="213"/>
      <c r="V52" s="213" t="s">
        <v>8</v>
      </c>
      <c r="W52" s="213"/>
      <c r="Y52" s="213" t="s">
        <v>7</v>
      </c>
      <c r="Z52" s="213"/>
      <c r="AA52" s="213" t="s">
        <v>8</v>
      </c>
      <c r="AB52" s="213"/>
      <c r="AD52" s="213" t="s">
        <v>7</v>
      </c>
      <c r="AE52" s="213"/>
      <c r="AF52" s="213" t="s">
        <v>8</v>
      </c>
      <c r="AG52" s="213"/>
      <c r="AI52" s="217" t="s">
        <v>4</v>
      </c>
      <c r="AJ52" s="217" t="s">
        <v>66</v>
      </c>
      <c r="AK52" s="217" t="s">
        <v>8</v>
      </c>
      <c r="AL52" s="217" t="s">
        <v>5</v>
      </c>
      <c r="AM52" s="98"/>
    </row>
    <row r="53" spans="1:41" s="11" customFormat="1" ht="33" x14ac:dyDescent="0.25">
      <c r="A53" s="246"/>
      <c r="B53" s="221"/>
      <c r="C53" s="256"/>
      <c r="D53" s="221"/>
      <c r="E53" s="256"/>
      <c r="F53" s="243"/>
      <c r="G53" s="262"/>
      <c r="H53" s="214"/>
      <c r="I53" s="12"/>
      <c r="J53" s="153" t="s">
        <v>59</v>
      </c>
      <c r="K53" s="116" t="s">
        <v>60</v>
      </c>
      <c r="L53" s="157" t="s">
        <v>64</v>
      </c>
      <c r="M53" s="116" t="s">
        <v>63</v>
      </c>
      <c r="N53" s="12"/>
      <c r="O53" s="61" t="s">
        <v>59</v>
      </c>
      <c r="P53" s="116" t="s">
        <v>60</v>
      </c>
      <c r="Q53" s="61" t="s">
        <v>62</v>
      </c>
      <c r="R53" s="116" t="s">
        <v>63</v>
      </c>
      <c r="S53" s="10"/>
      <c r="T53" s="61" t="s">
        <v>59</v>
      </c>
      <c r="U53" s="116" t="s">
        <v>60</v>
      </c>
      <c r="V53" s="116" t="s">
        <v>62</v>
      </c>
      <c r="W53" s="116" t="s">
        <v>63</v>
      </c>
      <c r="Y53" s="116" t="s">
        <v>59</v>
      </c>
      <c r="Z53" s="116" t="s">
        <v>60</v>
      </c>
      <c r="AA53" s="116" t="s">
        <v>64</v>
      </c>
      <c r="AB53" s="116" t="s">
        <v>63</v>
      </c>
      <c r="AD53" s="116" t="s">
        <v>59</v>
      </c>
      <c r="AE53" s="116" t="s">
        <v>60</v>
      </c>
      <c r="AF53" s="116" t="s">
        <v>64</v>
      </c>
      <c r="AG53" s="116" t="s">
        <v>63</v>
      </c>
      <c r="AI53" s="218"/>
      <c r="AJ53" s="218"/>
      <c r="AK53" s="218"/>
      <c r="AL53" s="218"/>
      <c r="AM53" s="98"/>
    </row>
    <row r="54" spans="1:41" ht="75.75" customHeight="1" x14ac:dyDescent="0.25">
      <c r="A54" s="250" t="s">
        <v>123</v>
      </c>
      <c r="B54" s="222" t="s">
        <v>125</v>
      </c>
      <c r="C54" s="222" t="s">
        <v>124</v>
      </c>
      <c r="D54" s="222" t="s">
        <v>153</v>
      </c>
      <c r="E54" s="222" t="str">
        <f>C47</f>
        <v xml:space="preserve">Intervenir integralmente áreas estratégicas de Bogotá teniendo en cuenta las dinámicas patrimoniales, ambientales, sociales y culturales  
</v>
      </c>
      <c r="F54" s="138" t="s">
        <v>126</v>
      </c>
      <c r="G54" s="138" t="s">
        <v>127</v>
      </c>
      <c r="H54" s="259" t="str">
        <f>C49</f>
        <v>Sistema Distrital de cuidado</v>
      </c>
      <c r="I54" s="14"/>
      <c r="J54" s="127">
        <v>410</v>
      </c>
      <c r="K54" s="127">
        <v>410</v>
      </c>
      <c r="L54" s="158"/>
      <c r="M54" s="128"/>
      <c r="N54" s="129"/>
      <c r="O54" s="146">
        <v>526</v>
      </c>
      <c r="P54" s="144">
        <v>526</v>
      </c>
      <c r="Q54" s="128"/>
      <c r="R54" s="128"/>
      <c r="S54" s="131"/>
      <c r="T54" s="145">
        <v>764</v>
      </c>
      <c r="U54" s="145">
        <v>0</v>
      </c>
      <c r="V54" s="133"/>
      <c r="W54" s="134"/>
      <c r="X54" s="135"/>
      <c r="Y54" s="145">
        <v>361</v>
      </c>
      <c r="Z54" s="145">
        <v>0</v>
      </c>
      <c r="AA54" s="133"/>
      <c r="AB54" s="134"/>
      <c r="AC54" s="135"/>
      <c r="AD54" s="146">
        <v>89</v>
      </c>
      <c r="AE54" s="146">
        <v>0</v>
      </c>
      <c r="AF54" s="133"/>
      <c r="AG54" s="134"/>
      <c r="AH54" s="131"/>
      <c r="AI54" s="146">
        <f>J54+O54+T54+Y54+AD54</f>
        <v>2150</v>
      </c>
      <c r="AJ54" s="146">
        <f>K54+P54+U54+Z54+AE54</f>
        <v>936</v>
      </c>
      <c r="AK54" s="137">
        <f>L54+Q54+V54+AA54+AF54</f>
        <v>0</v>
      </c>
      <c r="AL54" s="137">
        <f>M54+R54+W54+AB54+AG54</f>
        <v>0</v>
      </c>
      <c r="AM54" s="99"/>
    </row>
    <row r="55" spans="1:41" ht="71.25" customHeight="1" x14ac:dyDescent="0.25">
      <c r="A55" s="251"/>
      <c r="B55" s="229"/>
      <c r="C55" s="229"/>
      <c r="D55" s="229"/>
      <c r="E55" s="229"/>
      <c r="F55" s="13" t="s">
        <v>128</v>
      </c>
      <c r="G55" s="13" t="s">
        <v>129</v>
      </c>
      <c r="H55" s="260"/>
      <c r="I55" s="14"/>
      <c r="J55" s="15">
        <v>54</v>
      </c>
      <c r="K55" s="90">
        <v>55</v>
      </c>
      <c r="L55" s="159">
        <v>5071.6473960000003</v>
      </c>
      <c r="M55" s="29">
        <v>4319.8978859999997</v>
      </c>
      <c r="N55" s="23"/>
      <c r="O55" s="15">
        <v>207</v>
      </c>
      <c r="P55" s="15">
        <v>207</v>
      </c>
      <c r="Q55" s="63">
        <f>10671009470/L1</f>
        <v>10671.009470000001</v>
      </c>
      <c r="R55" s="29">
        <f>10624208143/L1</f>
        <v>10624.208143</v>
      </c>
      <c r="S55" s="100"/>
      <c r="T55" s="103">
        <v>640</v>
      </c>
      <c r="U55" s="113">
        <v>0</v>
      </c>
      <c r="V55" s="104">
        <f>18301947500/L1</f>
        <v>18301.947499999998</v>
      </c>
      <c r="W55" s="105">
        <v>0</v>
      </c>
      <c r="X55" s="101"/>
      <c r="Y55" s="103">
        <v>225</v>
      </c>
      <c r="Z55" s="113">
        <v>0</v>
      </c>
      <c r="AA55" s="104">
        <f>20553000000/1000000</f>
        <v>20553</v>
      </c>
      <c r="AB55" s="105"/>
      <c r="AC55" s="101"/>
      <c r="AD55" s="90">
        <v>97</v>
      </c>
      <c r="AE55" s="90">
        <v>0</v>
      </c>
      <c r="AF55" s="104">
        <v>6462</v>
      </c>
      <c r="AG55" s="105"/>
      <c r="AH55" s="100"/>
      <c r="AI55" s="90">
        <f>J55+O55+T55+Y55+AD55</f>
        <v>1223</v>
      </c>
      <c r="AJ55" s="90">
        <f t="shared" ref="AJ55:AJ58" si="17">K55+P55+U55+Z55+AE55</f>
        <v>262</v>
      </c>
      <c r="AK55" s="62">
        <f t="shared" ref="AK55:AK59" si="18">L55+Q55+V55+AA55+AF55</f>
        <v>61059.604366</v>
      </c>
      <c r="AL55" s="62">
        <f t="shared" ref="AL55:AL59" si="19">M55+R55+W55+AB55+AG55</f>
        <v>14944.106028999999</v>
      </c>
      <c r="AM55" s="99" t="s">
        <v>182</v>
      </c>
      <c r="AN55" s="206"/>
    </row>
    <row r="56" spans="1:41" ht="66.75" customHeight="1" x14ac:dyDescent="0.25">
      <c r="A56" s="251"/>
      <c r="B56" s="229"/>
      <c r="C56" s="229"/>
      <c r="D56" s="229"/>
      <c r="E56" s="229"/>
      <c r="F56" s="13" t="s">
        <v>130</v>
      </c>
      <c r="G56" s="13" t="s">
        <v>131</v>
      </c>
      <c r="H56" s="260"/>
      <c r="I56" s="14"/>
      <c r="J56" s="15">
        <v>28</v>
      </c>
      <c r="K56" s="15">
        <v>27</v>
      </c>
      <c r="L56" s="159">
        <v>2969.3287610000002</v>
      </c>
      <c r="M56" s="29">
        <v>2928.9973829999999</v>
      </c>
      <c r="N56" s="23"/>
      <c r="O56" s="90">
        <v>37</v>
      </c>
      <c r="P56" s="90">
        <v>37</v>
      </c>
      <c r="Q56" s="63">
        <f>2731695509/L1</f>
        <v>2731.6955090000001</v>
      </c>
      <c r="R56" s="29">
        <f>2708768098/L1</f>
        <v>2708.768098</v>
      </c>
      <c r="S56" s="100"/>
      <c r="T56" s="103">
        <v>30</v>
      </c>
      <c r="U56" s="103">
        <v>0</v>
      </c>
      <c r="V56" s="104">
        <f>1770233500/L1</f>
        <v>1770.2335</v>
      </c>
      <c r="W56" s="106">
        <v>0</v>
      </c>
      <c r="X56" s="101"/>
      <c r="Y56" s="103">
        <v>15</v>
      </c>
      <c r="Z56" s="103">
        <v>0</v>
      </c>
      <c r="AA56" s="104">
        <v>917</v>
      </c>
      <c r="AB56" s="106"/>
      <c r="AC56" s="101"/>
      <c r="AD56" s="90">
        <v>6</v>
      </c>
      <c r="AE56" s="90">
        <v>0</v>
      </c>
      <c r="AF56" s="104">
        <v>889</v>
      </c>
      <c r="AG56" s="106"/>
      <c r="AH56" s="100"/>
      <c r="AI56" s="90">
        <f>J56+O56+T56+Y56+AD56</f>
        <v>116</v>
      </c>
      <c r="AJ56" s="90">
        <f t="shared" si="17"/>
        <v>64</v>
      </c>
      <c r="AK56" s="62">
        <f t="shared" si="18"/>
        <v>9277.2577700000002</v>
      </c>
      <c r="AL56" s="62">
        <f t="shared" si="19"/>
        <v>5637.7654810000004</v>
      </c>
      <c r="AM56" s="92" t="s">
        <v>182</v>
      </c>
      <c r="AN56" s="89"/>
    </row>
    <row r="57" spans="1:41" ht="43.5" customHeight="1" x14ac:dyDescent="0.25">
      <c r="A57" s="251"/>
      <c r="B57" s="229"/>
      <c r="C57" s="229"/>
      <c r="D57" s="229"/>
      <c r="E57" s="229"/>
      <c r="F57" s="13" t="s">
        <v>177</v>
      </c>
      <c r="G57" s="13" t="s">
        <v>132</v>
      </c>
      <c r="H57" s="260"/>
      <c r="I57" s="14"/>
      <c r="J57" s="15">
        <v>1497</v>
      </c>
      <c r="K57" s="15">
        <v>1484</v>
      </c>
      <c r="L57" s="159">
        <v>3667.6184499999999</v>
      </c>
      <c r="M57" s="29">
        <v>3203.0383700000002</v>
      </c>
      <c r="N57" s="23"/>
      <c r="O57" s="90">
        <v>1598</v>
      </c>
      <c r="P57" s="15">
        <v>1588</v>
      </c>
      <c r="Q57" s="29">
        <f>5904783901/L1</f>
        <v>5904.7839009999998</v>
      </c>
      <c r="R57" s="63">
        <f>5824458558/L1</f>
        <v>5824.4585580000003</v>
      </c>
      <c r="S57" s="100"/>
      <c r="T57" s="103">
        <v>1732</v>
      </c>
      <c r="U57" s="103">
        <v>1588</v>
      </c>
      <c r="V57" s="104">
        <f>5388532000/1000000</f>
        <v>5388.5320000000002</v>
      </c>
      <c r="W57" s="104">
        <v>0</v>
      </c>
      <c r="X57" s="101"/>
      <c r="Y57" s="207">
        <v>1812</v>
      </c>
      <c r="Z57" s="103">
        <v>0</v>
      </c>
      <c r="AA57" s="104">
        <v>5532</v>
      </c>
      <c r="AB57" s="104"/>
      <c r="AC57" s="101"/>
      <c r="AD57" s="90">
        <v>1850</v>
      </c>
      <c r="AE57" s="90">
        <v>0</v>
      </c>
      <c r="AF57" s="104">
        <v>2871</v>
      </c>
      <c r="AG57" s="104"/>
      <c r="AH57" s="100"/>
      <c r="AI57" s="90">
        <f>AD57</f>
        <v>1850</v>
      </c>
      <c r="AJ57" s="90">
        <f>+U57</f>
        <v>1588</v>
      </c>
      <c r="AK57" s="62">
        <f t="shared" si="18"/>
        <v>23363.934351</v>
      </c>
      <c r="AL57" s="62">
        <f t="shared" si="19"/>
        <v>9027.4969280000005</v>
      </c>
      <c r="AM57" s="99" t="s">
        <v>182</v>
      </c>
    </row>
    <row r="58" spans="1:41" ht="43.5" customHeight="1" x14ac:dyDescent="0.25">
      <c r="A58" s="152"/>
      <c r="B58" s="229"/>
      <c r="C58" s="229"/>
      <c r="D58" s="229"/>
      <c r="E58" s="229"/>
      <c r="F58" s="198" t="s">
        <v>180</v>
      </c>
      <c r="G58" s="13" t="s">
        <v>132</v>
      </c>
      <c r="H58" s="188"/>
      <c r="I58" s="14"/>
      <c r="J58" s="15">
        <v>0</v>
      </c>
      <c r="K58" s="15">
        <v>0</v>
      </c>
      <c r="L58" s="159"/>
      <c r="M58" s="29"/>
      <c r="N58" s="23"/>
      <c r="O58" s="90">
        <v>797</v>
      </c>
      <c r="P58" s="90">
        <v>797</v>
      </c>
      <c r="Q58" s="63">
        <f>279171937/L1</f>
        <v>279.17193700000001</v>
      </c>
      <c r="R58" s="29">
        <f>279171937/L1</f>
        <v>279.17193700000001</v>
      </c>
      <c r="S58" s="100"/>
      <c r="T58" s="103">
        <v>620</v>
      </c>
      <c r="U58" s="103">
        <v>0</v>
      </c>
      <c r="V58" s="104">
        <f>550452000/1000000</f>
        <v>550.452</v>
      </c>
      <c r="W58" s="104">
        <f>307997680/L1</f>
        <v>307.99768</v>
      </c>
      <c r="X58" s="101"/>
      <c r="Y58" s="207">
        <v>281</v>
      </c>
      <c r="Z58" s="103">
        <v>0</v>
      </c>
      <c r="AA58" s="104">
        <v>550</v>
      </c>
      <c r="AB58" s="104"/>
      <c r="AC58" s="101"/>
      <c r="AD58" s="90">
        <v>51</v>
      </c>
      <c r="AE58" s="90">
        <v>0</v>
      </c>
      <c r="AF58" s="104">
        <f>534838196/L1</f>
        <v>534.83819600000004</v>
      </c>
      <c r="AG58" s="104"/>
      <c r="AH58" s="100"/>
      <c r="AI58" s="90">
        <f t="shared" ref="AI58" si="20">J58+O58+T58+Y58+AD58</f>
        <v>1749</v>
      </c>
      <c r="AJ58" s="90">
        <f t="shared" si="17"/>
        <v>797</v>
      </c>
      <c r="AK58" s="62">
        <f t="shared" si="18"/>
        <v>1914.462133</v>
      </c>
      <c r="AL58" s="62">
        <f t="shared" si="19"/>
        <v>587.16961700000002</v>
      </c>
      <c r="AM58" s="99" t="s">
        <v>182</v>
      </c>
    </row>
    <row r="59" spans="1:41" ht="109.5" customHeight="1" x14ac:dyDescent="0.25">
      <c r="A59" s="152"/>
      <c r="B59" s="223"/>
      <c r="C59" s="223"/>
      <c r="D59" s="223"/>
      <c r="E59" s="223"/>
      <c r="F59" s="13" t="s">
        <v>176</v>
      </c>
      <c r="G59" s="13" t="s">
        <v>132</v>
      </c>
      <c r="H59" s="188"/>
      <c r="I59" s="14"/>
      <c r="J59" s="15">
        <v>0</v>
      </c>
      <c r="K59" s="15">
        <v>0</v>
      </c>
      <c r="L59" s="159"/>
      <c r="M59" s="29"/>
      <c r="N59" s="23"/>
      <c r="O59" s="26">
        <v>1</v>
      </c>
      <c r="P59" s="189">
        <v>1</v>
      </c>
      <c r="Q59" s="63">
        <f>4077434183/L1</f>
        <v>4077.4341829999998</v>
      </c>
      <c r="R59" s="29">
        <f>4077434183/L1</f>
        <v>4077.4341829999998</v>
      </c>
      <c r="S59" s="100"/>
      <c r="T59" s="26">
        <v>1</v>
      </c>
      <c r="U59" s="189">
        <v>1</v>
      </c>
      <c r="V59" s="104">
        <f>7605257000/L1</f>
        <v>7605.2569999999996</v>
      </c>
      <c r="W59" s="104">
        <f>3322064106/L1</f>
        <v>3322.0641059999998</v>
      </c>
      <c r="X59" s="101"/>
      <c r="Y59" s="26">
        <v>1</v>
      </c>
      <c r="Z59" s="103">
        <v>0</v>
      </c>
      <c r="AA59" s="104">
        <v>8486</v>
      </c>
      <c r="AB59" s="104"/>
      <c r="AC59" s="101"/>
      <c r="AD59" s="26">
        <v>1</v>
      </c>
      <c r="AE59" s="90"/>
      <c r="AF59" s="104">
        <v>2347</v>
      </c>
      <c r="AG59" s="104"/>
      <c r="AH59" s="100"/>
      <c r="AI59" s="111">
        <f>AD59</f>
        <v>1</v>
      </c>
      <c r="AJ59" s="179">
        <f>(P59+U59+Z59+AE59)/2</f>
        <v>1</v>
      </c>
      <c r="AK59" s="62">
        <f t="shared" si="18"/>
        <v>22515.691182999999</v>
      </c>
      <c r="AL59" s="62">
        <f t="shared" si="19"/>
        <v>7399.4982889999992</v>
      </c>
      <c r="AM59" s="99" t="s">
        <v>182</v>
      </c>
      <c r="AN59" s="89"/>
    </row>
    <row r="60" spans="1:41" s="6" customFormat="1" ht="15.75" x14ac:dyDescent="0.25">
      <c r="A60" s="17"/>
      <c r="B60" s="118" t="s">
        <v>103</v>
      </c>
      <c r="C60" s="118"/>
      <c r="D60" s="118"/>
      <c r="E60" s="118"/>
      <c r="F60" s="39"/>
      <c r="G60" s="39"/>
      <c r="H60" s="39"/>
      <c r="I60" s="40"/>
      <c r="J60" s="41"/>
      <c r="K60" s="41"/>
      <c r="L60" s="160">
        <f>SUM(L54:L59)</f>
        <v>11708.594607000001</v>
      </c>
      <c r="M60" s="160">
        <f>SUM(M54:M59)</f>
        <v>10451.933638999999</v>
      </c>
      <c r="N60" s="51"/>
      <c r="O60" s="41"/>
      <c r="P60" s="41"/>
      <c r="Q60" s="160">
        <f>SUM(Q54:Q59)</f>
        <v>23664.095000000001</v>
      </c>
      <c r="R60" s="160">
        <f>SUM(R54:R59)</f>
        <v>23514.040919000003</v>
      </c>
      <c r="T60" s="41"/>
      <c r="U60" s="41"/>
      <c r="V60" s="160">
        <f>SUM(V54:V59)</f>
        <v>33616.421999999999</v>
      </c>
      <c r="W60" s="42">
        <f>SUM(W54:W59)</f>
        <v>3630.0617859999998</v>
      </c>
      <c r="Y60" s="41"/>
      <c r="Z60" s="41"/>
      <c r="AA60" s="160">
        <f>SUM(AA54:AA59)</f>
        <v>36038</v>
      </c>
      <c r="AB60" s="42">
        <f>SUM(AB54:AB57)</f>
        <v>0</v>
      </c>
      <c r="AC60" s="112"/>
      <c r="AD60" s="41"/>
      <c r="AE60" s="42"/>
      <c r="AF60" s="160">
        <f>SUM(AF54:AF59)</f>
        <v>13103.838196000001</v>
      </c>
      <c r="AG60" s="42">
        <f>SUM(AG54:AG57)</f>
        <v>0</v>
      </c>
      <c r="AI60" s="96"/>
      <c r="AJ60" s="96"/>
      <c r="AK60" s="160">
        <f>SUM(AK54:AK59)</f>
        <v>118130.949803</v>
      </c>
      <c r="AL60" s="160">
        <f>SUM(AL54:AL59)</f>
        <v>37596.036343999993</v>
      </c>
      <c r="AM60" s="98"/>
      <c r="AO60" s="193"/>
    </row>
    <row r="61" spans="1:41" x14ac:dyDescent="0.25">
      <c r="AO61" s="194"/>
    </row>
    <row r="62" spans="1:41" s="5" customFormat="1" ht="15.75" customHeight="1" x14ac:dyDescent="0.2">
      <c r="A62" s="261"/>
      <c r="B62" s="261"/>
      <c r="C62" s="261"/>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c r="AI62" s="261"/>
      <c r="AJ62" s="261"/>
      <c r="AK62" s="261"/>
      <c r="AL62" s="261"/>
      <c r="AM62" s="94"/>
    </row>
    <row r="63" spans="1:41" s="3" customFormat="1" ht="12.75" x14ac:dyDescent="0.2">
      <c r="A63" s="140"/>
      <c r="B63" s="4"/>
      <c r="C63" s="4"/>
      <c r="D63" s="4"/>
      <c r="E63" s="4"/>
      <c r="F63" s="4"/>
      <c r="G63" s="4"/>
      <c r="H63" s="4"/>
      <c r="I63" s="2"/>
      <c r="J63" s="140"/>
      <c r="K63" s="2"/>
      <c r="L63" s="155"/>
      <c r="M63" s="2"/>
      <c r="N63" s="2"/>
      <c r="O63" s="2"/>
      <c r="P63" s="2"/>
      <c r="Q63" s="2"/>
      <c r="R63" s="2"/>
      <c r="T63" s="102"/>
      <c r="U63" s="102"/>
      <c r="V63" s="102"/>
      <c r="W63" s="102"/>
      <c r="Y63" s="102"/>
      <c r="Z63" s="102"/>
      <c r="AA63" s="102"/>
      <c r="AB63" s="102"/>
      <c r="AD63" s="2"/>
      <c r="AE63" s="2"/>
      <c r="AF63" s="102"/>
      <c r="AG63" s="102"/>
      <c r="AI63" s="109"/>
      <c r="AJ63" s="109"/>
      <c r="AK63" s="109"/>
      <c r="AL63" s="110"/>
      <c r="AM63" s="93"/>
    </row>
    <row r="64" spans="1:41" x14ac:dyDescent="0.25">
      <c r="A64" s="142">
        <v>1</v>
      </c>
      <c r="B64" s="122" t="s">
        <v>94</v>
      </c>
      <c r="C64" s="257" t="s">
        <v>113</v>
      </c>
      <c r="D64" s="257"/>
      <c r="E64" s="257"/>
      <c r="F64" s="257"/>
      <c r="G64" s="257"/>
      <c r="H64" s="257"/>
      <c r="I64" s="257"/>
      <c r="J64" s="257"/>
      <c r="K64" s="257"/>
      <c r="L64" s="257"/>
      <c r="M64" s="257"/>
      <c r="N64" s="257"/>
      <c r="O64" s="257"/>
      <c r="P64" s="257"/>
      <c r="Q64" s="257"/>
      <c r="R64" s="257"/>
      <c r="S64" s="257"/>
      <c r="T64" s="257"/>
      <c r="U64" s="257"/>
      <c r="V64" s="257"/>
      <c r="W64" s="257"/>
      <c r="X64" s="257"/>
      <c r="Y64" s="257"/>
      <c r="Z64" s="257"/>
      <c r="AA64" s="257"/>
      <c r="AB64" s="257"/>
      <c r="AC64" s="257"/>
      <c r="AD64" s="257"/>
      <c r="AE64" s="257"/>
      <c r="AF64" s="257"/>
      <c r="AG64" s="257"/>
      <c r="AH64" s="257"/>
      <c r="AI64" s="257"/>
      <c r="AJ64" s="257"/>
      <c r="AK64" s="257"/>
      <c r="AL64" s="257"/>
    </row>
    <row r="65" spans="1:40" x14ac:dyDescent="0.25">
      <c r="A65" s="141">
        <v>8</v>
      </c>
      <c r="B65" s="6" t="s">
        <v>157</v>
      </c>
      <c r="C65" s="257" t="s">
        <v>158</v>
      </c>
      <c r="D65" s="257"/>
      <c r="E65" s="257"/>
      <c r="F65" s="257"/>
      <c r="G65" s="257"/>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row>
    <row r="66" spans="1:40" x14ac:dyDescent="0.25">
      <c r="A66" s="141">
        <v>19</v>
      </c>
      <c r="B66" s="6" t="s">
        <v>95</v>
      </c>
      <c r="C66" s="257" t="s">
        <v>156</v>
      </c>
      <c r="D66" s="257"/>
      <c r="E66" s="257"/>
      <c r="F66" s="257"/>
      <c r="G66" s="257"/>
      <c r="H66" s="257"/>
      <c r="I66" s="257"/>
      <c r="J66" s="257"/>
      <c r="K66" s="257"/>
      <c r="L66" s="257"/>
      <c r="M66" s="257"/>
      <c r="N66" s="257"/>
      <c r="O66" s="257"/>
      <c r="P66" s="257"/>
      <c r="Q66" s="257"/>
      <c r="R66" s="257"/>
      <c r="S66" s="257"/>
      <c r="T66" s="257"/>
      <c r="U66" s="257"/>
      <c r="V66" s="257"/>
      <c r="W66" s="257"/>
      <c r="X66" s="257"/>
      <c r="Y66" s="257"/>
      <c r="Z66" s="257"/>
      <c r="AA66" s="257"/>
      <c r="AB66" s="257"/>
      <c r="AC66" s="257"/>
      <c r="AD66" s="257"/>
      <c r="AE66" s="257"/>
      <c r="AF66" s="257"/>
      <c r="AG66" s="257"/>
      <c r="AH66" s="257"/>
      <c r="AI66" s="257"/>
      <c r="AJ66" s="257"/>
      <c r="AK66" s="257"/>
      <c r="AL66" s="257"/>
    </row>
    <row r="67" spans="1:40" ht="30" x14ac:dyDescent="0.25">
      <c r="A67" s="141">
        <v>3</v>
      </c>
      <c r="B67" s="123" t="s">
        <v>98</v>
      </c>
      <c r="C67" s="257" t="s">
        <v>114</v>
      </c>
      <c r="D67" s="257"/>
      <c r="E67" s="257"/>
      <c r="F67" s="257"/>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257"/>
      <c r="AJ67" s="257"/>
      <c r="AK67" s="257"/>
      <c r="AL67" s="257"/>
    </row>
    <row r="69" spans="1:40" s="11" customFormat="1" ht="27" customHeight="1" x14ac:dyDescent="0.25">
      <c r="A69" s="244" t="s">
        <v>2</v>
      </c>
      <c r="B69" s="219" t="s">
        <v>3</v>
      </c>
      <c r="C69" s="255" t="s">
        <v>87</v>
      </c>
      <c r="D69" s="219" t="s">
        <v>67</v>
      </c>
      <c r="E69" s="255" t="s">
        <v>170</v>
      </c>
      <c r="F69" s="241" t="s">
        <v>101</v>
      </c>
      <c r="G69" s="262" t="s">
        <v>90</v>
      </c>
      <c r="H69" s="214" t="s">
        <v>171</v>
      </c>
      <c r="I69" s="10"/>
      <c r="J69" s="214">
        <v>2020</v>
      </c>
      <c r="K69" s="214"/>
      <c r="L69" s="214"/>
      <c r="M69" s="214"/>
      <c r="N69" s="10"/>
      <c r="O69" s="214">
        <v>2021</v>
      </c>
      <c r="P69" s="214"/>
      <c r="Q69" s="214"/>
      <c r="R69" s="214"/>
      <c r="T69" s="214">
        <v>2022</v>
      </c>
      <c r="U69" s="214"/>
      <c r="V69" s="214"/>
      <c r="W69" s="214"/>
      <c r="Y69" s="214">
        <v>2023</v>
      </c>
      <c r="Z69" s="214"/>
      <c r="AA69" s="214"/>
      <c r="AB69" s="214"/>
      <c r="AD69" s="215">
        <v>2024</v>
      </c>
      <c r="AE69" s="216"/>
      <c r="AF69" s="216"/>
      <c r="AG69" s="216"/>
      <c r="AI69" s="258" t="s">
        <v>102</v>
      </c>
      <c r="AJ69" s="258"/>
      <c r="AK69" s="258"/>
      <c r="AL69" s="258"/>
      <c r="AM69" s="98"/>
    </row>
    <row r="70" spans="1:40" s="11" customFormat="1" ht="16.5" customHeight="1" x14ac:dyDescent="0.25">
      <c r="A70" s="245"/>
      <c r="B70" s="220"/>
      <c r="C70" s="242"/>
      <c r="D70" s="220"/>
      <c r="E70" s="242"/>
      <c r="F70" s="242"/>
      <c r="G70" s="262"/>
      <c r="H70" s="214"/>
      <c r="I70" s="10"/>
      <c r="J70" s="213" t="s">
        <v>4</v>
      </c>
      <c r="K70" s="213"/>
      <c r="L70" s="213" t="s">
        <v>61</v>
      </c>
      <c r="M70" s="213"/>
      <c r="N70" s="10"/>
      <c r="O70" s="213" t="s">
        <v>6</v>
      </c>
      <c r="P70" s="213"/>
      <c r="Q70" s="213" t="s">
        <v>8</v>
      </c>
      <c r="R70" s="213"/>
      <c r="S70" s="10"/>
      <c r="T70" s="213" t="s">
        <v>7</v>
      </c>
      <c r="U70" s="213"/>
      <c r="V70" s="213" t="s">
        <v>8</v>
      </c>
      <c r="W70" s="213"/>
      <c r="Y70" s="213" t="s">
        <v>7</v>
      </c>
      <c r="Z70" s="213"/>
      <c r="AA70" s="213" t="s">
        <v>8</v>
      </c>
      <c r="AB70" s="213"/>
      <c r="AD70" s="213" t="s">
        <v>7</v>
      </c>
      <c r="AE70" s="213"/>
      <c r="AF70" s="213" t="s">
        <v>8</v>
      </c>
      <c r="AG70" s="213"/>
      <c r="AI70" s="217" t="s">
        <v>4</v>
      </c>
      <c r="AJ70" s="217" t="s">
        <v>66</v>
      </c>
      <c r="AK70" s="217" t="s">
        <v>8</v>
      </c>
      <c r="AL70" s="217" t="s">
        <v>5</v>
      </c>
      <c r="AM70" s="98"/>
    </row>
    <row r="71" spans="1:40" s="11" customFormat="1" ht="33" x14ac:dyDescent="0.25">
      <c r="A71" s="246"/>
      <c r="B71" s="221"/>
      <c r="C71" s="256"/>
      <c r="D71" s="221"/>
      <c r="E71" s="256"/>
      <c r="F71" s="243"/>
      <c r="G71" s="262"/>
      <c r="H71" s="214"/>
      <c r="I71" s="12"/>
      <c r="J71" s="153" t="s">
        <v>59</v>
      </c>
      <c r="K71" s="116" t="s">
        <v>60</v>
      </c>
      <c r="L71" s="157" t="s">
        <v>64</v>
      </c>
      <c r="M71" s="116" t="s">
        <v>63</v>
      </c>
      <c r="N71" s="12"/>
      <c r="O71" s="61" t="s">
        <v>59</v>
      </c>
      <c r="P71" s="116" t="s">
        <v>60</v>
      </c>
      <c r="Q71" s="61" t="s">
        <v>64</v>
      </c>
      <c r="R71" s="116" t="s">
        <v>63</v>
      </c>
      <c r="S71" s="10"/>
      <c r="T71" s="61" t="s">
        <v>59</v>
      </c>
      <c r="U71" s="116" t="s">
        <v>60</v>
      </c>
      <c r="V71" s="116" t="s">
        <v>64</v>
      </c>
      <c r="W71" s="116" t="s">
        <v>63</v>
      </c>
      <c r="Y71" s="116" t="s">
        <v>59</v>
      </c>
      <c r="Z71" s="116" t="s">
        <v>60</v>
      </c>
      <c r="AA71" s="116" t="s">
        <v>64</v>
      </c>
      <c r="AB71" s="116" t="s">
        <v>63</v>
      </c>
      <c r="AD71" s="116" t="s">
        <v>59</v>
      </c>
      <c r="AE71" s="116" t="s">
        <v>60</v>
      </c>
      <c r="AF71" s="116" t="s">
        <v>64</v>
      </c>
      <c r="AG71" s="116" t="s">
        <v>63</v>
      </c>
      <c r="AI71" s="218"/>
      <c r="AJ71" s="218"/>
      <c r="AK71" s="218"/>
      <c r="AL71" s="218"/>
      <c r="AM71" s="98"/>
    </row>
    <row r="72" spans="1:40" ht="75.75" customHeight="1" x14ac:dyDescent="0.25">
      <c r="A72" s="250" t="s">
        <v>133</v>
      </c>
      <c r="B72" s="222" t="s">
        <v>134</v>
      </c>
      <c r="C72" s="222" t="s">
        <v>88</v>
      </c>
      <c r="D72" s="222" t="s">
        <v>154</v>
      </c>
      <c r="E72" s="253" t="str">
        <f>C65</f>
        <v xml:space="preserve">Aumentar el acceso a vivienda digna, espacio público y equipamientos de la población vulnerable en suelo urbano y rural </v>
      </c>
      <c r="F72" s="138" t="s">
        <v>167</v>
      </c>
      <c r="G72" s="138" t="s">
        <v>175</v>
      </c>
      <c r="H72" s="259" t="str">
        <f>C67</f>
        <v>Sistema Distrital de cuidado</v>
      </c>
      <c r="I72" s="14"/>
      <c r="J72" s="148">
        <v>17305.599999999999</v>
      </c>
      <c r="K72" s="127">
        <v>17000</v>
      </c>
      <c r="L72" s="158"/>
      <c r="M72" s="128"/>
      <c r="N72" s="129"/>
      <c r="O72" s="127">
        <v>14571.12</v>
      </c>
      <c r="P72" s="127">
        <v>14571.12</v>
      </c>
      <c r="Q72" s="128"/>
      <c r="R72" s="128"/>
      <c r="S72" s="131"/>
      <c r="T72" s="144">
        <v>44428.88</v>
      </c>
      <c r="U72" s="201">
        <v>3680.2550000000001</v>
      </c>
      <c r="V72" s="133"/>
      <c r="W72" s="134"/>
      <c r="X72" s="135"/>
      <c r="Y72" s="144">
        <v>23750</v>
      </c>
      <c r="Z72" s="145">
        <v>0</v>
      </c>
      <c r="AA72" s="133"/>
      <c r="AB72" s="134"/>
      <c r="AC72" s="135"/>
      <c r="AD72" s="195">
        <v>6944.4</v>
      </c>
      <c r="AE72" s="146">
        <v>0</v>
      </c>
      <c r="AF72" s="133"/>
      <c r="AG72" s="134"/>
      <c r="AH72" s="131"/>
      <c r="AI72" s="146">
        <f>J72+O72+T72+Y72+AD72</f>
        <v>107000</v>
      </c>
      <c r="AJ72" s="146">
        <f>K72+P72+U72+Z72+AE72</f>
        <v>35251.375</v>
      </c>
      <c r="AK72" s="137">
        <f>L72+Q72+V72+AA72+AF72</f>
        <v>0</v>
      </c>
      <c r="AL72" s="137">
        <f>M72+R72+W72+AB72+AG72</f>
        <v>0</v>
      </c>
      <c r="AM72" s="99"/>
    </row>
    <row r="73" spans="1:40" ht="43.5" customHeight="1" x14ac:dyDescent="0.25">
      <c r="A73" s="251"/>
      <c r="B73" s="229"/>
      <c r="C73" s="229"/>
      <c r="D73" s="229"/>
      <c r="E73" s="254"/>
      <c r="F73" s="13" t="s">
        <v>174</v>
      </c>
      <c r="G73" s="13" t="s">
        <v>135</v>
      </c>
      <c r="H73" s="260"/>
      <c r="I73" s="14"/>
      <c r="J73" s="147">
        <v>17305.599999999999</v>
      </c>
      <c r="K73" s="107">
        <v>17000</v>
      </c>
      <c r="L73" s="161">
        <f>3602795429/L1</f>
        <v>3602.7954289999998</v>
      </c>
      <c r="M73" s="29">
        <v>3501.5279959999998</v>
      </c>
      <c r="N73" s="23"/>
      <c r="O73" s="107">
        <v>14571.12</v>
      </c>
      <c r="P73" s="107">
        <v>14571.12</v>
      </c>
      <c r="Q73" s="63">
        <v>61555</v>
      </c>
      <c r="R73" s="63">
        <v>56013</v>
      </c>
      <c r="S73" s="100"/>
      <c r="T73" s="90">
        <v>44428.88</v>
      </c>
      <c r="U73" s="197">
        <v>3680.2550000000001</v>
      </c>
      <c r="V73" s="104">
        <f>19097231000/L1</f>
        <v>19097.231</v>
      </c>
      <c r="W73" s="105">
        <v>0</v>
      </c>
      <c r="X73" s="101"/>
      <c r="Y73" s="90">
        <v>23750</v>
      </c>
      <c r="Z73" s="103">
        <v>0</v>
      </c>
      <c r="AA73" s="104">
        <f>11175354970/L1</f>
        <v>11175.35497</v>
      </c>
      <c r="AB73" s="105"/>
      <c r="AC73" s="101"/>
      <c r="AD73" s="196">
        <v>6944.4</v>
      </c>
      <c r="AE73" s="90">
        <v>0</v>
      </c>
      <c r="AF73" s="104">
        <f>2304686059/L1</f>
        <v>2304.6860590000001</v>
      </c>
      <c r="AG73" s="105"/>
      <c r="AH73" s="100"/>
      <c r="AI73" s="90">
        <f>J73+O73+T73+Y73+AD73</f>
        <v>107000</v>
      </c>
      <c r="AJ73" s="90">
        <f>K73+P73+U73+Z73+AE73</f>
        <v>35251.375</v>
      </c>
      <c r="AK73" s="62">
        <f t="shared" ref="AK73:AK74" si="21">L73+Q73+V73+AA73+AF73</f>
        <v>97735.06745799999</v>
      </c>
      <c r="AL73" s="62">
        <f t="shared" ref="AL73:AL74" si="22">M73+R73+W73+AB73+AG73</f>
        <v>59514.527995999997</v>
      </c>
      <c r="AM73" s="99" t="s">
        <v>182</v>
      </c>
      <c r="AN73" s="206"/>
    </row>
    <row r="74" spans="1:40" ht="30" x14ac:dyDescent="0.25">
      <c r="A74" s="251"/>
      <c r="B74" s="229"/>
      <c r="C74" s="229"/>
      <c r="D74" s="229"/>
      <c r="E74" s="254"/>
      <c r="F74" s="13" t="s">
        <v>136</v>
      </c>
      <c r="G74" s="13" t="s">
        <v>135</v>
      </c>
      <c r="H74" s="260"/>
      <c r="I74" s="14"/>
      <c r="J74" s="26">
        <v>1</v>
      </c>
      <c r="K74" s="149">
        <v>0.96689999999999998</v>
      </c>
      <c r="L74" s="159">
        <f>1600000000/L1</f>
        <v>1600</v>
      </c>
      <c r="M74" s="29">
        <v>1435.632384</v>
      </c>
      <c r="N74" s="23"/>
      <c r="O74" s="26">
        <v>1</v>
      </c>
      <c r="P74" s="149">
        <v>0.97250000000000003</v>
      </c>
      <c r="Q74" s="63">
        <v>5840</v>
      </c>
      <c r="R74" s="63">
        <v>5444</v>
      </c>
      <c r="S74" s="100"/>
      <c r="T74" s="139">
        <v>1</v>
      </c>
      <c r="U74" s="205">
        <v>1</v>
      </c>
      <c r="V74" s="104">
        <f>4999999000/L1</f>
        <v>4999.9989999999998</v>
      </c>
      <c r="W74" s="105">
        <f>1696264887/L1</f>
        <v>1696.264887</v>
      </c>
      <c r="X74" s="101"/>
      <c r="Y74" s="139">
        <v>1</v>
      </c>
      <c r="Z74" s="124">
        <v>0</v>
      </c>
      <c r="AA74" s="104">
        <v>4000</v>
      </c>
      <c r="AB74" s="105"/>
      <c r="AC74" s="101"/>
      <c r="AD74" s="111">
        <v>1</v>
      </c>
      <c r="AE74" s="111">
        <v>0</v>
      </c>
      <c r="AF74" s="104">
        <f>1500000000/L1</f>
        <v>1500</v>
      </c>
      <c r="AG74" s="105"/>
      <c r="AH74" s="100"/>
      <c r="AI74" s="111">
        <f>AD74</f>
        <v>1</v>
      </c>
      <c r="AJ74" s="149">
        <f>(K74+P74+U74+Z74+AE74)/3</f>
        <v>0.9798</v>
      </c>
      <c r="AK74" s="62">
        <f t="shared" si="21"/>
        <v>17939.999</v>
      </c>
      <c r="AL74" s="62">
        <f t="shared" si="22"/>
        <v>8575.8972709999998</v>
      </c>
      <c r="AM74" s="99" t="s">
        <v>182</v>
      </c>
    </row>
    <row r="75" spans="1:40" s="6" customFormat="1" ht="15.75" x14ac:dyDescent="0.25">
      <c r="A75" s="17"/>
      <c r="B75" s="118" t="s">
        <v>103</v>
      </c>
      <c r="C75" s="118"/>
      <c r="D75" s="118"/>
      <c r="E75" s="118"/>
      <c r="F75" s="39"/>
      <c r="G75" s="39"/>
      <c r="H75" s="39"/>
      <c r="I75" s="40"/>
      <c r="J75" s="41"/>
      <c r="K75" s="41"/>
      <c r="L75" s="160">
        <f>SUM(L72:L74)</f>
        <v>5202.7954289999998</v>
      </c>
      <c r="M75" s="42">
        <f>SUM(M72:M74)</f>
        <v>4937.1603799999993</v>
      </c>
      <c r="N75" s="51"/>
      <c r="O75" s="41"/>
      <c r="P75" s="41"/>
      <c r="Q75" s="42">
        <f>SUM(Q72:Q74)</f>
        <v>67395</v>
      </c>
      <c r="R75" s="42">
        <f>SUM(R72:R74)</f>
        <v>61457</v>
      </c>
      <c r="T75" s="41"/>
      <c r="U75" s="41"/>
      <c r="V75" s="42">
        <f>SUM(V72:V74)</f>
        <v>24097.23</v>
      </c>
      <c r="W75" s="42">
        <f>SUM(W72:W74)</f>
        <v>1696.264887</v>
      </c>
      <c r="Y75" s="41"/>
      <c r="Z75" s="41"/>
      <c r="AA75" s="42">
        <f>SUM(AA72:AA74)</f>
        <v>15175.35497</v>
      </c>
      <c r="AB75" s="42">
        <f>SUM(AB72:AB74)</f>
        <v>0</v>
      </c>
      <c r="AC75" s="112"/>
      <c r="AD75" s="41"/>
      <c r="AE75" s="42"/>
      <c r="AF75" s="42">
        <f>SUM(AF72:AF74)</f>
        <v>3804.6860590000001</v>
      </c>
      <c r="AG75" s="42">
        <f>SUM(AG72:AG74)</f>
        <v>0</v>
      </c>
      <c r="AI75" s="96"/>
      <c r="AJ75" s="96"/>
      <c r="AK75" s="64">
        <f>SUM(AK72:AK74)</f>
        <v>115675.06645799999</v>
      </c>
      <c r="AL75" s="64">
        <f>SUM(AL72:AL74)</f>
        <v>68090.425266999999</v>
      </c>
      <c r="AM75" s="98"/>
    </row>
    <row r="77" spans="1:40" s="5" customFormat="1" ht="15.75" customHeight="1" x14ac:dyDescent="0.2">
      <c r="A77" s="261"/>
      <c r="B77" s="261"/>
      <c r="C77" s="261"/>
      <c r="D77" s="261"/>
      <c r="E77" s="261"/>
      <c r="F77" s="261"/>
      <c r="G77" s="261"/>
      <c r="H77" s="261"/>
      <c r="I77" s="261"/>
      <c r="J77" s="261"/>
      <c r="K77" s="261"/>
      <c r="L77" s="261"/>
      <c r="M77" s="261"/>
      <c r="N77" s="261"/>
      <c r="O77" s="261"/>
      <c r="P77" s="261"/>
      <c r="Q77" s="261"/>
      <c r="R77" s="261"/>
      <c r="S77" s="261"/>
      <c r="T77" s="261"/>
      <c r="U77" s="261"/>
      <c r="V77" s="261"/>
      <c r="W77" s="261"/>
      <c r="X77" s="261"/>
      <c r="Y77" s="261"/>
      <c r="Z77" s="261"/>
      <c r="AA77" s="261"/>
      <c r="AB77" s="261"/>
      <c r="AC77" s="261"/>
      <c r="AD77" s="261"/>
      <c r="AE77" s="261"/>
      <c r="AF77" s="261"/>
      <c r="AG77" s="261"/>
      <c r="AH77" s="261"/>
      <c r="AI77" s="261"/>
      <c r="AJ77" s="261"/>
      <c r="AK77" s="261"/>
      <c r="AL77" s="261"/>
      <c r="AM77" s="94"/>
    </row>
    <row r="78" spans="1:40" s="3" customFormat="1" ht="12.75" x14ac:dyDescent="0.2">
      <c r="A78" s="140"/>
      <c r="B78" s="4"/>
      <c r="C78" s="4"/>
      <c r="D78" s="4"/>
      <c r="E78" s="4"/>
      <c r="F78" s="4"/>
      <c r="G78" s="4"/>
      <c r="H78" s="4"/>
      <c r="I78" s="2"/>
      <c r="J78" s="140"/>
      <c r="K78" s="2"/>
      <c r="L78" s="155"/>
      <c r="M78" s="2"/>
      <c r="N78" s="2"/>
      <c r="O78" s="2"/>
      <c r="P78" s="2"/>
      <c r="Q78" s="2"/>
      <c r="R78" s="2"/>
      <c r="T78" s="102"/>
      <c r="U78" s="102"/>
      <c r="V78" s="102"/>
      <c r="W78" s="102"/>
      <c r="Y78" s="102"/>
      <c r="Z78" s="102"/>
      <c r="AA78" s="102"/>
      <c r="AB78" s="102"/>
      <c r="AD78" s="2"/>
      <c r="AE78" s="2"/>
      <c r="AF78" s="102"/>
      <c r="AG78" s="102"/>
      <c r="AI78" s="109"/>
      <c r="AJ78" s="109"/>
      <c r="AK78" s="109"/>
      <c r="AL78" s="110"/>
      <c r="AM78" s="93"/>
    </row>
    <row r="79" spans="1:40" x14ac:dyDescent="0.25">
      <c r="A79" s="142">
        <v>5</v>
      </c>
      <c r="B79" s="122" t="s">
        <v>94</v>
      </c>
      <c r="C79" s="257" t="s">
        <v>166</v>
      </c>
      <c r="D79" s="257"/>
      <c r="E79" s="257"/>
      <c r="F79" s="257"/>
      <c r="G79" s="257"/>
      <c r="H79" s="257"/>
      <c r="I79" s="257"/>
      <c r="J79" s="257"/>
      <c r="K79" s="257"/>
      <c r="L79" s="257"/>
      <c r="M79" s="257"/>
      <c r="N79" s="257"/>
      <c r="O79" s="257"/>
      <c r="P79" s="257"/>
      <c r="Q79" s="257"/>
      <c r="R79" s="257"/>
      <c r="S79" s="257"/>
      <c r="T79" s="257"/>
      <c r="U79" s="257"/>
      <c r="V79" s="257"/>
      <c r="W79" s="257"/>
      <c r="X79" s="257"/>
      <c r="Y79" s="257"/>
      <c r="Z79" s="257"/>
      <c r="AA79" s="257"/>
      <c r="AB79" s="257"/>
      <c r="AC79" s="257"/>
      <c r="AD79" s="257"/>
      <c r="AE79" s="257"/>
      <c r="AF79" s="257"/>
      <c r="AG79" s="257"/>
      <c r="AH79" s="257"/>
      <c r="AI79" s="257"/>
      <c r="AJ79" s="257"/>
      <c r="AK79" s="257"/>
      <c r="AL79" s="257"/>
    </row>
    <row r="80" spans="1:40" x14ac:dyDescent="0.25">
      <c r="A80" s="141">
        <v>30</v>
      </c>
      <c r="B80" s="6" t="s">
        <v>157</v>
      </c>
      <c r="C80" s="257" t="s">
        <v>181</v>
      </c>
      <c r="D80" s="257"/>
      <c r="E80" s="257"/>
      <c r="F80" s="257"/>
      <c r="G80" s="257"/>
      <c r="H80" s="257"/>
      <c r="I80" s="257"/>
      <c r="J80" s="257"/>
      <c r="K80" s="257"/>
      <c r="L80" s="257"/>
      <c r="M80" s="257"/>
      <c r="N80" s="257"/>
      <c r="O80" s="257"/>
      <c r="P80" s="257"/>
      <c r="Q80" s="257"/>
      <c r="R80" s="257"/>
      <c r="S80" s="257"/>
      <c r="T80" s="257"/>
      <c r="U80" s="257"/>
      <c r="V80" s="257"/>
      <c r="W80" s="257"/>
      <c r="X80" s="257"/>
      <c r="Y80" s="257"/>
      <c r="Z80" s="257"/>
      <c r="AA80" s="257"/>
      <c r="AB80" s="257"/>
      <c r="AC80" s="257"/>
      <c r="AD80" s="257"/>
      <c r="AE80" s="257"/>
      <c r="AF80" s="257"/>
      <c r="AG80" s="257"/>
      <c r="AH80" s="257"/>
      <c r="AI80" s="257"/>
      <c r="AJ80" s="257"/>
      <c r="AK80" s="257"/>
      <c r="AL80" s="257"/>
    </row>
    <row r="81" spans="1:39" x14ac:dyDescent="0.25">
      <c r="A81" s="141">
        <v>56</v>
      </c>
      <c r="B81" s="6" t="s">
        <v>95</v>
      </c>
      <c r="C81" s="257" t="s">
        <v>137</v>
      </c>
      <c r="D81" s="257"/>
      <c r="E81" s="257"/>
      <c r="F81" s="257"/>
      <c r="G81" s="257"/>
      <c r="H81" s="257"/>
      <c r="I81" s="257"/>
      <c r="J81" s="257"/>
      <c r="K81" s="257"/>
      <c r="L81" s="257"/>
      <c r="M81" s="257"/>
      <c r="N81" s="257"/>
      <c r="O81" s="257"/>
      <c r="P81" s="257"/>
      <c r="Q81" s="257"/>
      <c r="R81" s="257"/>
      <c r="S81" s="257"/>
      <c r="T81" s="257"/>
      <c r="U81" s="257"/>
      <c r="V81" s="257"/>
      <c r="W81" s="257"/>
      <c r="X81" s="257"/>
      <c r="Y81" s="257"/>
      <c r="Z81" s="257"/>
      <c r="AA81" s="257"/>
      <c r="AB81" s="257"/>
      <c r="AC81" s="257"/>
      <c r="AD81" s="257"/>
      <c r="AE81" s="257"/>
      <c r="AF81" s="257"/>
      <c r="AG81" s="257"/>
      <c r="AH81" s="257"/>
      <c r="AI81" s="257"/>
      <c r="AJ81" s="257"/>
      <c r="AK81" s="257"/>
      <c r="AL81" s="257"/>
    </row>
    <row r="82" spans="1:39" ht="30" x14ac:dyDescent="0.25">
      <c r="A82" s="141"/>
      <c r="B82" s="123" t="s">
        <v>98</v>
      </c>
      <c r="C82" s="257" t="s">
        <v>138</v>
      </c>
      <c r="D82" s="257"/>
      <c r="E82" s="257"/>
      <c r="F82" s="257"/>
      <c r="G82" s="257"/>
      <c r="H82" s="257"/>
      <c r="I82" s="257"/>
      <c r="J82" s="257"/>
      <c r="K82" s="257"/>
      <c r="L82" s="257"/>
      <c r="M82" s="257"/>
      <c r="N82" s="257"/>
      <c r="O82" s="257"/>
      <c r="P82" s="257"/>
      <c r="Q82" s="257"/>
      <c r="R82" s="257"/>
      <c r="S82" s="257"/>
      <c r="T82" s="257"/>
      <c r="U82" s="257"/>
      <c r="V82" s="257"/>
      <c r="W82" s="257"/>
      <c r="X82" s="257"/>
      <c r="Y82" s="257"/>
      <c r="Z82" s="257"/>
      <c r="AA82" s="257"/>
      <c r="AB82" s="257"/>
      <c r="AC82" s="257"/>
      <c r="AD82" s="257"/>
      <c r="AE82" s="257"/>
      <c r="AF82" s="257"/>
      <c r="AG82" s="257"/>
      <c r="AH82" s="257"/>
      <c r="AI82" s="257"/>
      <c r="AJ82" s="257"/>
      <c r="AK82" s="257"/>
      <c r="AL82" s="257"/>
    </row>
    <row r="84" spans="1:39" s="11" customFormat="1" ht="27" customHeight="1" x14ac:dyDescent="0.25">
      <c r="A84" s="244" t="s">
        <v>2</v>
      </c>
      <c r="B84" s="219" t="s">
        <v>3</v>
      </c>
      <c r="C84" s="255" t="s">
        <v>87</v>
      </c>
      <c r="D84" s="219" t="s">
        <v>67</v>
      </c>
      <c r="E84" s="255" t="s">
        <v>170</v>
      </c>
      <c r="F84" s="241" t="s">
        <v>101</v>
      </c>
      <c r="G84" s="262" t="s">
        <v>90</v>
      </c>
      <c r="H84" s="214" t="s">
        <v>171</v>
      </c>
      <c r="I84" s="10"/>
      <c r="J84" s="214">
        <v>2020</v>
      </c>
      <c r="K84" s="214"/>
      <c r="L84" s="214"/>
      <c r="M84" s="214"/>
      <c r="N84" s="10"/>
      <c r="O84" s="214">
        <v>2021</v>
      </c>
      <c r="P84" s="214"/>
      <c r="Q84" s="214"/>
      <c r="R84" s="214"/>
      <c r="T84" s="214">
        <v>2022</v>
      </c>
      <c r="U84" s="214"/>
      <c r="V84" s="214"/>
      <c r="W84" s="214"/>
      <c r="Y84" s="214">
        <v>2023</v>
      </c>
      <c r="Z84" s="214"/>
      <c r="AA84" s="214"/>
      <c r="AB84" s="214"/>
      <c r="AD84" s="215">
        <v>2024</v>
      </c>
      <c r="AE84" s="216"/>
      <c r="AF84" s="216"/>
      <c r="AG84" s="216"/>
      <c r="AI84" s="258" t="s">
        <v>102</v>
      </c>
      <c r="AJ84" s="258"/>
      <c r="AK84" s="258"/>
      <c r="AL84" s="258"/>
      <c r="AM84" s="98"/>
    </row>
    <row r="85" spans="1:39" s="11" customFormat="1" ht="16.5" customHeight="1" x14ac:dyDescent="0.25">
      <c r="A85" s="245"/>
      <c r="B85" s="220"/>
      <c r="C85" s="242"/>
      <c r="D85" s="220"/>
      <c r="E85" s="242"/>
      <c r="F85" s="242"/>
      <c r="G85" s="262"/>
      <c r="H85" s="214"/>
      <c r="I85" s="10"/>
      <c r="J85" s="213" t="s">
        <v>4</v>
      </c>
      <c r="K85" s="213"/>
      <c r="L85" s="213" t="s">
        <v>61</v>
      </c>
      <c r="M85" s="213"/>
      <c r="N85" s="10"/>
      <c r="O85" s="213" t="s">
        <v>6</v>
      </c>
      <c r="P85" s="213"/>
      <c r="Q85" s="213" t="s">
        <v>8</v>
      </c>
      <c r="R85" s="213"/>
      <c r="S85" s="10"/>
      <c r="T85" s="213" t="s">
        <v>7</v>
      </c>
      <c r="U85" s="213"/>
      <c r="V85" s="213" t="s">
        <v>8</v>
      </c>
      <c r="W85" s="213"/>
      <c r="Y85" s="213" t="s">
        <v>7</v>
      </c>
      <c r="Z85" s="213"/>
      <c r="AA85" s="213" t="s">
        <v>8</v>
      </c>
      <c r="AB85" s="213"/>
      <c r="AD85" s="213" t="s">
        <v>7</v>
      </c>
      <c r="AE85" s="213"/>
      <c r="AF85" s="213" t="s">
        <v>8</v>
      </c>
      <c r="AG85" s="213"/>
      <c r="AI85" s="217" t="s">
        <v>4</v>
      </c>
      <c r="AJ85" s="217" t="s">
        <v>66</v>
      </c>
      <c r="AK85" s="217" t="s">
        <v>8</v>
      </c>
      <c r="AL85" s="217" t="s">
        <v>5</v>
      </c>
      <c r="AM85" s="98"/>
    </row>
    <row r="86" spans="1:39" s="11" customFormat="1" ht="33" x14ac:dyDescent="0.25">
      <c r="A86" s="246"/>
      <c r="B86" s="221"/>
      <c r="C86" s="256"/>
      <c r="D86" s="221"/>
      <c r="E86" s="256"/>
      <c r="F86" s="243"/>
      <c r="G86" s="262"/>
      <c r="H86" s="214"/>
      <c r="I86" s="12"/>
      <c r="J86" s="153" t="s">
        <v>59</v>
      </c>
      <c r="K86" s="116" t="s">
        <v>60</v>
      </c>
      <c r="L86" s="157" t="s">
        <v>64</v>
      </c>
      <c r="M86" s="116" t="s">
        <v>63</v>
      </c>
      <c r="N86" s="12"/>
      <c r="O86" s="61" t="s">
        <v>59</v>
      </c>
      <c r="P86" s="116" t="s">
        <v>60</v>
      </c>
      <c r="Q86" s="61" t="s">
        <v>62</v>
      </c>
      <c r="R86" s="116" t="s">
        <v>63</v>
      </c>
      <c r="S86" s="10"/>
      <c r="T86" s="61" t="s">
        <v>59</v>
      </c>
      <c r="U86" s="116" t="s">
        <v>60</v>
      </c>
      <c r="V86" s="116" t="s">
        <v>62</v>
      </c>
      <c r="W86" s="116" t="s">
        <v>63</v>
      </c>
      <c r="Y86" s="116" t="s">
        <v>59</v>
      </c>
      <c r="Z86" s="116" t="s">
        <v>60</v>
      </c>
      <c r="AA86" s="116" t="s">
        <v>64</v>
      </c>
      <c r="AB86" s="116" t="s">
        <v>63</v>
      </c>
      <c r="AD86" s="116" t="s">
        <v>59</v>
      </c>
      <c r="AE86" s="116" t="s">
        <v>60</v>
      </c>
      <c r="AF86" s="116" t="s">
        <v>64</v>
      </c>
      <c r="AG86" s="116" t="s">
        <v>63</v>
      </c>
      <c r="AI86" s="218"/>
      <c r="AJ86" s="218"/>
      <c r="AK86" s="218"/>
      <c r="AL86" s="218"/>
      <c r="AM86" s="98"/>
    </row>
    <row r="87" spans="1:39" ht="45" x14ac:dyDescent="0.25">
      <c r="A87" s="250" t="s">
        <v>139</v>
      </c>
      <c r="B87" s="222" t="s">
        <v>140</v>
      </c>
      <c r="C87" s="222" t="s">
        <v>141</v>
      </c>
      <c r="D87" s="222" t="s">
        <v>155</v>
      </c>
      <c r="E87" s="253" t="str">
        <f>C80</f>
        <v xml:space="preserve"> </v>
      </c>
      <c r="F87" s="138" t="s">
        <v>168</v>
      </c>
      <c r="G87" s="138" t="s">
        <v>142</v>
      </c>
      <c r="H87" s="259" t="str">
        <f>C82</f>
        <v>Gestión pública efectiva, abierta y transparente</v>
      </c>
      <c r="I87" s="14"/>
      <c r="J87" s="176">
        <v>0.1</v>
      </c>
      <c r="K87" s="177">
        <v>0.1</v>
      </c>
      <c r="L87" s="162"/>
      <c r="M87" s="128"/>
      <c r="N87" s="129"/>
      <c r="O87" s="176">
        <v>0.25</v>
      </c>
      <c r="P87" s="208">
        <v>0.25</v>
      </c>
      <c r="Q87" s="128"/>
      <c r="R87" s="128"/>
      <c r="S87" s="131"/>
      <c r="T87" s="180">
        <v>0.3</v>
      </c>
      <c r="U87" s="210">
        <v>1.78E-2</v>
      </c>
      <c r="V87" s="133"/>
      <c r="W87" s="134"/>
      <c r="X87" s="135"/>
      <c r="Y87" s="180">
        <v>0.25</v>
      </c>
      <c r="Z87" s="132">
        <v>0</v>
      </c>
      <c r="AA87" s="133"/>
      <c r="AB87" s="134"/>
      <c r="AC87" s="135"/>
      <c r="AD87" s="182">
        <v>0.1</v>
      </c>
      <c r="AE87" s="180">
        <v>0</v>
      </c>
      <c r="AF87" s="133"/>
      <c r="AG87" s="134"/>
      <c r="AH87" s="131"/>
      <c r="AI87" s="182">
        <f>J87+O87+T87+Y87+AD87</f>
        <v>0.99999999999999989</v>
      </c>
      <c r="AJ87" s="177">
        <f t="shared" ref="AJ87:AJ89" si="23">K87+P87+U87+Z87+AE87</f>
        <v>0.36779999999999996</v>
      </c>
      <c r="AK87" s="137">
        <f t="shared" ref="AK87:AK88" si="24">L87+Q87+V87+AA87+AF87</f>
        <v>0</v>
      </c>
      <c r="AL87" s="137">
        <f t="shared" ref="AL87:AL88" si="25">M87+R87+W87+AB87+AG87</f>
        <v>0</v>
      </c>
      <c r="AM87" s="99"/>
    </row>
    <row r="88" spans="1:39" ht="45" x14ac:dyDescent="0.25">
      <c r="A88" s="251"/>
      <c r="B88" s="229"/>
      <c r="C88" s="229"/>
      <c r="D88" s="229"/>
      <c r="E88" s="254"/>
      <c r="F88" s="150" t="s">
        <v>143</v>
      </c>
      <c r="G88" s="150" t="s">
        <v>144</v>
      </c>
      <c r="H88" s="260"/>
      <c r="I88" s="14"/>
      <c r="J88" s="178">
        <v>0.1</v>
      </c>
      <c r="K88" s="179">
        <v>0.1</v>
      </c>
      <c r="L88" s="159">
        <v>3048.153773</v>
      </c>
      <c r="M88" s="29">
        <v>2948.422376</v>
      </c>
      <c r="N88" s="23"/>
      <c r="O88" s="178">
        <v>0.25</v>
      </c>
      <c r="P88" s="209">
        <v>0.25</v>
      </c>
      <c r="Q88" s="63">
        <f>3679264491/L1</f>
        <v>3679.2644909999999</v>
      </c>
      <c r="R88" s="29">
        <f>3664659327/L1</f>
        <v>3664.6593269999998</v>
      </c>
      <c r="S88" s="100"/>
      <c r="T88" s="181">
        <v>0.3</v>
      </c>
      <c r="U88" s="202">
        <v>5.0000000000000001E-3</v>
      </c>
      <c r="V88" s="63">
        <f>4376586000/L1</f>
        <v>4376.5860000000002</v>
      </c>
      <c r="W88" s="105">
        <f>2395619067/L1</f>
        <v>2395.6190670000001</v>
      </c>
      <c r="X88" s="101"/>
      <c r="Y88" s="181">
        <v>0.25</v>
      </c>
      <c r="Z88" s="124">
        <v>0</v>
      </c>
      <c r="AA88" s="63">
        <f xml:space="preserve"> 7805715000 /L1</f>
        <v>7805.7150000000001</v>
      </c>
      <c r="AB88" s="105"/>
      <c r="AC88" s="101"/>
      <c r="AD88" s="183">
        <v>0.1</v>
      </c>
      <c r="AE88" s="185">
        <v>0</v>
      </c>
      <c r="AF88" s="63">
        <f>7091482781/L1</f>
        <v>7091.4827809999997</v>
      </c>
      <c r="AG88" s="105"/>
      <c r="AH88" s="100"/>
      <c r="AI88" s="183">
        <f>J88+O88+T88+Y88+AD88</f>
        <v>0.99999999999999989</v>
      </c>
      <c r="AJ88" s="186">
        <f t="shared" si="23"/>
        <v>0.35499999999999998</v>
      </c>
      <c r="AK88" s="62">
        <f t="shared" si="24"/>
        <v>26001.202044999998</v>
      </c>
      <c r="AL88" s="62">
        <f t="shared" si="25"/>
        <v>9008.7007699999995</v>
      </c>
      <c r="AM88" s="99"/>
    </row>
    <row r="89" spans="1:39" ht="45" x14ac:dyDescent="0.25">
      <c r="A89" s="251"/>
      <c r="B89" s="229"/>
      <c r="C89" s="229"/>
      <c r="D89" s="229"/>
      <c r="E89" s="254"/>
      <c r="F89" s="150" t="s">
        <v>145</v>
      </c>
      <c r="G89" s="150" t="s">
        <v>146</v>
      </c>
      <c r="H89" s="260"/>
      <c r="I89" s="14"/>
      <c r="J89" s="178">
        <v>0.1</v>
      </c>
      <c r="K89" s="179">
        <v>0.1</v>
      </c>
      <c r="L89" s="159">
        <v>1331.746357</v>
      </c>
      <c r="M89" s="29">
        <v>1314.039006</v>
      </c>
      <c r="N89" s="23"/>
      <c r="O89" s="178">
        <v>0.25</v>
      </c>
      <c r="P89" s="209">
        <v>0.25</v>
      </c>
      <c r="Q89" s="63">
        <f>2926616487/L1</f>
        <v>2926.6164869999998</v>
      </c>
      <c r="R89" s="29">
        <f>2923453407/L1</f>
        <v>2923.453407</v>
      </c>
      <c r="S89" s="100"/>
      <c r="T89" s="181">
        <v>0.3</v>
      </c>
      <c r="U89" s="202">
        <v>5.0000000000000001E-3</v>
      </c>
      <c r="V89" s="63">
        <f>3336939000/L1</f>
        <v>3336.9389999999999</v>
      </c>
      <c r="W89" s="105">
        <f>221918554/L1</f>
        <v>221.918554</v>
      </c>
      <c r="X89" s="101"/>
      <c r="Y89" s="181">
        <v>0.25</v>
      </c>
      <c r="Z89" s="124">
        <v>0</v>
      </c>
      <c r="AA89" s="63">
        <f>3377143000/L1</f>
        <v>3377.143</v>
      </c>
      <c r="AB89" s="105"/>
      <c r="AC89" s="101"/>
      <c r="AD89" s="183">
        <v>0.1</v>
      </c>
      <c r="AE89" s="185">
        <v>0</v>
      </c>
      <c r="AF89" s="63">
        <f>2564850351/L1</f>
        <v>2564.850351</v>
      </c>
      <c r="AG89" s="105"/>
      <c r="AH89" s="100"/>
      <c r="AI89" s="183">
        <f t="shared" ref="AI89" si="26">J89+O89+T89+Y89+AD89</f>
        <v>0.99999999999999989</v>
      </c>
      <c r="AJ89" s="186">
        <f t="shared" si="23"/>
        <v>0.35499999999999998</v>
      </c>
      <c r="AK89" s="62">
        <f t="shared" ref="AK89:AK91" si="27">L89+Q89+V89+AA89+AF89</f>
        <v>13537.295194999999</v>
      </c>
      <c r="AL89" s="62">
        <f t="shared" ref="AL89:AL91" si="28">M89+R89+W89+AB89+AG89</f>
        <v>4459.4109669999998</v>
      </c>
      <c r="AM89" s="99"/>
    </row>
    <row r="90" spans="1:39" ht="75" x14ac:dyDescent="0.25">
      <c r="A90" s="251"/>
      <c r="B90" s="229"/>
      <c r="C90" s="229"/>
      <c r="D90" s="229"/>
      <c r="E90" s="254"/>
      <c r="F90" s="150" t="s">
        <v>147</v>
      </c>
      <c r="G90" s="150" t="s">
        <v>148</v>
      </c>
      <c r="H90" s="260"/>
      <c r="I90" s="14"/>
      <c r="J90" s="165">
        <v>1.5</v>
      </c>
      <c r="K90" s="166">
        <v>1.5</v>
      </c>
      <c r="L90" s="159">
        <v>147.96897799999999</v>
      </c>
      <c r="M90" s="29">
        <v>147.96897799999999</v>
      </c>
      <c r="N90" s="23"/>
      <c r="O90" s="169">
        <v>3.75</v>
      </c>
      <c r="P90" s="169">
        <v>3.75</v>
      </c>
      <c r="Q90" s="63">
        <f>226913453/L1</f>
        <v>226.913453</v>
      </c>
      <c r="R90" s="29">
        <f>226511474/L1</f>
        <v>226.51147399999999</v>
      </c>
      <c r="S90" s="100"/>
      <c r="T90" s="169">
        <v>4.5</v>
      </c>
      <c r="U90" s="169">
        <v>0.37</v>
      </c>
      <c r="V90" s="63">
        <f>227336000/L1</f>
        <v>227.33600000000001</v>
      </c>
      <c r="W90" s="105">
        <f>198432384/L1</f>
        <v>198.43238400000001</v>
      </c>
      <c r="X90" s="101"/>
      <c r="Y90" s="169">
        <v>3.75</v>
      </c>
      <c r="Z90" s="169">
        <v>0</v>
      </c>
      <c r="AA90" s="63">
        <f xml:space="preserve"> 342857000/L1</f>
        <v>342.85700000000003</v>
      </c>
      <c r="AB90" s="105"/>
      <c r="AC90" s="101"/>
      <c r="AD90" s="169">
        <v>1.5</v>
      </c>
      <c r="AE90" s="169">
        <v>0</v>
      </c>
      <c r="AF90" s="63">
        <f xml:space="preserve"> 200000000/L1</f>
        <v>200</v>
      </c>
      <c r="AG90" s="105"/>
      <c r="AH90" s="100"/>
      <c r="AI90" s="170">
        <f t="shared" ref="AI90:AI91" si="29">J90+O90+T90+Y90+AD90</f>
        <v>15</v>
      </c>
      <c r="AJ90" s="190">
        <f>K90+P90+U90+Z90+AE90</f>
        <v>5.62</v>
      </c>
      <c r="AK90" s="62">
        <f t="shared" si="27"/>
        <v>1145.075431</v>
      </c>
      <c r="AL90" s="62">
        <f t="shared" si="28"/>
        <v>572.91283599999997</v>
      </c>
      <c r="AM90" s="99"/>
    </row>
    <row r="91" spans="1:39" ht="60" x14ac:dyDescent="0.25">
      <c r="A91" s="251"/>
      <c r="B91" s="229"/>
      <c r="C91" s="229"/>
      <c r="D91" s="229"/>
      <c r="E91" s="254"/>
      <c r="F91" s="150" t="s">
        <v>169</v>
      </c>
      <c r="G91" s="150" t="s">
        <v>150</v>
      </c>
      <c r="H91" s="260"/>
      <c r="I91" s="14"/>
      <c r="J91" s="26">
        <v>0</v>
      </c>
      <c r="K91" s="175">
        <v>0</v>
      </c>
      <c r="L91" s="159">
        <v>0</v>
      </c>
      <c r="M91" s="29">
        <v>0</v>
      </c>
      <c r="N91" s="23"/>
      <c r="O91" s="26">
        <v>0.35</v>
      </c>
      <c r="P91" s="184">
        <v>0.35</v>
      </c>
      <c r="Q91" s="174">
        <f>322206012/L1</f>
        <v>322.20601199999999</v>
      </c>
      <c r="R91" s="29">
        <f>322206012/L1</f>
        <v>322.20601199999999</v>
      </c>
      <c r="S91" s="100"/>
      <c r="T91" s="139">
        <v>0.3</v>
      </c>
      <c r="U91" s="200">
        <v>2.4E-2</v>
      </c>
      <c r="V91" s="63">
        <f>590569000/L1</f>
        <v>590.56899999999996</v>
      </c>
      <c r="W91" s="105">
        <f>532772158/L1</f>
        <v>532.77215799999999</v>
      </c>
      <c r="X91" s="101"/>
      <c r="Y91" s="139">
        <v>0.25</v>
      </c>
      <c r="Z91" s="124">
        <v>0</v>
      </c>
      <c r="AA91" s="63">
        <f>1005714000/L1</f>
        <v>1005.7140000000001</v>
      </c>
      <c r="AB91" s="105"/>
      <c r="AC91" s="101"/>
      <c r="AD91" s="111">
        <v>0.1</v>
      </c>
      <c r="AE91" s="111">
        <v>0</v>
      </c>
      <c r="AF91" s="63">
        <f xml:space="preserve"> 320000000/L1</f>
        <v>320</v>
      </c>
      <c r="AG91" s="105"/>
      <c r="AH91" s="100"/>
      <c r="AI91" s="111">
        <f t="shared" si="29"/>
        <v>0.99999999999999989</v>
      </c>
      <c r="AJ91" s="149">
        <f t="shared" ref="AJ91" si="30">K91+P91+U91+Z91+AE91</f>
        <v>0.374</v>
      </c>
      <c r="AK91" s="62">
        <f t="shared" si="27"/>
        <v>2238.489012</v>
      </c>
      <c r="AL91" s="62">
        <f t="shared" si="28"/>
        <v>854.97816999999998</v>
      </c>
      <c r="AM91" s="99"/>
    </row>
    <row r="92" spans="1:39" ht="15.75" x14ac:dyDescent="0.25">
      <c r="A92" s="152"/>
      <c r="B92" s="117"/>
      <c r="C92" s="117"/>
      <c r="D92" s="117"/>
      <c r="E92" s="119"/>
      <c r="F92" s="150" t="s">
        <v>149</v>
      </c>
      <c r="G92" s="150" t="s">
        <v>150</v>
      </c>
      <c r="H92" s="120"/>
      <c r="I92" s="14"/>
      <c r="J92" s="26">
        <v>0.05</v>
      </c>
      <c r="K92" s="175">
        <v>0.05</v>
      </c>
      <c r="L92" s="159">
        <v>2200.3575080000001</v>
      </c>
      <c r="M92" s="29">
        <v>1998.231702</v>
      </c>
      <c r="N92" s="23"/>
      <c r="O92" s="173">
        <v>0.125</v>
      </c>
      <c r="P92" s="191">
        <v>0.125</v>
      </c>
      <c r="Q92" s="174">
        <f>2090691557/L1</f>
        <v>2090.6915570000001</v>
      </c>
      <c r="R92" s="29">
        <f>2083805588/L1</f>
        <v>2083.8055880000002</v>
      </c>
      <c r="S92" s="100"/>
      <c r="T92" s="139">
        <v>0.15</v>
      </c>
      <c r="U92" s="200">
        <v>1.4999999999999999E-2</v>
      </c>
      <c r="V92" s="63">
        <f xml:space="preserve"> 3468570000/L1</f>
        <v>3468.57</v>
      </c>
      <c r="W92" s="105">
        <f>215424704/L1</f>
        <v>215.42470399999999</v>
      </c>
      <c r="X92" s="101"/>
      <c r="Y92" s="171">
        <v>0.125</v>
      </c>
      <c r="Z92" s="124">
        <v>0</v>
      </c>
      <c r="AA92" s="63">
        <f xml:space="preserve"> 3468571000/L1</f>
        <v>3468.5709999999999</v>
      </c>
      <c r="AB92" s="105"/>
      <c r="AC92" s="101"/>
      <c r="AD92" s="111">
        <v>0.05</v>
      </c>
      <c r="AE92" s="111">
        <v>0</v>
      </c>
      <c r="AF92" s="63">
        <f>2143231806/L1</f>
        <v>2143.2318059999998</v>
      </c>
      <c r="AG92" s="105"/>
      <c r="AH92" s="100"/>
      <c r="AI92" s="111">
        <f t="shared" ref="AI92" si="31">J92+O92+T92+Y92+AD92</f>
        <v>0.49999999999999994</v>
      </c>
      <c r="AJ92" s="149">
        <f t="shared" ref="AJ92" si="32">K92+P92+U92+Z92+AE92</f>
        <v>0.19</v>
      </c>
      <c r="AK92" s="62">
        <f t="shared" ref="AK92" si="33">L92+Q92+V92+AA92+AF92</f>
        <v>13371.421871</v>
      </c>
      <c r="AL92" s="62">
        <f t="shared" ref="AL92" si="34">M92+R92+W92+AB92+AG92</f>
        <v>4297.4619940000002</v>
      </c>
      <c r="AM92" s="99"/>
    </row>
    <row r="93" spans="1:39" s="6" customFormat="1" ht="15.75" x14ac:dyDescent="0.25">
      <c r="A93" s="17"/>
      <c r="B93" s="118" t="s">
        <v>103</v>
      </c>
      <c r="C93" s="118"/>
      <c r="D93" s="118"/>
      <c r="E93" s="118"/>
      <c r="F93" s="39"/>
      <c r="G93" s="39"/>
      <c r="H93" s="39"/>
      <c r="I93" s="40"/>
      <c r="J93" s="41"/>
      <c r="K93" s="41"/>
      <c r="L93" s="160">
        <f>SUM(L87:L92)</f>
        <v>6728.2266159999999</v>
      </c>
      <c r="M93" s="151">
        <f>SUM(M87:M92)</f>
        <v>6408.6620619999994</v>
      </c>
      <c r="N93" s="51"/>
      <c r="O93" s="41"/>
      <c r="P93" s="41"/>
      <c r="Q93" s="151">
        <f>SUM(Q87:Q92)</f>
        <v>9245.6919999999991</v>
      </c>
      <c r="R93" s="151">
        <f>SUM(R87:R92)</f>
        <v>9220.6358079999991</v>
      </c>
      <c r="T93" s="41"/>
      <c r="U93" s="41"/>
      <c r="V93" s="151">
        <f>SUM(V87:V92)</f>
        <v>12000</v>
      </c>
      <c r="W93" s="151">
        <f>SUM(W87:W92)</f>
        <v>3564.1668669999999</v>
      </c>
      <c r="Y93" s="41"/>
      <c r="Z93" s="41"/>
      <c r="AA93" s="151">
        <f>SUM(AA87:AA92)</f>
        <v>16000</v>
      </c>
      <c r="AB93" s="151">
        <f>SUM(AB87:AB92)</f>
        <v>0</v>
      </c>
      <c r="AC93" s="112"/>
      <c r="AD93" s="41"/>
      <c r="AE93" s="42"/>
      <c r="AF93" s="151">
        <f>SUM(AF87:AF92)</f>
        <v>12319.564938</v>
      </c>
      <c r="AG93" s="151">
        <f>SUM(AG87:AG92)</f>
        <v>0</v>
      </c>
      <c r="AI93" s="96"/>
      <c r="AJ93" s="96"/>
      <c r="AK93" s="151">
        <f>SUM(AK87:AK92)</f>
        <v>56293.483553999991</v>
      </c>
      <c r="AL93" s="151">
        <f>SUM(AL87:AL92)</f>
        <v>19193.464736999998</v>
      </c>
      <c r="AM93" s="98"/>
    </row>
    <row r="113" spans="12:38" x14ac:dyDescent="0.25">
      <c r="L113" s="89">
        <f>+L93+L75+L60+L42+L26</f>
        <v>34805.360568000004</v>
      </c>
      <c r="M113" s="89">
        <f>+M93+M75+M60+M42+M26</f>
        <v>32205.852918999997</v>
      </c>
      <c r="Q113" s="25">
        <f>+Q93+Q75+Q60+Q42+Q26</f>
        <v>118190.417026</v>
      </c>
      <c r="R113" s="25">
        <f>+R93+R75+R60+R42+R26</f>
        <v>111757.488256</v>
      </c>
      <c r="V113" s="89">
        <f>+V93+V75+V60+V42+V26</f>
        <v>93563.652000000002</v>
      </c>
      <c r="W113" s="89">
        <f>+W93+W75+W60+W42+W26</f>
        <v>14274.084668</v>
      </c>
      <c r="AA113" s="89">
        <f>+AA93+AA75+AA60+AA42+AA26</f>
        <v>87220.35497</v>
      </c>
      <c r="AB113" s="89">
        <f>+AB93+AB75+AB60+AB42+AB26</f>
        <v>0</v>
      </c>
      <c r="AF113" s="89">
        <f>+AF93+AF75+AF60+AF42+AF26</f>
        <v>33977.822458000002</v>
      </c>
      <c r="AG113" s="89">
        <f>+AG93+AG75+AG60+AG42+AG26</f>
        <v>0</v>
      </c>
      <c r="AK113" s="25">
        <f>+AK93+AK75+AK60+AK42+AK26</f>
        <v>367757.60702200001</v>
      </c>
      <c r="AL113" s="25">
        <f>+AL93+AL75+AL60+AL42+AL26</f>
        <v>158237.425843</v>
      </c>
    </row>
  </sheetData>
  <mergeCells count="200">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 ref="C31:AL31"/>
    <mergeCell ref="B17:B25"/>
    <mergeCell ref="C17:C25"/>
    <mergeCell ref="D17:D25"/>
    <mergeCell ref="E17:E25"/>
    <mergeCell ref="H17:H25"/>
    <mergeCell ref="A17:A25"/>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A38:A41"/>
    <mergeCell ref="B38:B41"/>
    <mergeCell ref="C38:C41"/>
    <mergeCell ref="D38:D41"/>
    <mergeCell ref="E38:E41"/>
    <mergeCell ref="H38:H41"/>
    <mergeCell ref="A51:A53"/>
    <mergeCell ref="B51:B53"/>
    <mergeCell ref="C51:C53"/>
    <mergeCell ref="D51:D53"/>
    <mergeCell ref="E51:E53"/>
    <mergeCell ref="F51:F53"/>
    <mergeCell ref="G51:G53"/>
    <mergeCell ref="H51:H53"/>
    <mergeCell ref="C47:AL47"/>
    <mergeCell ref="J51:M51"/>
    <mergeCell ref="O51:R51"/>
    <mergeCell ref="T51:W51"/>
    <mergeCell ref="Y51:AB51"/>
    <mergeCell ref="AD51:AG51"/>
    <mergeCell ref="AI51:AL51"/>
    <mergeCell ref="J52:K52"/>
    <mergeCell ref="L52:M52"/>
    <mergeCell ref="O52:P52"/>
    <mergeCell ref="V36:W36"/>
    <mergeCell ref="Y36:Z36"/>
    <mergeCell ref="AA36:AB36"/>
    <mergeCell ref="AD36:AE36"/>
    <mergeCell ref="AF36:AG36"/>
    <mergeCell ref="G84:G86"/>
    <mergeCell ref="H84:H86"/>
    <mergeCell ref="J84:M84"/>
    <mergeCell ref="O84:R84"/>
    <mergeCell ref="T84:W84"/>
    <mergeCell ref="Y84:AB84"/>
    <mergeCell ref="J69:M69"/>
    <mergeCell ref="O69:R69"/>
    <mergeCell ref="T69:W69"/>
    <mergeCell ref="Y69:AB69"/>
    <mergeCell ref="J70:K70"/>
    <mergeCell ref="L70:M70"/>
    <mergeCell ref="O70:P70"/>
    <mergeCell ref="Q70:R70"/>
    <mergeCell ref="T70:U70"/>
    <mergeCell ref="V70:W70"/>
    <mergeCell ref="Y70:Z70"/>
    <mergeCell ref="AA70:AB70"/>
    <mergeCell ref="H54:H57"/>
    <mergeCell ref="E84:E86"/>
    <mergeCell ref="F84:F86"/>
    <mergeCell ref="D35:D37"/>
    <mergeCell ref="E35:E37"/>
    <mergeCell ref="F35:F37"/>
    <mergeCell ref="G35:G37"/>
    <mergeCell ref="H35:H37"/>
    <mergeCell ref="J35:M35"/>
    <mergeCell ref="T36:U36"/>
    <mergeCell ref="G69:G71"/>
    <mergeCell ref="H69:H71"/>
    <mergeCell ref="AK70:AK71"/>
    <mergeCell ref="AL70:AL71"/>
    <mergeCell ref="AK52:AK53"/>
    <mergeCell ref="AL52:AL53"/>
    <mergeCell ref="D72:D74"/>
    <mergeCell ref="E72:E74"/>
    <mergeCell ref="H72:H74"/>
    <mergeCell ref="V85:W85"/>
    <mergeCell ref="Y85:Z85"/>
    <mergeCell ref="AA85:AB85"/>
    <mergeCell ref="C80:AL80"/>
    <mergeCell ref="AF85:AG85"/>
    <mergeCell ref="AI85:AI86"/>
    <mergeCell ref="Q52:R52"/>
    <mergeCell ref="T52:U52"/>
    <mergeCell ref="V52:W52"/>
    <mergeCell ref="Y52:Z52"/>
    <mergeCell ref="AA52:AB52"/>
    <mergeCell ref="AD52:AE52"/>
    <mergeCell ref="AF52:AG52"/>
    <mergeCell ref="AI52:AI53"/>
    <mergeCell ref="AJ52:AJ53"/>
    <mergeCell ref="C84:C86"/>
    <mergeCell ref="D84:D86"/>
    <mergeCell ref="A28:AL28"/>
    <mergeCell ref="C30:AL30"/>
    <mergeCell ref="C32:AL32"/>
    <mergeCell ref="C33:AL33"/>
    <mergeCell ref="A44:AL44"/>
    <mergeCell ref="C46:AL46"/>
    <mergeCell ref="C48:AL48"/>
    <mergeCell ref="C49:AL49"/>
    <mergeCell ref="O35:R35"/>
    <mergeCell ref="T35:W35"/>
    <mergeCell ref="Y35:AB35"/>
    <mergeCell ref="AD35:AG35"/>
    <mergeCell ref="AI35:AL35"/>
    <mergeCell ref="J36:K36"/>
    <mergeCell ref="L36:M36"/>
    <mergeCell ref="O36:P36"/>
    <mergeCell ref="Q36:R36"/>
    <mergeCell ref="AI36:AI37"/>
    <mergeCell ref="AJ36:AJ37"/>
    <mergeCell ref="AK36:AK37"/>
    <mergeCell ref="AL36:AL37"/>
    <mergeCell ref="A35:A37"/>
    <mergeCell ref="C35:C37"/>
    <mergeCell ref="B35:B37"/>
    <mergeCell ref="H87:H91"/>
    <mergeCell ref="A62:AL62"/>
    <mergeCell ref="C64:AL64"/>
    <mergeCell ref="C65:AL65"/>
    <mergeCell ref="C67:AL67"/>
    <mergeCell ref="A77:AL77"/>
    <mergeCell ref="C79:AL79"/>
    <mergeCell ref="C81:AL81"/>
    <mergeCell ref="C82:AL82"/>
    <mergeCell ref="AD84:AG84"/>
    <mergeCell ref="AI84:AL84"/>
    <mergeCell ref="J85:K85"/>
    <mergeCell ref="L85:M85"/>
    <mergeCell ref="O85:P85"/>
    <mergeCell ref="Q85:R85"/>
    <mergeCell ref="T85:U85"/>
    <mergeCell ref="AD85:AE85"/>
    <mergeCell ref="A84:A86"/>
    <mergeCell ref="B84:B86"/>
    <mergeCell ref="AJ85:AJ86"/>
    <mergeCell ref="AK85:AK86"/>
    <mergeCell ref="AL85:AL86"/>
    <mergeCell ref="A72:A74"/>
    <mergeCell ref="F69:F71"/>
    <mergeCell ref="C54:C59"/>
    <mergeCell ref="D54:D59"/>
    <mergeCell ref="E54:E59"/>
    <mergeCell ref="B72:B74"/>
    <mergeCell ref="C72:C74"/>
    <mergeCell ref="A87:A91"/>
    <mergeCell ref="B87:B91"/>
    <mergeCell ref="C87:C91"/>
    <mergeCell ref="D87:D91"/>
    <mergeCell ref="E87:E91"/>
    <mergeCell ref="A54:A57"/>
    <mergeCell ref="B54:B59"/>
    <mergeCell ref="A69:A71"/>
    <mergeCell ref="B69:B71"/>
    <mergeCell ref="C69:C71"/>
    <mergeCell ref="D69:D71"/>
    <mergeCell ref="E69:E71"/>
    <mergeCell ref="C66:AL66"/>
    <mergeCell ref="AD69:AG69"/>
    <mergeCell ref="AI69:AL69"/>
    <mergeCell ref="AD70:AE70"/>
    <mergeCell ref="AF70:AG70"/>
    <mergeCell ref="AI70:AI71"/>
    <mergeCell ref="AJ70:AJ71"/>
  </mergeCells>
  <printOptions headings="1"/>
  <pageMargins left="0.70866141732283472" right="0.70866141732283472" top="0.74803149606299213" bottom="0.74803149606299213" header="0.31496062992125984" footer="0.31496062992125984"/>
  <pageSetup paperSize="5" scale="26" fitToHeight="2" orientation="landscape" r:id="rId1"/>
  <ignoredErrors>
    <ignoredError sqref="AI21"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Enero 2022</vt:lpstr>
      <vt:lpstr>'Enero 2022'!Área_de_impresión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Erika Andrea Prieto Perez</cp:lastModifiedBy>
  <cp:lastPrinted>2020-05-20T22:21:52Z</cp:lastPrinted>
  <dcterms:created xsi:type="dcterms:W3CDTF">2009-07-24T20:19:08Z</dcterms:created>
  <dcterms:modified xsi:type="dcterms:W3CDTF">2022-02-23T17:12:19Z</dcterms:modified>
</cp:coreProperties>
</file>