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ARBOLEDA SANTA TERESITA\ESTRUCTURACIONES PROCESOS CONTRATACION\OBRAS 2023\CONVOCATORIA PUBLICA n°002 de 2023_CONSULTORIA M10\PUBLICACIÓN\"/>
    </mc:Choice>
  </mc:AlternateContent>
  <xr:revisionPtr revIDLastSave="0" documentId="8_{FD00FE68-45C5-402C-B7E6-BE8BA1AD7253}" xr6:coauthVersionLast="47" xr6:coauthVersionMax="47" xr10:uidLastSave="{00000000-0000-0000-0000-000000000000}"/>
  <bookViews>
    <workbookView xWindow="-120" yWindow="-120" windowWidth="29040" windowHeight="15840" xr2:uid="{3E87F414-5CAD-47C3-A471-D3E1EC1CB477}"/>
  </bookViews>
  <sheets>
    <sheet name="CONSULTORIA MURO M-10" sheetId="1" r:id="rId1"/>
  </sheets>
  <externalReferences>
    <externalReference r:id="rId2"/>
    <externalReference r:id="rId3"/>
  </externalReferences>
  <definedNames>
    <definedName name="_A1">{#N/A,#N/A,TRUE,"1842CWN0"}</definedName>
    <definedName name="_AAS1">{#N/A,#N/A,TRUE,"INGENIERIA";#N/A,#N/A,TRUE,"COMPRAS";#N/A,#N/A,TRUE,"DIRECCION";#N/A,#N/A,TRUE,"RESUMEN"}</definedName>
    <definedName name="_ABC1">{#N/A,#N/A,TRUE,"1842CWN0"}</definedName>
    <definedName name="_abc2">{#N/A,#N/A,TRUE,"1842CWN0"}</definedName>
    <definedName name="_Fill">#REF!</definedName>
    <definedName name="_Key1">#REF!</definedName>
    <definedName name="_Key2">#REF!</definedName>
    <definedName name="_Order1">255</definedName>
    <definedName name="_Order2">255</definedName>
    <definedName name="_Parse_Out">'[2]7422CW00'!#REF!</definedName>
    <definedName name="_Regression_Int">1</definedName>
    <definedName name="_Sort">#REF!</definedName>
    <definedName name="AA">{#N/A,#N/A,TRUE,"INGENIERIA";#N/A,#N/A,TRUE,"COMPRAS";#N/A,#N/A,TRUE,"DIRECCION";#N/A,#N/A,TRUE,"RESUMEN"}</definedName>
    <definedName name="AAS">{#N/A,#N/A,TRUE,"INGENIERIA";#N/A,#N/A,TRUE,"COMPRAS";#N/A,#N/A,TRUE,"DIRECCION";#N/A,#N/A,TRUE,"RESUMEN"}</definedName>
    <definedName name="ABCD">#REF!</definedName>
    <definedName name="ABCDE">#REF!</definedName>
    <definedName name="AccessDatabase">"C:\C-314\VOLUMENES\volfin4.mdb"</definedName>
    <definedName name="civ">{#N/A,#N/A,TRUE,"1842CWN0"}</definedName>
    <definedName name="dd">{#N/A,#N/A,TRUE,"INGENIERIA";#N/A,#N/A,TRUE,"COMPRAS";#N/A,#N/A,TRUE,"DIRECCION";#N/A,#N/A,TRUE,"RESUMEN"}</definedName>
    <definedName name="DDE">{#N/A,#N/A,TRUE,"1842CWN0"}</definedName>
    <definedName name="DFDE">{#N/A,#N/A,TRUE,"1842CWN0"}</definedName>
    <definedName name="DFEET">{#N/A,#N/A,TRUE,"INGENIERIA";#N/A,#N/A,TRUE,"COMPRAS";#N/A,#N/A,TRUE,"DIRECCION";#N/A,#N/A,TRUE,"RESUMEN"}</definedName>
    <definedName name="DGFEE">{#N/A,#N/A,TRUE,"1842CWN0"}</definedName>
    <definedName name="DGFGGHF">{#N/A,#N/A,TRUE,"INGENIERIA";#N/A,#N/A,TRUE,"COMPRAS";#N/A,#N/A,TRUE,"DIRECCION";#N/A,#N/A,TRUE,"RESUMEN"}</definedName>
    <definedName name="DGFR">{#N/A,#N/A,TRUE,"1842CWN0"}</definedName>
    <definedName name="DGGGHHJT">{#N/A,#N/A,TRUE,"INGENIERIA";#N/A,#N/A,TRUE,"COMPRAS";#N/A,#N/A,TRUE,"DIRECCION";#N/A,#N/A,TRUE,"RESUMEN"}</definedName>
    <definedName name="DGRR">{#N/A,#N/A,TRUE,"INGENIERIA";#N/A,#N/A,TRUE,"COMPRAS";#N/A,#N/A,TRUE,"DIRECCION";#N/A,#N/A,TRUE,"RESUMEN"}</definedName>
    <definedName name="DWPRICE">#REF!</definedName>
    <definedName name="ESTRUCTURA">{#N/A,#N/A,TRUE,"INGENIERIA";#N/A,#N/A,TRUE,"COMPRAS";#N/A,#N/A,TRUE,"DIRECCION";#N/A,#N/A,TRUE,"RESUMEN"}</definedName>
    <definedName name="fhg">{#N/A,#N/A,TRUE,"1842CWN0"}</definedName>
    <definedName name="KDL">{#N/A,#N/A,TRUE,"1842CWN0"}</definedName>
    <definedName name="met">{#N/A,#N/A,TRUE,"1842CWN0"}</definedName>
    <definedName name="metal">{#N/A,#N/A,TRUE,"1842CWN0"}</definedName>
    <definedName name="PROVISIONALES">#REF!</definedName>
    <definedName name="wrn.civil._.works.">{#N/A,#N/A,TRUE,"1842CWN0"}</definedName>
    <definedName name="wrn.FORMATOS.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>{#N/A,#N/A,TRUE,"INGENIERIA";#N/A,#N/A,TRUE,"COMPRAS";#N/A,#N/A,TRUE,"DIRECCION";#N/A,#N/A,TRUE,"RESUMEN"}</definedName>
    <definedName name="XSW">{#N/A,#N/A,TRUE,"1842CWN0"}</definedName>
    <definedName name="XXXX">#REF!</definedName>
    <definedName name="XZS">#REF!</definedName>
    <definedName name="ZAQ">{#N/A,#N/A,TRUE,"INGENIERIA";#N/A,#N/A,TRUE,"COMPRAS";#N/A,#N/A,TRUE,"DIRECCION";#N/A,#N/A,TRUE,"RESUMEN"}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54" i="1"/>
  <c r="L54" i="1"/>
  <c r="E54" i="1"/>
  <c r="M54" i="1" s="1"/>
  <c r="B54" i="1"/>
  <c r="L53" i="1"/>
  <c r="E53" i="1"/>
  <c r="D53" i="1"/>
  <c r="B53" i="1"/>
  <c r="L52" i="1"/>
  <c r="E52" i="1"/>
  <c r="M52" i="1" s="1"/>
  <c r="D52" i="1"/>
  <c r="B52" i="1"/>
  <c r="L51" i="1"/>
  <c r="E51" i="1"/>
  <c r="D51" i="1"/>
  <c r="C51" i="1"/>
  <c r="B51" i="1"/>
  <c r="N48" i="1"/>
  <c r="N47" i="1"/>
  <c r="N46" i="1"/>
  <c r="C46" i="1"/>
  <c r="C45" i="1"/>
  <c r="N45" i="1" s="1"/>
  <c r="N44" i="1"/>
  <c r="N43" i="1"/>
  <c r="N42" i="1"/>
  <c r="N41" i="1"/>
  <c r="N40" i="1"/>
  <c r="N39" i="1"/>
  <c r="N38" i="1"/>
  <c r="N37" i="1"/>
  <c r="N36" i="1"/>
  <c r="N35" i="1"/>
  <c r="N34" i="1"/>
  <c r="C33" i="1"/>
  <c r="N33" i="1" s="1"/>
  <c r="N49" i="1" s="1"/>
  <c r="N62" i="1" s="1"/>
  <c r="L31" i="1"/>
  <c r="L28" i="1"/>
  <c r="E28" i="1"/>
  <c r="B28" i="1"/>
  <c r="N26" i="1"/>
  <c r="L26" i="1"/>
  <c r="E26" i="1"/>
  <c r="L25" i="1"/>
  <c r="E25" i="1"/>
  <c r="N25" i="1" s="1"/>
  <c r="L24" i="1"/>
  <c r="E24" i="1"/>
  <c r="N24" i="1" s="1"/>
  <c r="L22" i="1"/>
  <c r="N22" i="1" s="1"/>
  <c r="N21" i="1"/>
  <c r="L21" i="1"/>
  <c r="E21" i="1"/>
  <c r="L20" i="1"/>
  <c r="E20" i="1"/>
  <c r="N20" i="1" s="1"/>
  <c r="N19" i="1"/>
  <c r="L19" i="1"/>
  <c r="E19" i="1"/>
  <c r="L18" i="1"/>
  <c r="E18" i="1"/>
  <c r="N18" i="1" s="1"/>
  <c r="N17" i="1"/>
  <c r="M17" i="1"/>
  <c r="L17" i="1"/>
  <c r="E17" i="1"/>
  <c r="M16" i="1"/>
  <c r="L16" i="1"/>
  <c r="E16" i="1"/>
  <c r="N16" i="1" s="1"/>
  <c r="L14" i="1"/>
  <c r="E14" i="1"/>
  <c r="N8" i="1"/>
  <c r="C5" i="1"/>
  <c r="B5" i="1"/>
  <c r="B4" i="1"/>
  <c r="B3" i="1"/>
  <c r="B2" i="1"/>
  <c r="N28" i="1" l="1"/>
  <c r="N63" i="1"/>
  <c r="N64" i="1"/>
  <c r="M14" i="1"/>
  <c r="N14" i="1" s="1"/>
  <c r="N52" i="1"/>
  <c r="N54" i="1"/>
  <c r="M51" i="1"/>
  <c r="N51" i="1" s="1"/>
  <c r="N55" i="1" s="1"/>
  <c r="M53" i="1"/>
  <c r="N53" i="1" s="1"/>
  <c r="N29" i="1" l="1"/>
  <c r="N56" i="1" s="1"/>
  <c r="Q55" i="1" l="1"/>
  <c r="N58" i="1"/>
  <c r="N57" i="1"/>
  <c r="N59" i="1" s="1"/>
  <c r="N66" i="1" s="1"/>
  <c r="O66" i="1" l="1"/>
  <c r="C8" i="1"/>
  <c r="E8" i="1" s="1"/>
</calcChain>
</file>

<file path=xl/sharedStrings.xml><?xml version="1.0" encoding="utf-8"?>
<sst xmlns="http://schemas.openxmlformats.org/spreadsheetml/2006/main" count="93" uniqueCount="70">
  <si>
    <t>no modificar</t>
  </si>
  <si>
    <t>PRESUPUESTO TOTAL (IVA INCLUIDO):</t>
  </si>
  <si>
    <t>SMLMV</t>
  </si>
  <si>
    <t xml:space="preserve">DURACIÓN (meses): </t>
  </si>
  <si>
    <t>PERSONAL PROFESIONAL, ESPECIALISTAS O DE APOYO / DESCRIPCIÓN</t>
  </si>
  <si>
    <t>CANTIDAD</t>
  </si>
  <si>
    <t>CATEGORÍA / UNID</t>
  </si>
  <si>
    <t>Vr. H/MES $ SEGÚN CATEGORÍA  / VR. UNIT</t>
  </si>
  <si>
    <t>Mes 
1</t>
  </si>
  <si>
    <t>Mes 
2</t>
  </si>
  <si>
    <t>Mes 
3</t>
  </si>
  <si>
    <t>Mes 
4</t>
  </si>
  <si>
    <t>Mes 
5</t>
  </si>
  <si>
    <t>Mes 
6</t>
  </si>
  <si>
    <t>TOTAL CONSULTORIA</t>
  </si>
  <si>
    <t>FACTOR MULTIPLICADOR</t>
  </si>
  <si>
    <t>COSTOS ($) PERSONAL</t>
  </si>
  <si>
    <t>DIRECTOR / COORDINACIÓN</t>
  </si>
  <si>
    <t xml:space="preserve">Director de Consultoria </t>
  </si>
  <si>
    <t>PERSONAL ESPECIALIZADO</t>
  </si>
  <si>
    <t xml:space="preserve">Especialista en Patologia </t>
  </si>
  <si>
    <t>Especialista en Estructuras</t>
  </si>
  <si>
    <t xml:space="preserve">Especialista en Costos y Presupuestos </t>
  </si>
  <si>
    <t xml:space="preserve">Especialista en Geotecnica </t>
  </si>
  <si>
    <t xml:space="preserve">Especialista Hidráulico </t>
  </si>
  <si>
    <t>Especialista paisajismo y/o urbanismo</t>
  </si>
  <si>
    <t>Ingeniero Topográfico o Tecnólogo en Topografía.</t>
  </si>
  <si>
    <t>PERSONAL TECNICO DE APOYO</t>
  </si>
  <si>
    <t>Personal Técnico Auxiliar de Ingenieria</t>
  </si>
  <si>
    <t xml:space="preserve">Personal Técnico Dibujante </t>
  </si>
  <si>
    <t xml:space="preserve">auxiliar topografía </t>
  </si>
  <si>
    <t>PERSONAL ADMINISTRATIVO</t>
  </si>
  <si>
    <t>SUBTOTAL (1): VALOR PERSONAL</t>
  </si>
  <si>
    <t>ACTIVIDADES A PRECIOS UNITARIOS</t>
  </si>
  <si>
    <t>ESTUDIOS, ENSAYOS Y LABORATORIOS</t>
  </si>
  <si>
    <t>UNIDAD</t>
  </si>
  <si>
    <t>COSTO UNITARIO SIN IVA ($)</t>
  </si>
  <si>
    <t>COSTOS OPERACIONALES ($) ETAPA OBRA</t>
  </si>
  <si>
    <t>TRABAJO DE CAMPO</t>
  </si>
  <si>
    <t>PERFORACION MECANICA EN SUELO BLANDO DE 0 a 50m. Incluye descripción visual de estratos encontrados, lecturas de campo, SPT, Veleta, tipo y profundidad de las muestras recuperadas, datos nivel freático, muestras inalteradas en tubo Shelby y/o muestreador de
pistón</t>
  </si>
  <si>
    <t>ML</t>
  </si>
  <si>
    <t>ensayo de refracción sismica</t>
  </si>
  <si>
    <t>UND</t>
  </si>
  <si>
    <t>Topografía (secciones y niveles) con origen de coordenadas Bogotá, incluye amarre topográfico a la red de instrumentación geodesica de Bogotá, profesionales</t>
  </si>
  <si>
    <t>M2</t>
  </si>
  <si>
    <t>Ensayos de laboratorio - suelos (determinacion límite líquido, límite pálstico e índice de plasticidad de los suelos)</t>
  </si>
  <si>
    <t>Ensayos de laboratorio - suelos (determinacion de los tamaños de las partículas de los suelos granulometría por tamizado e Hidrométria   )</t>
  </si>
  <si>
    <t>Ensayos de laboratorio - suelos (humedad)</t>
  </si>
  <si>
    <t>Ensayos de laboratorio - suelos (peso unitario)</t>
  </si>
  <si>
    <t>Ensayos de laboratorio - suelos (corte Directo CD)</t>
  </si>
  <si>
    <t>Ensayos de laboratorio - suelos (compresion inconfinada)</t>
  </si>
  <si>
    <t>Ensayos de laboratorio - suelos (expansión libre consolidómetro)</t>
  </si>
  <si>
    <t>Ensayos de laboratorio -agregados pétreos (permeabilidad de suelos granulares cabeza constante )</t>
  </si>
  <si>
    <t>Ensayos de laboratorio -suelos (consolidacion inidimencional de suelos método A lenta)</t>
  </si>
  <si>
    <t>Ensayos de campo - obtención de núcleos de concreto endurecido. Núcleo de 3"</t>
  </si>
  <si>
    <t>Ensayos de laboratorio -concretos hidráulicos (resistencia a la comprensión de cilindors de concreto moldeados o núcleos).</t>
  </si>
  <si>
    <t>Ensayos de campo -elementos estructurales concreto (detecció de refuerzo utilizando ferroscan)</t>
  </si>
  <si>
    <t>DIA</t>
  </si>
  <si>
    <t>Ensayos de campo -elementos estructurales concreto (determinacion de la velocidad de pulso ultrasónico a través del concreto por elemento )</t>
  </si>
  <si>
    <t>SUBTOTAL (2): ESTUDIOS, ENSAYOS Y LABORATORIOS</t>
  </si>
  <si>
    <t>OTROS INSUMOS</t>
  </si>
  <si>
    <t xml:space="preserve">MES </t>
  </si>
  <si>
    <t>SUBTOTAL (3): COSTOS OPERACIONALES</t>
  </si>
  <si>
    <t xml:space="preserve">SUBTOTAL (1+3): PERSONAL, COSTOS OPERACIONALES, </t>
  </si>
  <si>
    <t>IMPUESTOS</t>
  </si>
  <si>
    <t>IVA 19%</t>
  </si>
  <si>
    <t>SUBTOTAL COSTOS PERSONAL + IVA E IMPUESTOS</t>
  </si>
  <si>
    <t>SUBTOTAL 4: VALOR BÁSICO PARA ENSAYOS DE LABORATORIO</t>
  </si>
  <si>
    <t xml:space="preserve">VALOR TOTAL 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</si>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</sst>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\ _P_t_a_-;\-* #,##0\ _P_t_a_-;_-* &quot;-&quot;??\ _P_t_a_-;_-@"/>
    <numFmt numFmtId="165" formatCode="[$$-240A]\ #,##0.00"/>
    <numFmt numFmtId="166" formatCode="_-* #,##0.00_-;\-* #,##0.00_-;_-* &quot;-&quot;_-;_-@"/>
    <numFmt numFmtId="167" formatCode="_-* #,##0.00_-;\-* #,##0.00_-;_-* &quot;-&quot;??_-;_-@"/>
    <numFmt numFmtId="168" formatCode="_(&quot;$&quot;\ * #,##0.00_);_(&quot;$&quot;\ * \(#,##0.00\);_(&quot;$&quot;\ * &quot;-&quot;??_);_(@_)"/>
    <numFmt numFmtId="169" formatCode="_-&quot;$&quot;* #,##0.00_-;\-&quot;$&quot;* #,##0.00_-;_-&quot;$&quot;* &quot;-&quot;??_-;_-@"/>
    <numFmt numFmtId="170" formatCode="#,##0.000"/>
    <numFmt numFmtId="171" formatCode="_(&quot;$&quot;\ * #,##0_);_(&quot;$&quot;\ * \(#,##0\);_(&quot;$&quot;\ * &quot;-&quot;??_);_(@_)"/>
    <numFmt numFmtId="172" formatCode="[$$-240A]\ #,##0"/>
    <numFmt numFmtId="173" formatCode="#,##0.00000"/>
    <numFmt numFmtId="174" formatCode="0.000"/>
    <numFmt numFmtId="175" formatCode="&quot;$&quot;\ #,##0"/>
    <numFmt numFmtId="176" formatCode="&quot;$&quot;\ #,##0.0"/>
    <numFmt numFmtId="177" formatCode="_(&quot;$&quot;\ #,##0.0_);_(&quot;$&quot;\ \(#,##0.0\);_(&quot;$&quot;\ &quot;-&quot;??_);_(@_)"/>
    <numFmt numFmtId="178" formatCode="[$$-240A]\ #,##0.0"/>
    <numFmt numFmtId="179" formatCode="&quot;$&quot;#,##0.0"/>
    <numFmt numFmtId="180" formatCode="[$$-240A]\ #,##0.0;[Red][$$-240A]\ #,##0.0"/>
  </numFmts>
  <fonts count="2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0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1"/>
      <color rgb="FFFF0000"/>
      <name val="Arial"/>
    </font>
    <font>
      <b/>
      <sz val="11"/>
      <color rgb="FFFF0000"/>
      <name val="Arial"/>
    </font>
    <font>
      <b/>
      <sz val="10"/>
      <color rgb="FFFF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8"/>
      <color rgb="FFFF0000"/>
      <name val="Arial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rgb="FFBFBFBF"/>
        <bgColor rgb="FFBFBFBF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/>
    <xf numFmtId="2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" fontId="3" fillId="0" borderId="0" xfId="0" applyNumberFormat="1" applyFont="1" applyAlignment="1">
      <alignment vertical="center" wrapText="1"/>
    </xf>
    <xf numFmtId="15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13" xfId="0" applyFont="1" applyBorder="1"/>
    <xf numFmtId="16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170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6" fillId="4" borderId="15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2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71" fontId="7" fillId="0" borderId="19" xfId="0" applyNumberFormat="1" applyFont="1" applyBorder="1" applyAlignment="1">
      <alignment horizontal="right" vertical="center"/>
    </xf>
    <xf numFmtId="4" fontId="1" fillId="3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right" vertical="center"/>
    </xf>
    <xf numFmtId="164" fontId="1" fillId="6" borderId="16" xfId="0" applyNumberFormat="1" applyFont="1" applyFill="1" applyBorder="1" applyAlignment="1">
      <alignment horizontal="center" vertical="center"/>
    </xf>
    <xf numFmtId="172" fontId="1" fillId="6" borderId="16" xfId="0" applyNumberFormat="1" applyFont="1" applyFill="1" applyBorder="1" applyAlignment="1">
      <alignment horizontal="right" vertical="center"/>
    </xf>
    <xf numFmtId="4" fontId="1" fillId="6" borderId="16" xfId="0" applyNumberFormat="1" applyFont="1" applyFill="1" applyBorder="1" applyAlignment="1">
      <alignment horizontal="center" vertical="center"/>
    </xf>
    <xf numFmtId="2" fontId="1" fillId="6" borderId="16" xfId="0" applyNumberFormat="1" applyFont="1" applyFill="1" applyBorder="1" applyAlignment="1">
      <alignment vertical="center"/>
    </xf>
    <xf numFmtId="165" fontId="1" fillId="6" borderId="11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 wrapText="1"/>
    </xf>
    <xf numFmtId="172" fontId="1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3" fontId="1" fillId="6" borderId="16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right" vertical="center"/>
    </xf>
    <xf numFmtId="0" fontId="8" fillId="4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174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175" fontId="8" fillId="4" borderId="15" xfId="0" applyNumberFormat="1" applyFont="1" applyFill="1" applyBorder="1" applyAlignment="1">
      <alignment horizontal="center" vertical="center" wrapText="1"/>
    </xf>
    <xf numFmtId="4" fontId="3" fillId="6" borderId="16" xfId="0" applyNumberFormat="1" applyFont="1" applyFill="1" applyBorder="1" applyAlignment="1">
      <alignment horizontal="center" vertical="center"/>
    </xf>
    <xf numFmtId="174" fontId="1" fillId="6" borderId="16" xfId="0" applyNumberFormat="1" applyFont="1" applyFill="1" applyBorder="1" applyAlignment="1">
      <alignment horizontal="center" vertical="center"/>
    </xf>
    <xf numFmtId="2" fontId="1" fillId="6" borderId="16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172" fontId="1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0" fontId="10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 wrapText="1"/>
    </xf>
    <xf numFmtId="172" fontId="1" fillId="0" borderId="2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174" fontId="12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78" fontId="8" fillId="4" borderId="15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176" fontId="8" fillId="4" borderId="16" xfId="0" applyNumberFormat="1" applyFont="1" applyFill="1" applyBorder="1" applyAlignment="1">
      <alignment horizontal="center" vertical="center"/>
    </xf>
    <xf numFmtId="176" fontId="8" fillId="4" borderId="14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176" fontId="3" fillId="4" borderId="16" xfId="0" applyNumberFormat="1" applyFont="1" applyFill="1" applyBorder="1" applyAlignment="1">
      <alignment vertical="center"/>
    </xf>
    <xf numFmtId="178" fontId="3" fillId="4" borderId="16" xfId="0" applyNumberFormat="1" applyFont="1" applyFill="1" applyBorder="1" applyAlignment="1">
      <alignment vertical="center"/>
    </xf>
    <xf numFmtId="178" fontId="3" fillId="4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vertical="center"/>
    </xf>
    <xf numFmtId="165" fontId="16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4" fillId="0" borderId="24" xfId="0" applyFont="1" applyBorder="1"/>
    <xf numFmtId="0" fontId="1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18" fillId="10" borderId="0" xfId="0" applyNumberFormat="1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center" vertical="center" wrapText="1"/>
    </xf>
    <xf numFmtId="15" fontId="19" fillId="0" borderId="0" xfId="0" applyNumberFormat="1" applyFont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2" fontId="18" fillId="5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right" vertical="center"/>
    </xf>
    <xf numFmtId="165" fontId="18" fillId="5" borderId="0" xfId="0" applyNumberFormat="1" applyFont="1" applyFill="1" applyAlignment="1">
      <alignment horizontal="right" vertical="center"/>
    </xf>
    <xf numFmtId="176" fontId="19" fillId="7" borderId="0" xfId="0" applyNumberFormat="1" applyFont="1" applyFill="1" applyAlignment="1">
      <alignment horizontal="right" vertical="center" wrapText="1"/>
    </xf>
    <xf numFmtId="2" fontId="18" fillId="5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horizontal="right" vertical="center"/>
    </xf>
    <xf numFmtId="176" fontId="19" fillId="8" borderId="0" xfId="0" applyNumberFormat="1" applyFont="1" applyFill="1" applyAlignment="1">
      <alignment horizontal="center" vertical="center"/>
    </xf>
    <xf numFmtId="176" fontId="19" fillId="9" borderId="0" xfId="0" applyNumberFormat="1" applyFont="1" applyFill="1" applyAlignment="1">
      <alignment horizontal="right" vertical="center" wrapText="1"/>
    </xf>
    <xf numFmtId="176" fontId="19" fillId="0" borderId="0" xfId="0" applyNumberFormat="1" applyFont="1" applyAlignment="1">
      <alignment horizontal="center" vertical="center"/>
    </xf>
    <xf numFmtId="178" fontId="19" fillId="8" borderId="0" xfId="0" applyNumberFormat="1" applyFont="1" applyFill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 wrapText="1"/>
    </xf>
    <xf numFmtId="180" fontId="21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ARBOLEDA%20SANTA%20TERESITA\ESTRUCTURACIONES%20PROCESOS%20CONTRATACION\OBRAS%202023\CONVOCATORIA%20PUBLICA%20n&#176;002%20de%202023_CONSULTORIA%20M10\PUBLICACI&#211;N\drive-download-20231020T190829Z-001\PPTO%20CONSULTORIA.xlsm" TargetMode="External"/><Relationship Id="rId1" Type="http://schemas.openxmlformats.org/officeDocument/2006/relationships/externalLinkPath" Target="drive-download-20231020T190829Z-001/PPTO%20CONSULTOR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ENTRADA"/>
      <sheetName val="CONSULTORIA MURO M-10"/>
      <sheetName val="TABLAS"/>
      <sheetName val="INSUMOS"/>
      <sheetName val="ITEMS"/>
      <sheetName val="EPP"/>
      <sheetName val="ENSAYOS LAB"/>
    </sheetNames>
    <sheetDataSet>
      <sheetData sheetId="0">
        <row r="2">
          <cell r="C2" t="str">
            <v>CAJA DE VIVIENDA POPULAR</v>
          </cell>
        </row>
        <row r="3">
          <cell r="C3" t="str">
            <v>DIRECCION DE URBANIZACIONES Y TITULACION</v>
          </cell>
        </row>
        <row r="4">
          <cell r="C4" t="str">
            <v>PROYECTOS NUEVOS</v>
          </cell>
        </row>
        <row r="7">
          <cell r="B7" t="str">
            <v>OBJETO DEL CONTRATO:</v>
          </cell>
          <cell r="C7" t="str">
            <v xml:space="preserve">CONVOCATORIA PÚBLICA N° 002-2023
</v>
          </cell>
        </row>
        <row r="11">
          <cell r="C11">
            <v>45064</v>
          </cell>
        </row>
      </sheetData>
      <sheetData sheetId="1"/>
      <sheetData sheetId="2">
        <row r="3">
          <cell r="A3">
            <v>9085</v>
          </cell>
          <cell r="B3" t="str">
            <v>TARIFA MES - PERSONAL TÉCNICO - AUXILIAR DE INGENIERÍA (NO INCLUYE FACTOR DE PRESTACIONES)</v>
          </cell>
          <cell r="C3" t="str">
            <v>MES</v>
          </cell>
          <cell r="D3">
            <v>2607000</v>
          </cell>
          <cell r="E3" t="str">
            <v>#REF!</v>
          </cell>
        </row>
        <row r="4">
          <cell r="A4">
            <v>9086</v>
          </cell>
          <cell r="B4" t="str">
            <v>TARIFA MES - PERSONAL TÉCNICO - DIBUJANTE 1 (NO INCLUYE FACTOR DE PRESTACIONES)</v>
          </cell>
          <cell r="C4" t="str">
            <v>MES</v>
          </cell>
          <cell r="D4">
            <v>2734000</v>
          </cell>
          <cell r="E4" t="str">
            <v>#REF!</v>
          </cell>
        </row>
        <row r="5">
          <cell r="A5">
            <v>9087</v>
          </cell>
          <cell r="B5" t="str">
            <v>TARIFA MES - PERSONAL TÉCNICO - DIBUJANTE 2 (NO INCLUYE FACTOR DE PRESTACIONES)</v>
          </cell>
          <cell r="C5" t="str">
            <v>MES</v>
          </cell>
          <cell r="D5">
            <v>2209000</v>
          </cell>
          <cell r="E5" t="str">
            <v>#REF!</v>
          </cell>
        </row>
        <row r="6">
          <cell r="A6">
            <v>9088</v>
          </cell>
          <cell r="B6" t="str">
            <v>TARIFA MES - PERSONAL TÉCNICO - TOPÓGRAFO INSPECTOR (NO INCLUYE FACTOR DE PRESTACIONES)</v>
          </cell>
          <cell r="C6" t="str">
            <v>MES</v>
          </cell>
          <cell r="D6">
            <v>3092000</v>
          </cell>
          <cell r="E6" t="str">
            <v>#REF!</v>
          </cell>
        </row>
        <row r="7">
          <cell r="A7">
            <v>9089</v>
          </cell>
          <cell r="B7" t="str">
            <v>TARIFA MES - PERSONAL TÉCNICO - LABORATORISTA INSPECTOR (NO INCLUYE FACTOR DE PRESTACIONES)</v>
          </cell>
          <cell r="C7" t="str">
            <v>MES</v>
          </cell>
          <cell r="D7">
            <v>2739000</v>
          </cell>
          <cell r="E7" t="str">
            <v>#REF!</v>
          </cell>
        </row>
        <row r="8">
          <cell r="A8">
            <v>9090</v>
          </cell>
          <cell r="B8" t="str">
            <v>TARIFA MES - PERSONAL TÉCNICO - LABORATORISTA AUXILIAR (NO INCLUYE FACTOR DE PRESTACIONES)</v>
          </cell>
          <cell r="C8" t="str">
            <v>MES</v>
          </cell>
          <cell r="D8">
            <v>1917000</v>
          </cell>
          <cell r="E8" t="str">
            <v>#REF!</v>
          </cell>
        </row>
        <row r="9">
          <cell r="A9">
            <v>9091</v>
          </cell>
          <cell r="B9" t="str">
            <v>TARIFA MES - PERSONAL TÉCNICO - OPERADOR EQUIPO PERFORACIÓN (INCLUYE FACTOR DE PRESTACIONES)</v>
          </cell>
          <cell r="C9" t="str">
            <v>MES</v>
          </cell>
          <cell r="D9">
            <v>3590916</v>
          </cell>
          <cell r="E9" t="str">
            <v>#REF!</v>
          </cell>
        </row>
        <row r="10">
          <cell r="A10">
            <v>9092</v>
          </cell>
          <cell r="B10" t="str">
            <v>TARIFA MES - PERSONAL TÉCNICO - OPERADOR AUXILIAR DE EQUIPO (INCLUYE FACTOR DE PRESTACIONES)</v>
          </cell>
          <cell r="C10" t="str">
            <v>MES</v>
          </cell>
          <cell r="D10">
            <v>2613899</v>
          </cell>
          <cell r="E10" t="str">
            <v>#REF!</v>
          </cell>
        </row>
        <row r="11">
          <cell r="A11">
            <v>9093</v>
          </cell>
          <cell r="B11" t="str">
            <v>TARIFA MES - PERSONAL TÉCNICO - INSPECTOR 1 (NO INCLUYE FACTOR DE PRESTACIONES)</v>
          </cell>
          <cell r="C11" t="str">
            <v>MES</v>
          </cell>
          <cell r="D11">
            <v>2249000</v>
          </cell>
          <cell r="E11" t="str">
            <v>#REF!</v>
          </cell>
        </row>
        <row r="12">
          <cell r="A12">
            <v>9094</v>
          </cell>
          <cell r="B12" t="str">
            <v>TARIFA MES - PERSONAL TÉCNICO - INSPECTOR 2 (NO INCLUYE FACTOR DE PRESTACIONES)</v>
          </cell>
          <cell r="C12" t="str">
            <v>MES</v>
          </cell>
          <cell r="D12">
            <v>2025000</v>
          </cell>
          <cell r="E12" t="str">
            <v>#REF!</v>
          </cell>
        </row>
        <row r="13">
          <cell r="A13">
            <v>9095</v>
          </cell>
          <cell r="B13" t="str">
            <v>TARIFA MES - PERSONAL TÉCNICO - TOPÓGRAFO AUXILIAR (NO INCLUYE FACTOR DE PRESTACIONES)</v>
          </cell>
          <cell r="C13" t="str">
            <v>MES</v>
          </cell>
          <cell r="D13">
            <v>2536000</v>
          </cell>
          <cell r="E13" t="str">
            <v>#REF!</v>
          </cell>
        </row>
        <row r="14">
          <cell r="A14">
            <v>9096</v>
          </cell>
          <cell r="B14" t="str">
            <v>TARIFA MES - PERSONAL TÉCNICO - BATIMETRISTA INSPECTOR (NO INCLUYE FACTOR DE PRESTACIONES)</v>
          </cell>
          <cell r="C14" t="str">
            <v>MES</v>
          </cell>
          <cell r="D14">
            <v>3092000</v>
          </cell>
          <cell r="E14" t="str">
            <v>#REF!</v>
          </cell>
        </row>
        <row r="15">
          <cell r="A15">
            <v>9097</v>
          </cell>
          <cell r="B15" t="str">
            <v>TARIFA MES - PERSONAL TÉCNICO - BATIMETRISTA AUXILIAR (NO INCLUYE FACTOR DE PRESTACIONES)</v>
          </cell>
          <cell r="C15" t="str">
            <v>MES</v>
          </cell>
          <cell r="D15">
            <v>2536000</v>
          </cell>
          <cell r="E15" t="str">
            <v>#REF!</v>
          </cell>
        </row>
        <row r="16">
          <cell r="A16">
            <v>9098</v>
          </cell>
          <cell r="B16" t="str">
            <v>TARIFA MES - PERSONAL AUXILIAR TÉCNICO - CADENERO 1 (NO INCLUYE FACTOR DE PRESTACIONES)</v>
          </cell>
          <cell r="C16" t="str">
            <v>MES</v>
          </cell>
          <cell r="D16">
            <v>1917000</v>
          </cell>
          <cell r="E16" t="str">
            <v>#REF!</v>
          </cell>
        </row>
        <row r="17">
          <cell r="A17">
            <v>9099</v>
          </cell>
          <cell r="B17" t="str">
            <v>TARIFA MES - PERSONAL AUXILIAR TÉCNICO - CADENERO 2 (NO INCLUYE FACTOR DE PRESTACIONES)</v>
          </cell>
          <cell r="C17" t="str">
            <v>MES</v>
          </cell>
          <cell r="D17">
            <v>1670000</v>
          </cell>
          <cell r="E17" t="str">
            <v>#REF!</v>
          </cell>
        </row>
        <row r="18">
          <cell r="A18">
            <v>9100</v>
          </cell>
          <cell r="B18" t="str">
            <v>TARIFA MES - PERSONAL AUXILIAR TÉCNICO - CONDUCTOR O MOTORISTA (NO INCLUYE FACTOR DE PRESTACIONES)</v>
          </cell>
          <cell r="C18" t="str">
            <v>MES</v>
          </cell>
          <cell r="D18">
            <v>1389000</v>
          </cell>
          <cell r="E18" t="str">
            <v>#REF!</v>
          </cell>
        </row>
        <row r="19">
          <cell r="A19">
            <v>9101</v>
          </cell>
          <cell r="B19" t="str">
            <v>TARIFA MES - PERSONAL DE OBRA - MAESTRO DE OBRA (NO INCLUYE FACTOR DE PRESTACIONES)</v>
          </cell>
          <cell r="C19" t="str">
            <v>MES</v>
          </cell>
          <cell r="D19">
            <v>3480000</v>
          </cell>
          <cell r="E19" t="str">
            <v>#REF!</v>
          </cell>
        </row>
        <row r="20">
          <cell r="A20">
            <v>9102</v>
          </cell>
          <cell r="B20" t="str">
            <v>TARIFA MES - PERSONAL ADMINISTRATIVO - ADMINISTRADOR (NO INCLUYE FACTOR DE PRESTACIONES)</v>
          </cell>
          <cell r="C20" t="str">
            <v>MES</v>
          </cell>
          <cell r="D20">
            <v>2879000</v>
          </cell>
          <cell r="E20" t="str">
            <v>#REF!</v>
          </cell>
        </row>
        <row r="21">
          <cell r="A21">
            <v>9103</v>
          </cell>
          <cell r="B21" t="str">
            <v>TARIFA MES - PERSONAL ADMINISTRATIVO - AUXILIAR ADMINISTRATIVO-ALMACENISTA (NO INCLUYE FACTOR DE PRESTACIONES)</v>
          </cell>
          <cell r="C21" t="str">
            <v>MES</v>
          </cell>
          <cell r="D21">
            <v>2053000</v>
          </cell>
          <cell r="E21" t="str">
            <v>#REF!</v>
          </cell>
        </row>
        <row r="22">
          <cell r="A22">
            <v>9104</v>
          </cell>
          <cell r="B22" t="str">
            <v>TARIFA MES - PERSONAL ADMINISTRATIVO - SECRETARIA 1 (NO INCLUYE FACTOR DE PRESTACIONES)</v>
          </cell>
          <cell r="C22" t="str">
            <v>MES</v>
          </cell>
          <cell r="D22">
            <v>1670000</v>
          </cell>
          <cell r="E22" t="str">
            <v>#REF!</v>
          </cell>
        </row>
        <row r="23">
          <cell r="A23">
            <v>9105</v>
          </cell>
          <cell r="B23" t="str">
            <v>TARIFA MES - PERSONAL ADMINISTRATIVO - SECRETARIA 2 (NO INCLUYE FACTOR DE PRESTACIONES)</v>
          </cell>
          <cell r="C23" t="str">
            <v>MES</v>
          </cell>
          <cell r="D23">
            <v>1389000</v>
          </cell>
          <cell r="E23" t="str">
            <v>#REF!</v>
          </cell>
        </row>
        <row r="24">
          <cell r="A24">
            <v>9107</v>
          </cell>
          <cell r="B24" t="str">
            <v>TARIFA MES - PROFESIONAL CATEGORÍA 1 (NO INCLUYE FACTOR DE PRESTACIONES)</v>
          </cell>
          <cell r="C24">
            <v>1</v>
          </cell>
          <cell r="D24">
            <v>14390000</v>
          </cell>
          <cell r="E24" t="str">
            <v>#REF!</v>
          </cell>
        </row>
        <row r="25">
          <cell r="A25">
            <v>9108</v>
          </cell>
          <cell r="B25" t="str">
            <v>TARIFA MES - PROFESIONAL CATEGORÍA 2 (NO INCLUYE FACTOR DE PRESTACIONES)</v>
          </cell>
          <cell r="C25">
            <v>2</v>
          </cell>
          <cell r="D25">
            <v>10967000</v>
          </cell>
          <cell r="E25" t="str">
            <v>#REF!</v>
          </cell>
        </row>
        <row r="26">
          <cell r="A26">
            <v>9109</v>
          </cell>
          <cell r="B26" t="str">
            <v>TARIFA MES - PROFESIONAL CATEGORÍA 3 (NO INCLUYE FACTOR DE PRESTACIONES)</v>
          </cell>
          <cell r="C26">
            <v>3</v>
          </cell>
          <cell r="D26">
            <v>9255000</v>
          </cell>
          <cell r="E26" t="str">
            <v>#REF!</v>
          </cell>
        </row>
        <row r="27">
          <cell r="A27">
            <v>9110</v>
          </cell>
          <cell r="B27" t="str">
            <v>TARIFA MES - PROFESIONAL CATEGORÍA 4 (NO INCLUYE FACTOR DE PRESTACIONES)</v>
          </cell>
          <cell r="C27">
            <v>4</v>
          </cell>
          <cell r="D27">
            <v>7881000</v>
          </cell>
          <cell r="E27" t="str">
            <v>#REF!</v>
          </cell>
        </row>
        <row r="28">
          <cell r="A28">
            <v>9111</v>
          </cell>
          <cell r="B28" t="str">
            <v>TARIFA MES - PROFESIONAL CATEGORÍA 5 (NO INCLUYE FACTOR DE PRESTACIONES)</v>
          </cell>
          <cell r="C28">
            <v>5</v>
          </cell>
          <cell r="D28">
            <v>7108000</v>
          </cell>
          <cell r="E28" t="str">
            <v>#REF!</v>
          </cell>
        </row>
        <row r="29">
          <cell r="A29">
            <v>9112</v>
          </cell>
          <cell r="B29" t="str">
            <v>TARIFA MES - PROFESIONAL CATEGORÍA 6 (NO INCLUYE FACTOR DE PRESTACIONES)</v>
          </cell>
          <cell r="C29">
            <v>6</v>
          </cell>
          <cell r="D29">
            <v>6339000</v>
          </cell>
          <cell r="E29" t="str">
            <v>#REF!</v>
          </cell>
        </row>
        <row r="30">
          <cell r="A30">
            <v>9113</v>
          </cell>
          <cell r="B30" t="str">
            <v>TARIFA MES - PROFESIONAL CATEGORÍA 7 (NO INCLUYE FACTOR DE PRESTACIONES)</v>
          </cell>
          <cell r="C30">
            <v>7</v>
          </cell>
          <cell r="D30">
            <v>4793000</v>
          </cell>
          <cell r="E30" t="str">
            <v>#REF!</v>
          </cell>
        </row>
        <row r="31">
          <cell r="A31">
            <v>9114</v>
          </cell>
          <cell r="B31" t="str">
            <v>TARIFA MES - PROFESIONAL CATEGORÍA 8 (NO INCLUYE FACTOR DE PRESTACIONES)</v>
          </cell>
          <cell r="C31">
            <v>8</v>
          </cell>
          <cell r="D31">
            <v>4523000</v>
          </cell>
          <cell r="E31" t="str">
            <v>#REF!</v>
          </cell>
        </row>
        <row r="32">
          <cell r="A32">
            <v>9455</v>
          </cell>
          <cell r="B32" t="str">
            <v>TARIFA MES - PERSONAL DE OBRA - AYUDANTE (NO INCLUYE FACTOR DE PRESTACIONES)</v>
          </cell>
          <cell r="C32" t="str">
            <v>MES</v>
          </cell>
          <cell r="D32">
            <v>1160000</v>
          </cell>
          <cell r="E32" t="str">
            <v>#REF!</v>
          </cell>
        </row>
        <row r="33">
          <cell r="A33">
            <v>9457</v>
          </cell>
          <cell r="B33" t="str">
            <v>TARIFA MES - PERSONAL DE OBRA - INSPECTOR 1 HORARIO NOCTURNO (NO INCLUYE FACTOR DE PRESTACIONES)</v>
          </cell>
          <cell r="C33" t="str">
            <v>MES</v>
          </cell>
          <cell r="D33">
            <v>3036150</v>
          </cell>
          <cell r="E33" t="str">
            <v>#REF!</v>
          </cell>
        </row>
        <row r="34">
          <cell r="A34">
            <v>9575</v>
          </cell>
          <cell r="B34" t="str">
            <v>TARIFA MES - PERSONAL TÉCNICO - CELADOR ARMADO (24 horas por 30 dias dividos en 3 turnos de 8 horas diarias. Incluye prestaciones de ley, Administraciòn y servicios).</v>
          </cell>
          <cell r="C34" t="str">
            <v>MES</v>
          </cell>
          <cell r="D34">
            <v>10981528</v>
          </cell>
        </row>
        <row r="37">
          <cell r="A37">
            <v>9576</v>
          </cell>
          <cell r="B37" t="str">
            <v>ALQUILER MES - ARRIENDO OFICINA INCL. ADMINISTRACIÓN, SERVICIOS PÚBLICOS, COMUNICACIONES</v>
          </cell>
          <cell r="C37" t="str">
            <v>M2/MES</v>
          </cell>
          <cell r="D37">
            <v>45108</v>
          </cell>
        </row>
        <row r="38">
          <cell r="A38">
            <v>9577</v>
          </cell>
          <cell r="B38" t="str">
            <v>ALQUILER MES - CAMPAMENTOS INCL. SERVICIOS PÚBLICOS PROVISIONALES</v>
          </cell>
          <cell r="C38" t="str">
            <v>M2/MES</v>
          </cell>
          <cell r="D38">
            <v>30851</v>
          </cell>
        </row>
        <row r="39">
          <cell r="A39">
            <v>9578</v>
          </cell>
          <cell r="B39" t="str">
            <v>GASTOS OFICINA (PAPELERIA, FOTOCOPIAS Y OTROS)</v>
          </cell>
          <cell r="C39" t="str">
            <v>GLB/MS</v>
          </cell>
          <cell r="D39">
            <v>1043625</v>
          </cell>
        </row>
        <row r="40">
          <cell r="A40">
            <v>9840</v>
          </cell>
          <cell r="B40" t="str">
            <v>EDICIÓN DE INFORME MENSUAL DE INTERVENTORÍA O CONSULTORÍA. Incluye 4 tapas plastificadas tamaño carta color blanco, con 6 tornillos, hojas de papel bond tamaño carta 75 gramos, 170 folios</v>
          </cell>
          <cell r="C40" t="str">
            <v>UN/MES</v>
          </cell>
          <cell r="D40">
            <v>219000</v>
          </cell>
        </row>
        <row r="41">
          <cell r="A41">
            <v>9117</v>
          </cell>
          <cell r="B41" t="str">
            <v>EQUIPO COMPLETO DE LABORATORIO - ESTUDIOS - MES</v>
          </cell>
          <cell r="C41" t="str">
            <v>MES</v>
          </cell>
          <cell r="D41">
            <v>6399000</v>
          </cell>
        </row>
        <row r="42">
          <cell r="A42">
            <v>9119</v>
          </cell>
          <cell r="B42" t="str">
            <v>EQUIPO COMPLETO DE LABORATORIO - INTERVENTORIAS - MES</v>
          </cell>
          <cell r="C42" t="str">
            <v>MES</v>
          </cell>
          <cell r="D42">
            <v>11312000</v>
          </cell>
        </row>
        <row r="43">
          <cell r="A43">
            <v>9115</v>
          </cell>
          <cell r="B43" t="str">
            <v>EQUIPO DE TOPOGRAFÍA. INCLUYE TRÁNSITO, NIVEL Y ELEMENTOS COMPLEMENTARIOS - MES</v>
          </cell>
          <cell r="C43" t="str">
            <v>MES</v>
          </cell>
          <cell r="D43">
            <v>4103000</v>
          </cell>
        </row>
        <row r="44">
          <cell r="A44">
            <v>9123</v>
          </cell>
          <cell r="B44" t="str">
            <v>PLOTTER - MES</v>
          </cell>
          <cell r="C44" t="str">
            <v>MES</v>
          </cell>
          <cell r="D44">
            <v>1254999</v>
          </cell>
        </row>
        <row r="45">
          <cell r="A45">
            <v>9125</v>
          </cell>
          <cell r="B45" t="str">
            <v>DISTANCIOMETRO  (Incluyendo tránsito y Estación Total) - Capacidad de Lectura hasta 1500m.</v>
          </cell>
          <cell r="C45" t="str">
            <v>MES</v>
          </cell>
          <cell r="D45">
            <v>8016000</v>
          </cell>
        </row>
        <row r="46">
          <cell r="A46">
            <v>5993</v>
          </cell>
          <cell r="B46" t="str">
            <v>#REF!</v>
          </cell>
          <cell r="C46" t="str">
            <v>UN/MES</v>
          </cell>
          <cell r="D46" t="str">
            <v>#REF!</v>
          </cell>
        </row>
        <row r="47">
          <cell r="A47">
            <v>9456</v>
          </cell>
          <cell r="B47" t="str">
            <v>ALQUILER DE VEHICULO: CAMPERO, PICK-UP, CAMIONETA, CAMION O SIMILAR DE 1300cc A 2000cc DE CILINDRADA, MODELO 2014 A 2011. 75% DE LA TARIFA ESTABLECIDA. INCLUYE TODOS LOS COSTOS DE OPERACIÓN Y MANTENIMIENTO EXCEPTO EL SALARIO DEL CONDUCTOR</v>
          </cell>
          <cell r="C47" t="str">
            <v>MES</v>
          </cell>
          <cell r="D47">
            <v>5448750</v>
          </cell>
        </row>
        <row r="48">
          <cell r="A48">
            <v>9165</v>
          </cell>
          <cell r="B48" t="str">
            <v>ALQUILER DE VEHICULO: CAMPERO, PICK-UP, CAMIONETA, CAMION O SIMILAR DE 1300cc A 2000cc DE CILINDRADA, MODELO 2022 A 2019. 100% DE LA TARIFA ESTABLECIDA. INCLUYE TODOS LOS COSTOS DE OPERACIÓN Y MANTENIMIENTO EXCEPTO EL SALARIO DEL CONDUCTOR</v>
          </cell>
          <cell r="C48" t="str">
            <v>MES</v>
          </cell>
          <cell r="D48">
            <v>7265000</v>
          </cell>
        </row>
        <row r="51">
          <cell r="C51" t="str">
            <v>VALOR DEL CONTRATO DE CONSTRUCCIÓN (SMMLV)</v>
          </cell>
        </row>
        <row r="90">
          <cell r="I90">
            <v>1000000</v>
          </cell>
        </row>
        <row r="94">
          <cell r="E94">
            <v>2.33</v>
          </cell>
          <cell r="F94">
            <v>2.4700000000000002</v>
          </cell>
          <cell r="G94">
            <v>2.42</v>
          </cell>
          <cell r="H94">
            <v>2.37</v>
          </cell>
          <cell r="I94">
            <v>2.3199999999999998</v>
          </cell>
        </row>
        <row r="95">
          <cell r="E95">
            <v>2.15</v>
          </cell>
          <cell r="F95">
            <v>2.33</v>
          </cell>
          <cell r="G95">
            <v>2.2799999999999998</v>
          </cell>
          <cell r="H95">
            <v>2.23</v>
          </cell>
          <cell r="I95">
            <v>2.1800000000000002</v>
          </cell>
        </row>
        <row r="96">
          <cell r="E96">
            <v>2.5499999999999998</v>
          </cell>
          <cell r="F96">
            <v>2.5</v>
          </cell>
          <cell r="G96">
            <v>2.44</v>
          </cell>
          <cell r="H96">
            <v>2.39</v>
          </cell>
          <cell r="I96">
            <v>2.34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  <sheetName val="STRSUMM0"/>
      <sheetName val="steel"/>
      <sheetName val="CURVA 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939A-2444-41C5-B93D-87D0E0BED5E8}">
  <sheetPr>
    <tabColor rgb="FF008080"/>
  </sheetPr>
  <dimension ref="A1:Z1000"/>
  <sheetViews>
    <sheetView tabSelected="1" topLeftCell="A46" workbookViewId="0">
      <selection activeCell="N33" sqref="N33"/>
    </sheetView>
  </sheetViews>
  <sheetFormatPr baseColWidth="10" defaultColWidth="12.5703125" defaultRowHeight="15" customHeight="1" x14ac:dyDescent="0.2"/>
  <cols>
    <col min="1" max="1" width="8.140625" customWidth="1"/>
    <col min="2" max="2" width="77.42578125" customWidth="1"/>
    <col min="3" max="3" width="12.85546875" customWidth="1"/>
    <col min="4" max="4" width="12.7109375" customWidth="1"/>
    <col min="5" max="5" width="20.42578125" customWidth="1"/>
    <col min="6" max="6" width="8.7109375" customWidth="1"/>
    <col min="7" max="7" width="9.140625" customWidth="1"/>
    <col min="8" max="11" width="8.7109375" customWidth="1"/>
    <col min="12" max="13" width="14.7109375" customWidth="1"/>
    <col min="14" max="14" width="25.7109375" customWidth="1"/>
    <col min="15" max="15" width="8.7109375" style="173" customWidth="1"/>
    <col min="16" max="16" width="10" customWidth="1"/>
    <col min="17" max="17" width="14.5703125" customWidth="1"/>
    <col min="18" max="18" width="9.140625" customWidth="1"/>
    <col min="19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50"/>
      <c r="P1" s="3">
        <v>1</v>
      </c>
      <c r="Q1" s="3" t="s">
        <v>0</v>
      </c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4" t="str">
        <f>'[1]DATOS ENTRADA'!$C$2</f>
        <v>CAJA DE VIVIENDA POPULAR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4" t="str">
        <f>'[1]DATOS ENTRADA'!$C$3</f>
        <v>DIRECCION DE URBANIZACIONES Y TITULACION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5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thickBot="1" x14ac:dyDescent="0.25">
      <c r="A4" s="1"/>
      <c r="B4" s="4" t="str">
        <f>'[1]DATOS ENTRADA'!$C$4</f>
        <v>PROYECTOS NUEVOS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5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6" t="str">
        <f>'[1]DATOS ENTRADA'!B7</f>
        <v>OBJETO DEL CONTRATO:</v>
      </c>
      <c r="C5" s="7" t="str">
        <f>'[1]DATOS ENTRADA'!C7:D7</f>
        <v xml:space="preserve">CONVOCATORIA PÚBLICA N° 002-2023
</v>
      </c>
      <c r="D5" s="8"/>
      <c r="E5" s="8"/>
      <c r="F5" s="8"/>
      <c r="G5" s="8"/>
      <c r="H5" s="8"/>
      <c r="I5" s="8"/>
      <c r="J5" s="8"/>
      <c r="K5" s="8"/>
      <c r="L5" s="8"/>
      <c r="M5" s="9"/>
      <c r="N5" s="10"/>
      <c r="O5" s="15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thickBot="1" x14ac:dyDescent="0.25">
      <c r="A6" s="1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3"/>
      <c r="N6" s="10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thickBot="1" x14ac:dyDescent="0.25">
      <c r="A7" s="1"/>
      <c r="B7" s="14"/>
      <c r="C7" s="15"/>
      <c r="D7" s="16"/>
      <c r="E7" s="17"/>
      <c r="F7" s="18"/>
      <c r="G7" s="18"/>
      <c r="H7" s="18"/>
      <c r="I7" s="18"/>
      <c r="J7" s="18"/>
      <c r="K7" s="18"/>
      <c r="L7" s="19"/>
      <c r="M7" s="19"/>
      <c r="N7" s="19"/>
      <c r="O7" s="15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25">
      <c r="A8" s="1"/>
      <c r="B8" s="20" t="s">
        <v>1</v>
      </c>
      <c r="C8" s="21">
        <f>+N66</f>
        <v>1100839912</v>
      </c>
      <c r="D8" s="22"/>
      <c r="E8" s="23">
        <f>+C8/1000000</f>
        <v>1100.8399119999999</v>
      </c>
      <c r="F8" s="24" t="s">
        <v>2</v>
      </c>
      <c r="G8" s="14"/>
      <c r="H8" s="14"/>
      <c r="I8" s="14"/>
      <c r="J8" s="14"/>
      <c r="K8" s="14"/>
      <c r="L8" s="25"/>
      <c r="M8" s="25"/>
      <c r="N8" s="26">
        <f>'[1]DATOS ENTRADA'!C11</f>
        <v>45064</v>
      </c>
      <c r="O8" s="15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thickBot="1" x14ac:dyDescent="0.25">
      <c r="A9" s="1"/>
      <c r="B9" s="27"/>
      <c r="C9" s="28"/>
      <c r="D9" s="8"/>
      <c r="E9" s="29"/>
      <c r="F9" s="30"/>
      <c r="G9" s="30"/>
      <c r="H9" s="30"/>
      <c r="I9" s="30"/>
      <c r="J9" s="30"/>
      <c r="K9" s="30"/>
      <c r="L9" s="27"/>
      <c r="M9" s="27"/>
      <c r="N9" s="27"/>
      <c r="O9" s="15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1" t="s">
        <v>3</v>
      </c>
      <c r="C10" s="32">
        <v>6</v>
      </c>
      <c r="D10" s="15"/>
      <c r="E10" s="33"/>
      <c r="F10" s="33"/>
      <c r="G10" s="33"/>
      <c r="H10" s="33"/>
      <c r="I10" s="33"/>
      <c r="J10" s="33"/>
      <c r="K10" s="33"/>
      <c r="L10" s="27"/>
      <c r="M10" s="27"/>
      <c r="N10" s="27"/>
      <c r="O10" s="15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thickBot="1" x14ac:dyDescent="0.25">
      <c r="A11" s="1"/>
      <c r="B11" s="34"/>
      <c r="C11" s="34"/>
      <c r="D11" s="16"/>
      <c r="E11" s="35"/>
      <c r="F11" s="33"/>
      <c r="G11" s="33"/>
      <c r="H11" s="33"/>
      <c r="I11" s="33"/>
      <c r="J11" s="33"/>
      <c r="K11" s="33"/>
      <c r="L11" s="36"/>
      <c r="M11" s="36"/>
      <c r="N11" s="36"/>
      <c r="O11" s="15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6.5" customHeight="1" thickBot="1" x14ac:dyDescent="0.25">
      <c r="A12" s="1"/>
      <c r="B12" s="37" t="s">
        <v>4</v>
      </c>
      <c r="C12" s="38" t="s">
        <v>5</v>
      </c>
      <c r="D12" s="38" t="s">
        <v>6</v>
      </c>
      <c r="E12" s="39" t="s">
        <v>7</v>
      </c>
      <c r="F12" s="40" t="s">
        <v>8</v>
      </c>
      <c r="G12" s="40" t="s">
        <v>9</v>
      </c>
      <c r="H12" s="40" t="s">
        <v>10</v>
      </c>
      <c r="I12" s="40" t="s">
        <v>11</v>
      </c>
      <c r="J12" s="40" t="s">
        <v>12</v>
      </c>
      <c r="K12" s="40" t="s">
        <v>13</v>
      </c>
      <c r="L12" s="41" t="s">
        <v>14</v>
      </c>
      <c r="M12" s="42" t="s">
        <v>15</v>
      </c>
      <c r="N12" s="41" t="s">
        <v>16</v>
      </c>
      <c r="O12" s="15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thickBot="1" x14ac:dyDescent="0.25">
      <c r="A13" s="1"/>
      <c r="B13" s="43" t="s">
        <v>17</v>
      </c>
      <c r="C13" s="44"/>
      <c r="D13" s="44"/>
      <c r="E13" s="44"/>
      <c r="F13" s="45"/>
      <c r="G13" s="45"/>
      <c r="H13" s="45"/>
      <c r="I13" s="45"/>
      <c r="J13" s="45"/>
      <c r="K13" s="45"/>
      <c r="L13" s="45"/>
      <c r="M13" s="46"/>
      <c r="N13" s="47"/>
      <c r="O13" s="15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 x14ac:dyDescent="0.25">
      <c r="A14" s="36">
        <v>9110</v>
      </c>
      <c r="B14" s="48" t="s">
        <v>18</v>
      </c>
      <c r="C14" s="49">
        <v>1</v>
      </c>
      <c r="D14" s="49">
        <v>2</v>
      </c>
      <c r="E14" s="50">
        <f>[1]TABLAS!D25</f>
        <v>10967000</v>
      </c>
      <c r="F14" s="51">
        <v>0.5</v>
      </c>
      <c r="G14" s="51">
        <v>0.5</v>
      </c>
      <c r="H14" s="51">
        <v>0.5</v>
      </c>
      <c r="I14" s="51">
        <v>0.5</v>
      </c>
      <c r="J14" s="51">
        <v>0.5</v>
      </c>
      <c r="K14" s="51">
        <v>0.5</v>
      </c>
      <c r="L14" s="52">
        <f>C14*SUM(F14:K14)</f>
        <v>3</v>
      </c>
      <c r="M14" s="53">
        <f>IF($P$1=5,IF($E14&gt;(1+[1]TABLAS!$I$90*10),[1]TABLAS!$I$96,IF($E14&lt;=([1]TABLAS!$I$90*2),[1]TABLAS!$I$94,[1]TABLAS!$I$95)),IF($P$1=4,IF($E14&gt;(1+[1]TABLAS!$I$90*10),[1]TABLAS!$H$96,IF($E14&lt;=([1]TABLAS!$I$90*2),[1]TABLAS!$H$94,[1]TABLAS!$H$95)),IF($P$1=3,IF($E14&gt;(1+[1]TABLAS!$I$90*10),[1]TABLAS!$G$96,IF($E14&lt;=([1]TABLAS!$I$90*2),[1]TABLAS!$G$94,[1]TABLAS!$G$95)),IF($P$1=2,IF($E14&gt;(1+[1]TABLAS!$I$90*10),[1]TABLAS!$F$96,IF($E14&lt;=([1]TABLAS!$I$90*2),[1]TABLAS!$F$94,[1]TABLAS!$F$95)),IF($P$1=1,IF($E14&gt;(1+[1]TABLAS!$I$90*10),[1]TABLAS!$E$96,IF($E14&lt;=([1]TABLAS!$I$90*2),[1]TABLAS!$E$94,[1]TABLAS!$E$95)),888)))))</f>
        <v>2.5499999999999998</v>
      </c>
      <c r="N14" s="54">
        <f>ROUND(E14*L14*M14,0)</f>
        <v>83897550</v>
      </c>
      <c r="O14" s="15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thickBot="1" x14ac:dyDescent="0.25">
      <c r="A15" s="36"/>
      <c r="B15" s="43" t="s">
        <v>19</v>
      </c>
      <c r="C15" s="44"/>
      <c r="D15" s="55"/>
      <c r="E15" s="56"/>
      <c r="F15" s="57"/>
      <c r="G15" s="57"/>
      <c r="H15" s="57"/>
      <c r="I15" s="57"/>
      <c r="J15" s="57"/>
      <c r="K15" s="57"/>
      <c r="L15" s="58"/>
      <c r="M15" s="58"/>
      <c r="N15" s="59"/>
      <c r="O15" s="15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6">
        <v>9110</v>
      </c>
      <c r="B16" s="48" t="s">
        <v>20</v>
      </c>
      <c r="C16" s="60">
        <v>1</v>
      </c>
      <c r="D16" s="60">
        <v>2</v>
      </c>
      <c r="E16" s="61">
        <f>[1]TABLAS!D25</f>
        <v>10967000</v>
      </c>
      <c r="F16" s="51">
        <v>0.5</v>
      </c>
      <c r="G16" s="51">
        <v>0.5</v>
      </c>
      <c r="H16" s="51">
        <v>0.5</v>
      </c>
      <c r="I16" s="51">
        <v>0.5</v>
      </c>
      <c r="J16" s="51">
        <v>0.5</v>
      </c>
      <c r="K16" s="51">
        <v>0.5</v>
      </c>
      <c r="L16" s="62">
        <f t="shared" ref="L16:L22" si="0">C16*SUM(F16:K16)</f>
        <v>3</v>
      </c>
      <c r="M16" s="62">
        <f>IF($P$1=5,IF($E16&gt;(1+[1]TABLAS!$I$90*10),[1]TABLAS!$I$96,IF($E16&lt;=([1]TABLAS!$I$90*2),[1]TABLAS!$I$94,[1]TABLAS!$I$95)),IF($P$1=4,IF($E16&gt;(1+[1]TABLAS!$I$90*10),[1]TABLAS!$H$96,IF($E16&lt;=([1]TABLAS!$I$90*2),[1]TABLAS!$H$94,[1]TABLAS!$H$95)),IF($P$1=3,IF($E16&gt;(1+[1]TABLAS!$I$90*10),[1]TABLAS!$G$96,IF($E16&lt;=([1]TABLAS!$I$90*2),[1]TABLAS!$G$94,[1]TABLAS!$G$95)),IF($P$1=2,IF($E16&gt;(1+[1]TABLAS!$I$90*10),[1]TABLAS!$F$96,IF($E16&lt;=([1]TABLAS!$I$90*2),[1]TABLAS!$F$94,[1]TABLAS!$F$95)),IF($P$1=1,IF($E16&gt;(1+[1]TABLAS!$I$90*10),[1]TABLAS!$E$96,IF($E16&lt;=([1]TABLAS!$I$90*2),[1]TABLAS!$E$94,[1]TABLAS!$E$95)),888)))))</f>
        <v>2.5499999999999998</v>
      </c>
      <c r="N16" s="63">
        <f t="shared" ref="N16:N22" si="1">ROUND(E16*L16*M16,0)</f>
        <v>83897550</v>
      </c>
      <c r="O16" s="15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6">
        <v>9110</v>
      </c>
      <c r="B17" s="48" t="s">
        <v>21</v>
      </c>
      <c r="C17" s="60">
        <v>1</v>
      </c>
      <c r="D17" s="60">
        <v>2</v>
      </c>
      <c r="E17" s="61">
        <f>[1]TABLAS!D25</f>
        <v>10967000</v>
      </c>
      <c r="F17" s="64">
        <v>0.5</v>
      </c>
      <c r="G17" s="64">
        <v>0.5</v>
      </c>
      <c r="H17" s="64">
        <v>0.5</v>
      </c>
      <c r="I17" s="64">
        <v>0.5</v>
      </c>
      <c r="J17" s="64">
        <v>0.5</v>
      </c>
      <c r="K17" s="64">
        <v>0.5</v>
      </c>
      <c r="L17" s="62">
        <f t="shared" si="0"/>
        <v>3</v>
      </c>
      <c r="M17" s="62">
        <f>IF($P$1=5,IF($E17&gt;(1+[1]TABLAS!$I$90*10),[1]TABLAS!$I$96,IF($E17&lt;=([1]TABLAS!$I$90*2),[1]TABLAS!$I$94,[1]TABLAS!$I$95)),IF($P$1=4,IF($E17&gt;(1+[1]TABLAS!$I$90*10),[1]TABLAS!$H$96,IF($E17&lt;=([1]TABLAS!$I$90*2),[1]TABLAS!$H$94,[1]TABLAS!$H$95)),IF($P$1=3,IF($E17&gt;(1+[1]TABLAS!$I$90*10),[1]TABLAS!$G$96,IF($E17&lt;=([1]TABLAS!$I$90*2),[1]TABLAS!$G$94,[1]TABLAS!$G$95)),IF($P$1=2,IF($E17&gt;(1+[1]TABLAS!$I$90*10),[1]TABLAS!$F$96,IF($E17&lt;=([1]TABLAS!$I$90*2),[1]TABLAS!$F$94,[1]TABLAS!$F$95)),IF($P$1=1,IF($E17&gt;(1+[1]TABLAS!$I$90*10),[1]TABLAS!$E$96,IF($E17&lt;=([1]TABLAS!$I$90*2),[1]TABLAS!$E$94,[1]TABLAS!$E$95)),888)))))</f>
        <v>2.5499999999999998</v>
      </c>
      <c r="N17" s="63">
        <f t="shared" si="1"/>
        <v>83897550</v>
      </c>
      <c r="O17" s="15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6">
        <v>9110</v>
      </c>
      <c r="B18" s="48" t="s">
        <v>22</v>
      </c>
      <c r="C18" s="60">
        <v>1</v>
      </c>
      <c r="D18" s="60">
        <v>4</v>
      </c>
      <c r="E18" s="61">
        <f>[1]TABLAS!D27</f>
        <v>7881000</v>
      </c>
      <c r="F18" s="64">
        <v>0.3</v>
      </c>
      <c r="G18" s="64">
        <v>0.3</v>
      </c>
      <c r="H18" s="64">
        <v>0.3</v>
      </c>
      <c r="I18" s="64">
        <v>0.3</v>
      </c>
      <c r="J18" s="64">
        <v>0.3</v>
      </c>
      <c r="K18" s="64">
        <v>0.3</v>
      </c>
      <c r="L18" s="62">
        <f t="shared" si="0"/>
        <v>1.8</v>
      </c>
      <c r="M18" s="62">
        <v>2.5499999999999998</v>
      </c>
      <c r="N18" s="63">
        <f t="shared" si="1"/>
        <v>36173790</v>
      </c>
      <c r="O18" s="15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6">
        <v>9110</v>
      </c>
      <c r="B19" s="65" t="s">
        <v>23</v>
      </c>
      <c r="C19" s="60">
        <v>1</v>
      </c>
      <c r="D19" s="60">
        <v>2</v>
      </c>
      <c r="E19" s="61">
        <f>[1]TABLAS!D25</f>
        <v>10967000</v>
      </c>
      <c r="F19" s="64">
        <v>0.5</v>
      </c>
      <c r="G19" s="64">
        <v>0.5</v>
      </c>
      <c r="H19" s="64">
        <v>0.5</v>
      </c>
      <c r="I19" s="64">
        <v>0.5</v>
      </c>
      <c r="J19" s="64">
        <v>0.5</v>
      </c>
      <c r="K19" s="64">
        <v>0.5</v>
      </c>
      <c r="L19" s="62">
        <f t="shared" si="0"/>
        <v>3</v>
      </c>
      <c r="M19" s="62">
        <v>2.5499999999999998</v>
      </c>
      <c r="N19" s="63">
        <f t="shared" si="1"/>
        <v>83897550</v>
      </c>
      <c r="O19" s="15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6">
        <v>9110</v>
      </c>
      <c r="B20" s="65" t="s">
        <v>24</v>
      </c>
      <c r="C20" s="60">
        <v>1</v>
      </c>
      <c r="D20" s="60">
        <v>4</v>
      </c>
      <c r="E20" s="61">
        <f>[1]TABLAS!D27</f>
        <v>7881000</v>
      </c>
      <c r="F20" s="64">
        <v>0.3</v>
      </c>
      <c r="G20" s="64">
        <v>0.3</v>
      </c>
      <c r="H20" s="64">
        <v>0.3</v>
      </c>
      <c r="I20" s="64">
        <v>0.3</v>
      </c>
      <c r="J20" s="64">
        <v>0.3</v>
      </c>
      <c r="K20" s="64">
        <v>0.3</v>
      </c>
      <c r="L20" s="62">
        <f t="shared" si="0"/>
        <v>1.8</v>
      </c>
      <c r="M20" s="62">
        <v>2.5499999999999998</v>
      </c>
      <c r="N20" s="63">
        <f t="shared" si="1"/>
        <v>36173790</v>
      </c>
      <c r="O20" s="15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36">
        <v>9110</v>
      </c>
      <c r="B21" s="65" t="s">
        <v>25</v>
      </c>
      <c r="C21" s="60">
        <v>1</v>
      </c>
      <c r="D21" s="60">
        <v>4</v>
      </c>
      <c r="E21" s="61">
        <f>[1]TABLAS!D28</f>
        <v>7108000</v>
      </c>
      <c r="F21" s="64">
        <v>0.3</v>
      </c>
      <c r="G21" s="64">
        <v>0.3</v>
      </c>
      <c r="H21" s="64">
        <v>0.3</v>
      </c>
      <c r="I21" s="64">
        <v>0.3</v>
      </c>
      <c r="J21" s="64">
        <v>0.3</v>
      </c>
      <c r="K21" s="64">
        <v>0.3</v>
      </c>
      <c r="L21" s="62">
        <f t="shared" si="0"/>
        <v>1.8</v>
      </c>
      <c r="M21" s="62">
        <v>2.5499999999999998</v>
      </c>
      <c r="N21" s="63">
        <f t="shared" si="1"/>
        <v>32625720</v>
      </c>
      <c r="O21" s="15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thickBot="1" x14ac:dyDescent="0.25">
      <c r="A22" s="36">
        <v>9114</v>
      </c>
      <c r="B22" s="65" t="s">
        <v>26</v>
      </c>
      <c r="C22" s="60">
        <v>1</v>
      </c>
      <c r="D22" s="66">
        <v>8</v>
      </c>
      <c r="E22" s="61">
        <v>4523000</v>
      </c>
      <c r="F22" s="64">
        <v>1</v>
      </c>
      <c r="G22" s="64">
        <v>1</v>
      </c>
      <c r="H22" s="64">
        <v>1</v>
      </c>
      <c r="I22" s="64">
        <v>1</v>
      </c>
      <c r="J22" s="64">
        <v>1</v>
      </c>
      <c r="K22" s="64">
        <v>1</v>
      </c>
      <c r="L22" s="62">
        <f t="shared" si="0"/>
        <v>6</v>
      </c>
      <c r="M22" s="62">
        <v>2.5499999999999998</v>
      </c>
      <c r="N22" s="63">
        <f t="shared" si="1"/>
        <v>69201900</v>
      </c>
      <c r="O22" s="15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thickBot="1" x14ac:dyDescent="0.25">
      <c r="A23" s="36"/>
      <c r="B23" s="43" t="s">
        <v>27</v>
      </c>
      <c r="C23" s="44"/>
      <c r="D23" s="55"/>
      <c r="E23" s="56"/>
      <c r="F23" s="57"/>
      <c r="G23" s="57"/>
      <c r="H23" s="57"/>
      <c r="I23" s="57"/>
      <c r="J23" s="57"/>
      <c r="K23" s="57"/>
      <c r="L23" s="58"/>
      <c r="M23" s="58"/>
      <c r="N23" s="59"/>
      <c r="O23" s="15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6">
        <v>9085</v>
      </c>
      <c r="B24" s="48" t="s">
        <v>28</v>
      </c>
      <c r="C24" s="60">
        <v>1</v>
      </c>
      <c r="D24" s="60"/>
      <c r="E24" s="61">
        <f>[1]TABLAS!D3</f>
        <v>2607000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2">
        <f t="shared" ref="L24:L26" si="2">C24*SUM(F24:K24)</f>
        <v>6</v>
      </c>
      <c r="M24" s="62">
        <v>2.5499999999999998</v>
      </c>
      <c r="N24" s="63">
        <f t="shared" ref="N24:N26" si="3">ROUND(E24*L24*M24,0)</f>
        <v>39887100</v>
      </c>
      <c r="O24" s="15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6">
        <v>9086</v>
      </c>
      <c r="B25" s="48" t="s">
        <v>29</v>
      </c>
      <c r="C25" s="60">
        <v>2</v>
      </c>
      <c r="D25" s="60"/>
      <c r="E25" s="61">
        <f>[1]TABLAS!D4</f>
        <v>2734000</v>
      </c>
      <c r="F25" s="64">
        <v>1</v>
      </c>
      <c r="G25" s="64">
        <v>1</v>
      </c>
      <c r="H25" s="64">
        <v>1</v>
      </c>
      <c r="I25" s="64">
        <v>1</v>
      </c>
      <c r="J25" s="64">
        <v>1</v>
      </c>
      <c r="K25" s="64">
        <v>1</v>
      </c>
      <c r="L25" s="62">
        <f t="shared" si="2"/>
        <v>12</v>
      </c>
      <c r="M25" s="62">
        <v>2.5499999999999998</v>
      </c>
      <c r="N25" s="63">
        <f t="shared" si="3"/>
        <v>83660400</v>
      </c>
      <c r="O25" s="15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thickBot="1" x14ac:dyDescent="0.25">
      <c r="A26" s="36">
        <f>[1]TABLAS!A6</f>
        <v>9088</v>
      </c>
      <c r="B26" s="48" t="s">
        <v>30</v>
      </c>
      <c r="C26" s="60">
        <v>1</v>
      </c>
      <c r="D26" s="60"/>
      <c r="E26" s="61">
        <f>[1]TABLAS!D6</f>
        <v>3092000</v>
      </c>
      <c r="F26" s="64">
        <v>1</v>
      </c>
      <c r="G26" s="64">
        <v>1</v>
      </c>
      <c r="H26" s="64">
        <v>1</v>
      </c>
      <c r="I26" s="64">
        <v>1</v>
      </c>
      <c r="J26" s="64">
        <v>1</v>
      </c>
      <c r="K26" s="64">
        <v>1</v>
      </c>
      <c r="L26" s="62">
        <f t="shared" si="2"/>
        <v>6</v>
      </c>
      <c r="M26" s="62">
        <v>2.5499999999999998</v>
      </c>
      <c r="N26" s="63">
        <f t="shared" si="3"/>
        <v>47307600</v>
      </c>
      <c r="O26" s="15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thickBot="1" x14ac:dyDescent="0.25">
      <c r="A27" s="36"/>
      <c r="B27" s="43" t="s">
        <v>31</v>
      </c>
      <c r="C27" s="44"/>
      <c r="D27" s="55"/>
      <c r="E27" s="56"/>
      <c r="F27" s="67"/>
      <c r="G27" s="57"/>
      <c r="H27" s="57"/>
      <c r="I27" s="57"/>
      <c r="J27" s="57"/>
      <c r="K27" s="57"/>
      <c r="L27" s="58"/>
      <c r="M27" s="58"/>
      <c r="N27" s="59"/>
      <c r="O27" s="15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thickBot="1" x14ac:dyDescent="0.25">
      <c r="A28" s="36">
        <v>9105</v>
      </c>
      <c r="B28" s="68" t="str">
        <f>VLOOKUP(A28,[1]TABLAS!$A$3:$E$36,2,0)</f>
        <v>TARIFA MES - PERSONAL ADMINISTRATIVO - SECRETARIA 2 (NO INCLUYE FACTOR DE PRESTACIONES)</v>
      </c>
      <c r="C28" s="69">
        <v>1</v>
      </c>
      <c r="D28" s="70">
        <v>2</v>
      </c>
      <c r="E28" s="61">
        <f>VLOOKUP(A28,[1]TABLAS!$A$3:$E$36,4,0)</f>
        <v>1389000</v>
      </c>
      <c r="F28" s="71">
        <v>0.1</v>
      </c>
      <c r="G28" s="71">
        <v>0.1</v>
      </c>
      <c r="H28" s="71">
        <v>0.1</v>
      </c>
      <c r="I28" s="72">
        <v>0.1</v>
      </c>
      <c r="J28" s="72">
        <v>0.1</v>
      </c>
      <c r="K28" s="72">
        <v>0.1</v>
      </c>
      <c r="L28" s="73">
        <f>C28*SUM(F28:K28)</f>
        <v>0.6</v>
      </c>
      <c r="M28" s="73">
        <v>2.5499999999999998</v>
      </c>
      <c r="N28" s="74">
        <f>ROUND(E28*L28*M28,0)</f>
        <v>2125170</v>
      </c>
      <c r="O28" s="15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25">
      <c r="A29" s="36"/>
      <c r="B29" s="75" t="s">
        <v>32</v>
      </c>
      <c r="C29" s="76"/>
      <c r="D29" s="77"/>
      <c r="E29" s="77"/>
      <c r="F29" s="78"/>
      <c r="G29" s="78"/>
      <c r="H29" s="78"/>
      <c r="I29" s="78"/>
      <c r="J29" s="78"/>
      <c r="K29" s="78"/>
      <c r="L29" s="79"/>
      <c r="M29" s="79"/>
      <c r="N29" s="80">
        <f>ROUND(SUM(N14:N28),0)</f>
        <v>682745670</v>
      </c>
      <c r="O29" s="16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thickBot="1" x14ac:dyDescent="0.25">
      <c r="A30" s="36"/>
      <c r="B30" s="43" t="s">
        <v>33</v>
      </c>
      <c r="C30" s="45"/>
      <c r="D30" s="45"/>
      <c r="E30" s="81"/>
      <c r="F30" s="82"/>
      <c r="G30" s="82"/>
      <c r="H30" s="82"/>
      <c r="I30" s="82"/>
      <c r="J30" s="82"/>
      <c r="K30" s="82"/>
      <c r="L30" s="45"/>
      <c r="M30" s="45"/>
      <c r="N30" s="83"/>
      <c r="O30" s="16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 thickBot="1" x14ac:dyDescent="0.25">
      <c r="A31" s="66"/>
      <c r="B31" s="37" t="s">
        <v>34</v>
      </c>
      <c r="C31" s="38" t="s">
        <v>5</v>
      </c>
      <c r="D31" s="38" t="s">
        <v>35</v>
      </c>
      <c r="E31" s="39" t="s">
        <v>36</v>
      </c>
      <c r="F31" s="40" t="s">
        <v>8</v>
      </c>
      <c r="G31" s="40" t="s">
        <v>9</v>
      </c>
      <c r="H31" s="40" t="s">
        <v>10</v>
      </c>
      <c r="I31" s="40" t="s">
        <v>11</v>
      </c>
      <c r="J31" s="40" t="s">
        <v>12</v>
      </c>
      <c r="K31" s="40" t="s">
        <v>13</v>
      </c>
      <c r="L31" s="41" t="str">
        <f>+L12</f>
        <v>TOTAL CONSULTORIA</v>
      </c>
      <c r="M31" s="42" t="s">
        <v>15</v>
      </c>
      <c r="N31" s="41" t="s">
        <v>37</v>
      </c>
      <c r="O31" s="15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66"/>
      <c r="B32" s="84" t="s">
        <v>38</v>
      </c>
      <c r="C32" s="6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15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66">
        <v>11106</v>
      </c>
      <c r="B33" s="85" t="s">
        <v>39</v>
      </c>
      <c r="C33" s="60">
        <f>(11*15)+(5*20)</f>
        <v>265</v>
      </c>
      <c r="D33" s="86" t="s">
        <v>40</v>
      </c>
      <c r="E33" s="61">
        <v>267750</v>
      </c>
      <c r="F33" s="86"/>
      <c r="G33" s="86"/>
      <c r="H33" s="86"/>
      <c r="I33" s="86"/>
      <c r="J33" s="86"/>
      <c r="K33" s="86"/>
      <c r="L33" s="86"/>
      <c r="M33" s="86"/>
      <c r="N33" s="87">
        <f t="shared" ref="N33:N48" si="4">E33*C33</f>
        <v>70953750</v>
      </c>
      <c r="O33" s="16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6">
        <v>12329</v>
      </c>
      <c r="B34" s="88" t="s">
        <v>41</v>
      </c>
      <c r="C34" s="60">
        <v>5</v>
      </c>
      <c r="D34" s="86" t="s">
        <v>42</v>
      </c>
      <c r="E34" s="61">
        <v>2975000</v>
      </c>
      <c r="F34" s="86"/>
      <c r="G34" s="86"/>
      <c r="H34" s="86"/>
      <c r="I34" s="86"/>
      <c r="J34" s="86"/>
      <c r="K34" s="86"/>
      <c r="L34" s="86"/>
      <c r="M34" s="86"/>
      <c r="N34" s="87">
        <f t="shared" si="4"/>
        <v>14875000</v>
      </c>
      <c r="O34" s="15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2">
      <c r="A35" s="66">
        <v>11137</v>
      </c>
      <c r="B35" s="89" t="s">
        <v>43</v>
      </c>
      <c r="C35" s="60">
        <v>20000</v>
      </c>
      <c r="D35" s="86" t="s">
        <v>44</v>
      </c>
      <c r="E35" s="61">
        <v>1547</v>
      </c>
      <c r="F35" s="86"/>
      <c r="G35" s="86"/>
      <c r="H35" s="86"/>
      <c r="I35" s="86"/>
      <c r="J35" s="86"/>
      <c r="K35" s="86"/>
      <c r="L35" s="86"/>
      <c r="M35" s="86"/>
      <c r="N35" s="87">
        <f t="shared" si="4"/>
        <v>30940000</v>
      </c>
      <c r="O35" s="15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2">
      <c r="A36" s="66">
        <v>10019</v>
      </c>
      <c r="B36" s="90" t="s">
        <v>45</v>
      </c>
      <c r="C36" s="60">
        <v>53</v>
      </c>
      <c r="D36" s="66" t="s">
        <v>42</v>
      </c>
      <c r="E36" s="61">
        <v>57120</v>
      </c>
      <c r="F36" s="86"/>
      <c r="G36" s="86"/>
      <c r="H36" s="86"/>
      <c r="I36" s="86"/>
      <c r="J36" s="86"/>
      <c r="K36" s="86"/>
      <c r="L36" s="86"/>
      <c r="M36" s="86"/>
      <c r="N36" s="87">
        <f t="shared" si="4"/>
        <v>3027360</v>
      </c>
      <c r="O36" s="16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2">
      <c r="A37" s="66">
        <v>7490</v>
      </c>
      <c r="B37" s="90" t="s">
        <v>46</v>
      </c>
      <c r="C37" s="60">
        <v>41</v>
      </c>
      <c r="D37" s="66" t="s">
        <v>42</v>
      </c>
      <c r="E37" s="61">
        <v>148750</v>
      </c>
      <c r="F37" s="86"/>
      <c r="G37" s="86"/>
      <c r="H37" s="86"/>
      <c r="I37" s="86"/>
      <c r="J37" s="86"/>
      <c r="K37" s="86"/>
      <c r="L37" s="86"/>
      <c r="M37" s="86"/>
      <c r="N37" s="87">
        <f t="shared" si="4"/>
        <v>6098750</v>
      </c>
      <c r="O37" s="16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66">
        <v>8019</v>
      </c>
      <c r="B38" s="90" t="s">
        <v>47</v>
      </c>
      <c r="C38" s="60">
        <v>121</v>
      </c>
      <c r="D38" s="66" t="s">
        <v>42</v>
      </c>
      <c r="E38" s="61">
        <v>142800</v>
      </c>
      <c r="F38" s="86"/>
      <c r="G38" s="86"/>
      <c r="H38" s="86"/>
      <c r="I38" s="86"/>
      <c r="J38" s="86"/>
      <c r="K38" s="86"/>
      <c r="L38" s="86"/>
      <c r="M38" s="86"/>
      <c r="N38" s="87">
        <f t="shared" si="4"/>
        <v>17278800</v>
      </c>
      <c r="O38" s="16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66">
        <v>7520</v>
      </c>
      <c r="B39" s="90" t="s">
        <v>48</v>
      </c>
      <c r="C39" s="60">
        <v>68</v>
      </c>
      <c r="D39" s="66" t="s">
        <v>42</v>
      </c>
      <c r="E39" s="61">
        <v>120190</v>
      </c>
      <c r="F39" s="86"/>
      <c r="G39" s="86"/>
      <c r="H39" s="86"/>
      <c r="I39" s="86"/>
      <c r="J39" s="86"/>
      <c r="K39" s="86"/>
      <c r="L39" s="86"/>
      <c r="M39" s="86"/>
      <c r="N39" s="87">
        <f t="shared" si="4"/>
        <v>8172920</v>
      </c>
      <c r="O39" s="16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6">
        <v>9277</v>
      </c>
      <c r="B40" s="90" t="s">
        <v>49</v>
      </c>
      <c r="C40" s="60">
        <v>15</v>
      </c>
      <c r="D40" s="66" t="s">
        <v>42</v>
      </c>
      <c r="E40" s="61">
        <v>559300</v>
      </c>
      <c r="F40" s="86"/>
      <c r="G40" s="86"/>
      <c r="H40" s="86"/>
      <c r="I40" s="86"/>
      <c r="J40" s="86"/>
      <c r="K40" s="86"/>
      <c r="L40" s="86"/>
      <c r="M40" s="86"/>
      <c r="N40" s="87">
        <f t="shared" si="4"/>
        <v>8389500</v>
      </c>
      <c r="O40" s="16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6">
        <v>8015</v>
      </c>
      <c r="B41" s="90" t="s">
        <v>50</v>
      </c>
      <c r="C41" s="60">
        <v>17</v>
      </c>
      <c r="D41" s="66" t="s">
        <v>42</v>
      </c>
      <c r="E41" s="61">
        <v>69000</v>
      </c>
      <c r="F41" s="86"/>
      <c r="G41" s="86"/>
      <c r="H41" s="86"/>
      <c r="I41" s="86"/>
      <c r="J41" s="86"/>
      <c r="K41" s="86"/>
      <c r="L41" s="86"/>
      <c r="M41" s="86"/>
      <c r="N41" s="87">
        <f t="shared" si="4"/>
        <v>1173000</v>
      </c>
      <c r="O41" s="16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6">
        <v>9433</v>
      </c>
      <c r="B42" s="90" t="s">
        <v>51</v>
      </c>
      <c r="C42" s="60">
        <v>5</v>
      </c>
      <c r="D42" s="66" t="s">
        <v>42</v>
      </c>
      <c r="E42" s="61">
        <v>145180</v>
      </c>
      <c r="F42" s="86"/>
      <c r="G42" s="86"/>
      <c r="H42" s="86"/>
      <c r="I42" s="86"/>
      <c r="J42" s="86"/>
      <c r="K42" s="86"/>
      <c r="L42" s="86"/>
      <c r="M42" s="86"/>
      <c r="N42" s="87">
        <f t="shared" si="4"/>
        <v>725900</v>
      </c>
      <c r="O42" s="16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66">
        <v>9862</v>
      </c>
      <c r="B43" s="90" t="s">
        <v>52</v>
      </c>
      <c r="C43" s="60">
        <v>5</v>
      </c>
      <c r="D43" s="66" t="s">
        <v>42</v>
      </c>
      <c r="E43" s="61">
        <v>297500</v>
      </c>
      <c r="F43" s="86"/>
      <c r="G43" s="86"/>
      <c r="H43" s="86"/>
      <c r="I43" s="86"/>
      <c r="J43" s="86"/>
      <c r="K43" s="86"/>
      <c r="L43" s="86"/>
      <c r="M43" s="86"/>
      <c r="N43" s="87">
        <f t="shared" si="4"/>
        <v>1487500</v>
      </c>
      <c r="O43" s="16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66">
        <v>7502</v>
      </c>
      <c r="B44" s="90" t="s">
        <v>53</v>
      </c>
      <c r="C44" s="60">
        <v>9</v>
      </c>
      <c r="D44" s="66" t="s">
        <v>42</v>
      </c>
      <c r="E44" s="61">
        <v>600000</v>
      </c>
      <c r="F44" s="86"/>
      <c r="G44" s="86"/>
      <c r="H44" s="86"/>
      <c r="I44" s="86"/>
      <c r="J44" s="86"/>
      <c r="K44" s="86"/>
      <c r="L44" s="86"/>
      <c r="M44" s="86"/>
      <c r="N44" s="87">
        <f t="shared" si="4"/>
        <v>5400000</v>
      </c>
      <c r="O44" s="16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6">
        <v>7523</v>
      </c>
      <c r="B45" s="90" t="s">
        <v>54</v>
      </c>
      <c r="C45" s="60">
        <f t="shared" ref="C45:C46" si="5">8+16</f>
        <v>24</v>
      </c>
      <c r="D45" s="66" t="s">
        <v>42</v>
      </c>
      <c r="E45" s="61">
        <v>164792</v>
      </c>
      <c r="F45" s="86"/>
      <c r="G45" s="86"/>
      <c r="H45" s="86"/>
      <c r="I45" s="86"/>
      <c r="J45" s="86"/>
      <c r="K45" s="86"/>
      <c r="L45" s="86"/>
      <c r="M45" s="86"/>
      <c r="N45" s="87">
        <f t="shared" si="4"/>
        <v>3955008</v>
      </c>
      <c r="O45" s="15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2">
      <c r="A46" s="66">
        <v>7542</v>
      </c>
      <c r="B46" s="90" t="s">
        <v>55</v>
      </c>
      <c r="C46" s="60">
        <f t="shared" si="5"/>
        <v>24</v>
      </c>
      <c r="D46" s="66" t="s">
        <v>42</v>
      </c>
      <c r="E46" s="61">
        <v>5236</v>
      </c>
      <c r="F46" s="86"/>
      <c r="G46" s="86"/>
      <c r="H46" s="86"/>
      <c r="I46" s="86"/>
      <c r="J46" s="86"/>
      <c r="K46" s="86"/>
      <c r="L46" s="86"/>
      <c r="M46" s="86"/>
      <c r="N46" s="87">
        <f t="shared" si="4"/>
        <v>125664</v>
      </c>
      <c r="O46" s="15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6">
        <v>8025</v>
      </c>
      <c r="B47" s="90" t="s">
        <v>56</v>
      </c>
      <c r="C47" s="60">
        <v>8</v>
      </c>
      <c r="D47" s="66" t="s">
        <v>57</v>
      </c>
      <c r="E47" s="61">
        <v>874000</v>
      </c>
      <c r="F47" s="86"/>
      <c r="G47" s="86"/>
      <c r="H47" s="86"/>
      <c r="I47" s="86"/>
      <c r="J47" s="86"/>
      <c r="K47" s="86"/>
      <c r="L47" s="86"/>
      <c r="M47" s="86"/>
      <c r="N47" s="87">
        <f t="shared" si="4"/>
        <v>6992000</v>
      </c>
      <c r="O47" s="15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thickBot="1" x14ac:dyDescent="0.25">
      <c r="A48" s="66">
        <v>10974</v>
      </c>
      <c r="B48" s="90" t="s">
        <v>58</v>
      </c>
      <c r="C48" s="60">
        <v>24</v>
      </c>
      <c r="D48" s="66" t="s">
        <v>42</v>
      </c>
      <c r="E48" s="61">
        <v>130781</v>
      </c>
      <c r="F48" s="86"/>
      <c r="G48" s="86"/>
      <c r="H48" s="86"/>
      <c r="I48" s="86"/>
      <c r="J48" s="86"/>
      <c r="K48" s="86"/>
      <c r="L48" s="86"/>
      <c r="M48" s="86"/>
      <c r="N48" s="87">
        <f t="shared" si="4"/>
        <v>3138744</v>
      </c>
      <c r="O48" s="15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thickBot="1" x14ac:dyDescent="0.25">
      <c r="A49" s="66"/>
      <c r="B49" s="75" t="s">
        <v>59</v>
      </c>
      <c r="C49" s="76"/>
      <c r="D49" s="77"/>
      <c r="E49" s="77"/>
      <c r="F49" s="78"/>
      <c r="G49" s="78"/>
      <c r="H49" s="78"/>
      <c r="I49" s="78"/>
      <c r="J49" s="78"/>
      <c r="K49" s="78"/>
      <c r="L49" s="79"/>
      <c r="M49" s="79"/>
      <c r="N49" s="80">
        <f>ROUND(SUM(N32:N48),0)</f>
        <v>182733896</v>
      </c>
      <c r="O49" s="15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thickBot="1" x14ac:dyDescent="0.25">
      <c r="A50" s="91"/>
      <c r="B50" s="43" t="s">
        <v>60</v>
      </c>
      <c r="C50" s="45"/>
      <c r="D50" s="45"/>
      <c r="E50" s="81"/>
      <c r="F50" s="82"/>
      <c r="G50" s="82"/>
      <c r="H50" s="82"/>
      <c r="I50" s="82"/>
      <c r="J50" s="82"/>
      <c r="K50" s="82"/>
      <c r="L50" s="45"/>
      <c r="M50" s="45"/>
      <c r="N50" s="83"/>
      <c r="O50" s="16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91">
        <v>9576</v>
      </c>
      <c r="B51" s="92" t="str">
        <f>VLOOKUP(A51,[1]TABLAS!$A$37:$D$48,2,FALSE)</f>
        <v>ALQUILER MES - ARRIENDO OFICINA INCL. ADMINISTRACIÓN, SERVICIOS PÚBLICOS, COMUNICACIONES</v>
      </c>
      <c r="C51" s="93">
        <f>C16*20</f>
        <v>20</v>
      </c>
      <c r="D51" s="94" t="str">
        <f>VLOOKUP(A51,[1]TABLAS!$A$37:$D$51,3)</f>
        <v>MES</v>
      </c>
      <c r="E51" s="95">
        <f>[1]TABLAS!D37</f>
        <v>45108</v>
      </c>
      <c r="F51" s="64">
        <v>1</v>
      </c>
      <c r="G51" s="64">
        <v>1</v>
      </c>
      <c r="H51" s="64">
        <v>1</v>
      </c>
      <c r="I51" s="64">
        <v>1</v>
      </c>
      <c r="J51" s="64">
        <v>1</v>
      </c>
      <c r="K51" s="64">
        <v>1</v>
      </c>
      <c r="L51" s="62">
        <f t="shared" ref="L51:L54" si="6">C51*SUM(F51:K51)</f>
        <v>120</v>
      </c>
      <c r="M51" s="62">
        <f>IF($P$1=5,IF($E51&gt;(1+[1]TABLAS!$I$90*10),[1]TABLAS!$I$96,IF($E51&lt;=([1]TABLAS!$I$90*2),[1]TABLAS!$I$94,[1]TABLAS!$I$95)),IF($P$1=4,IF($E51&gt;(1+[1]TABLAS!$I$90*10),[1]TABLAS!$H$96,IF($E51&lt;=([1]TABLAS!$I$90*2),[1]TABLAS!$H$94,[1]TABLAS!$H$95)),IF($P$1=3,IF($E51&gt;(1+[1]TABLAS!$I$90*10),[1]TABLAS!$G$96,IF($E51&lt;=([1]TABLAS!$I$90*2),[1]TABLAS!$G$94,[1]TABLAS!$G$95)),IF($P$1=2,IF($E51&gt;(1+[1]TABLAS!$I$90*10),[1]TABLAS!$F$96,IF($E51&lt;=([1]TABLAS!$I$90*2),[1]TABLAS!$F$94,[1]TABLAS!$F$95)),IF($P$1=1,IF($E51&gt;(1+[1]TABLAS!$I$90*10),[1]TABLAS!$E$96,IF($E51&lt;=([1]TABLAS!$I$90*2),[1]TABLAS!$E$94,[1]TABLAS!$E$95)),888)))))</f>
        <v>2.33</v>
      </c>
      <c r="N51" s="63">
        <f t="shared" ref="N51:N54" si="7">ROUND(E51*L51*M51,0)</f>
        <v>12612197</v>
      </c>
      <c r="O51" s="163"/>
      <c r="P51" s="1"/>
      <c r="Q51" s="1"/>
      <c r="R51" s="96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91">
        <v>9840</v>
      </c>
      <c r="B52" s="92" t="str">
        <f>VLOOKUP(A52,[1]TABLAS!$A$37:$D$48,2,FALSE)</f>
        <v>EDICIÓN DE INFORME MENSUAL DE INTERVENTORÍA O CONSULTORÍA. Incluye 4 tapas plastificadas tamaño carta color blanco, con 6 tornillos, hojas de papel bond tamaño carta 75 gramos, 170 folios</v>
      </c>
      <c r="C52" s="93">
        <v>1</v>
      </c>
      <c r="D52" s="94" t="str">
        <f>VLOOKUP(A52,[1]TABLAS!$A$37:$D$51,3)</f>
        <v>MES</v>
      </c>
      <c r="E52" s="95">
        <f>[1]TABLAS!D40</f>
        <v>219000</v>
      </c>
      <c r="F52" s="64">
        <v>1</v>
      </c>
      <c r="G52" s="64">
        <v>1</v>
      </c>
      <c r="H52" s="64">
        <v>1</v>
      </c>
      <c r="I52" s="64">
        <v>1</v>
      </c>
      <c r="J52" s="64">
        <v>1</v>
      </c>
      <c r="K52" s="64">
        <v>1</v>
      </c>
      <c r="L52" s="62">
        <f t="shared" si="6"/>
        <v>6</v>
      </c>
      <c r="M52" s="62">
        <f>IF($P$1=5,IF($E52&gt;(1+[1]TABLAS!$I$90*10),[1]TABLAS!$I$96,IF($E52&lt;=([1]TABLAS!$I$90*2),[1]TABLAS!$I$94,[1]TABLAS!$I$95)),IF($P$1=4,IF($E52&gt;(1+[1]TABLAS!$I$90*10),[1]TABLAS!$H$96,IF($E52&lt;=([1]TABLAS!$I$90*2),[1]TABLAS!$H$94,[1]TABLAS!$H$95)),IF($P$1=3,IF($E52&gt;(1+[1]TABLAS!$I$90*10),[1]TABLAS!$G$96,IF($E52&lt;=([1]TABLAS!$I$90*2),[1]TABLAS!$G$94,[1]TABLAS!$G$95)),IF($P$1=2,IF($E52&gt;(1+[1]TABLAS!$I$90*10),[1]TABLAS!$F$96,IF($E52&lt;=([1]TABLAS!$I$90*2),[1]TABLAS!$F$94,[1]TABLAS!$F$95)),IF($P$1=1,IF($E52&gt;(1+[1]TABLAS!$I$90*10),[1]TABLAS!$E$96,IF($E52&lt;=([1]TABLAS!$I$90*2),[1]TABLAS!$E$94,[1]TABLAS!$E$95)),888)))))</f>
        <v>2.33</v>
      </c>
      <c r="N52" s="63">
        <f t="shared" si="7"/>
        <v>3061620</v>
      </c>
      <c r="O52" s="163"/>
      <c r="P52" s="1"/>
      <c r="Q52" s="1"/>
      <c r="R52" s="96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91">
        <v>9578</v>
      </c>
      <c r="B53" s="92" t="str">
        <f>VLOOKUP(A53,[1]TABLAS!$A$37:$D$48,2,FALSE)</f>
        <v>GASTOS OFICINA (PAPELERIA, FOTOCOPIAS Y OTROS)</v>
      </c>
      <c r="C53" s="93">
        <v>1</v>
      </c>
      <c r="D53" s="94" t="str">
        <f>VLOOKUP(A53,[1]TABLAS!$A$37:$D$51,3)</f>
        <v>MES</v>
      </c>
      <c r="E53" s="95">
        <f>[1]TABLAS!D39</f>
        <v>1043625</v>
      </c>
      <c r="F53" s="64">
        <v>1</v>
      </c>
      <c r="G53" s="64">
        <v>1</v>
      </c>
      <c r="H53" s="64">
        <v>1</v>
      </c>
      <c r="I53" s="64">
        <v>1</v>
      </c>
      <c r="J53" s="64">
        <v>1</v>
      </c>
      <c r="K53" s="64">
        <v>1</v>
      </c>
      <c r="L53" s="62">
        <f t="shared" si="6"/>
        <v>6</v>
      </c>
      <c r="M53" s="62">
        <f>IF($P$1=5,IF($E53&gt;(1+[1]TABLAS!$I$90*10),[1]TABLAS!$I$96,IF($E53&lt;=([1]TABLAS!$I$90*2),[1]TABLAS!$I$94,[1]TABLAS!$I$95)),IF($P$1=4,IF($E53&gt;(1+[1]TABLAS!$I$90*10),[1]TABLAS!$H$96,IF($E53&lt;=([1]TABLAS!$I$90*2),[1]TABLAS!$H$94,[1]TABLAS!$H$95)),IF($P$1=3,IF($E53&gt;(1+[1]TABLAS!$I$90*10),[1]TABLAS!$G$96,IF($E53&lt;=([1]TABLAS!$I$90*2),[1]TABLAS!$G$94,[1]TABLAS!$G$95)),IF($P$1=2,IF($E53&gt;(1+[1]TABLAS!$I$90*10),[1]TABLAS!$F$96,IF($E53&lt;=([1]TABLAS!$I$90*2),[1]TABLAS!$F$94,[1]TABLAS!$F$95)),IF($P$1=1,IF($E53&gt;(1+[1]TABLAS!$I$90*10),[1]TABLAS!$E$96,IF($E53&lt;=([1]TABLAS!$I$90*2),[1]TABLAS!$E$94,[1]TABLAS!$E$95)),888)))))</f>
        <v>2.33</v>
      </c>
      <c r="N53" s="63">
        <f t="shared" si="7"/>
        <v>14589878</v>
      </c>
      <c r="O53" s="163"/>
      <c r="P53" s="1"/>
      <c r="Q53" s="1"/>
      <c r="R53" s="96"/>
      <c r="S53" s="1"/>
      <c r="T53" s="1"/>
      <c r="U53" s="1"/>
      <c r="V53" s="1"/>
      <c r="W53" s="1"/>
      <c r="X53" s="1"/>
      <c r="Y53" s="1"/>
      <c r="Z53" s="1"/>
    </row>
    <row r="54" spans="1:26" ht="34.5" customHeight="1" thickBot="1" x14ac:dyDescent="0.25">
      <c r="A54" s="91">
        <f>[1]TABLAS!A47</f>
        <v>9456</v>
      </c>
      <c r="B54" s="97" t="str">
        <f>[1]TABLAS!B47</f>
        <v>ALQUILER DE VEHICULO: CAMPERO, PICK-UP, CAMIONETA, CAMION O SIMILAR DE 1300cc A 2000cc DE CILINDRADA, MODELO 2014 A 2011. 75% DE LA TARIFA ESTABLECIDA. INCLUYE TODOS LOS COSTOS DE OPERACIÓN Y MANTENIMIENTO EXCEPTO EL SALARIO DEL CONDUCTOR</v>
      </c>
      <c r="C54" s="93">
        <v>1</v>
      </c>
      <c r="D54" s="94" t="s">
        <v>61</v>
      </c>
      <c r="E54" s="95">
        <f>[1]TABLAS!D47</f>
        <v>5448750</v>
      </c>
      <c r="F54" s="64">
        <v>0.2</v>
      </c>
      <c r="G54" s="64">
        <v>0.2</v>
      </c>
      <c r="H54" s="64">
        <v>0.2</v>
      </c>
      <c r="I54" s="64">
        <v>0.2</v>
      </c>
      <c r="J54" s="64">
        <v>0.2</v>
      </c>
      <c r="K54" s="64">
        <v>0.2</v>
      </c>
      <c r="L54" s="62">
        <f t="shared" si="6"/>
        <v>1.2</v>
      </c>
      <c r="M54" s="62">
        <f>IF($P$1=5,IF($E54&gt;(1+[1]TABLAS!$I$90*10),[1]TABLAS!$I$96,IF($E54&lt;=([1]TABLAS!$I$90*2),[1]TABLAS!$I$94,[1]TABLAS!$I$95)),IF($P$1=4,IF($E54&gt;(1+[1]TABLAS!$I$90*10),[1]TABLAS!$H$96,IF($E54&lt;=([1]TABLAS!$I$90*2),[1]TABLAS!$H$94,[1]TABLAS!$H$95)),IF($P$1=3,IF($E54&gt;(1+[1]TABLAS!$I$90*10),[1]TABLAS!$G$96,IF($E54&lt;=([1]TABLAS!$I$90*2),[1]TABLAS!$G$94,[1]TABLAS!$G$95)),IF($P$1=2,IF($E54&gt;(1+[1]TABLAS!$I$90*10),[1]TABLAS!$F$96,IF($E54&lt;=([1]TABLAS!$I$90*2),[1]TABLAS!$F$94,[1]TABLAS!$F$95)),IF($P$1=1,IF($E54&gt;(1+[1]TABLAS!$I$90*10),[1]TABLAS!$E$96,IF($E54&lt;=([1]TABLAS!$I$90*2),[1]TABLAS!$E$94,[1]TABLAS!$E$95)),888)))))</f>
        <v>2.15</v>
      </c>
      <c r="N54" s="63">
        <f t="shared" si="7"/>
        <v>14057775</v>
      </c>
      <c r="O54" s="163"/>
      <c r="P54" s="1"/>
      <c r="Q54" s="1"/>
      <c r="R54" s="96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 x14ac:dyDescent="0.25">
      <c r="A55" s="36"/>
      <c r="B55" s="98" t="s">
        <v>62</v>
      </c>
      <c r="C55" s="99"/>
      <c r="D55" s="100"/>
      <c r="E55" s="100"/>
      <c r="F55" s="101"/>
      <c r="G55" s="101"/>
      <c r="H55" s="101"/>
      <c r="I55" s="101"/>
      <c r="J55" s="101"/>
      <c r="K55" s="101"/>
      <c r="L55" s="102"/>
      <c r="M55" s="102"/>
      <c r="N55" s="103">
        <f>ROUND(SUM(N51:N54),0)</f>
        <v>44321470</v>
      </c>
      <c r="O55" s="160"/>
      <c r="P55" s="1"/>
      <c r="Q55" s="149">
        <f>N29+N49+N55</f>
        <v>909801036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25">
      <c r="A56" s="36"/>
      <c r="B56" s="75" t="s">
        <v>63</v>
      </c>
      <c r="C56" s="104"/>
      <c r="D56" s="105"/>
      <c r="E56" s="105"/>
      <c r="F56" s="106"/>
      <c r="G56" s="106"/>
      <c r="H56" s="106"/>
      <c r="I56" s="106"/>
      <c r="J56" s="106"/>
      <c r="K56" s="106"/>
      <c r="L56" s="107"/>
      <c r="M56" s="107"/>
      <c r="N56" s="108">
        <f>N29+N55</f>
        <v>727067140</v>
      </c>
      <c r="O56" s="16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thickBot="1" x14ac:dyDescent="0.25">
      <c r="A57" s="36"/>
      <c r="B57" s="109" t="s">
        <v>64</v>
      </c>
      <c r="C57" s="110"/>
      <c r="D57" s="111"/>
      <c r="E57" s="111"/>
      <c r="F57" s="112"/>
      <c r="G57" s="112"/>
      <c r="H57" s="112"/>
      <c r="I57" s="112"/>
      <c r="J57" s="112"/>
      <c r="K57" s="112"/>
      <c r="L57" s="113"/>
      <c r="M57" s="113"/>
      <c r="N57" s="114">
        <f>ROUND(N56*2.5%,0)</f>
        <v>18176679</v>
      </c>
      <c r="O57" s="16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thickBot="1" x14ac:dyDescent="0.25">
      <c r="A58" s="36"/>
      <c r="B58" s="109" t="s">
        <v>65</v>
      </c>
      <c r="C58" s="110"/>
      <c r="D58" s="111"/>
      <c r="E58" s="111"/>
      <c r="F58" s="112"/>
      <c r="G58" s="112"/>
      <c r="H58" s="112"/>
      <c r="I58" s="112"/>
      <c r="J58" s="112"/>
      <c r="K58" s="112"/>
      <c r="L58" s="113"/>
      <c r="M58" s="113"/>
      <c r="N58" s="114">
        <f>+ROUND(N56*0.19,0)</f>
        <v>138142757</v>
      </c>
      <c r="O58" s="16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thickBot="1" x14ac:dyDescent="0.25">
      <c r="A59" s="36"/>
      <c r="B59" s="115" t="s">
        <v>66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7">
        <f>ROUND(SUM(N56:N58),0)</f>
        <v>883386576</v>
      </c>
      <c r="O59" s="16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.5" customHeight="1" thickBot="1" x14ac:dyDescent="0.25">
      <c r="A60" s="36"/>
      <c r="B60" s="118"/>
      <c r="C60" s="119"/>
      <c r="D60" s="119"/>
      <c r="E60" s="119"/>
      <c r="F60" s="120"/>
      <c r="G60" s="120"/>
      <c r="H60" s="120"/>
      <c r="I60" s="120"/>
      <c r="J60" s="120"/>
      <c r="K60" s="120"/>
      <c r="L60" s="119"/>
      <c r="M60" s="119"/>
      <c r="N60" s="119"/>
      <c r="O60" s="16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thickBot="1" x14ac:dyDescent="0.25">
      <c r="A61" s="36"/>
      <c r="B61" s="43" t="s">
        <v>33</v>
      </c>
      <c r="C61" s="44"/>
      <c r="D61" s="44"/>
      <c r="E61" s="44"/>
      <c r="F61" s="45"/>
      <c r="G61" s="45"/>
      <c r="H61" s="45"/>
      <c r="I61" s="45"/>
      <c r="J61" s="45"/>
      <c r="K61" s="45"/>
      <c r="L61" s="45"/>
      <c r="M61" s="46"/>
      <c r="N61" s="47"/>
      <c r="O61" s="16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thickBot="1" x14ac:dyDescent="0.25">
      <c r="A62" s="36"/>
      <c r="B62" s="75" t="s">
        <v>34</v>
      </c>
      <c r="C62" s="121"/>
      <c r="D62" s="122"/>
      <c r="E62" s="122"/>
      <c r="F62" s="123"/>
      <c r="G62" s="123"/>
      <c r="H62" s="123"/>
      <c r="I62" s="123"/>
      <c r="J62" s="123"/>
      <c r="K62" s="123"/>
      <c r="L62" s="124"/>
      <c r="M62" s="124"/>
      <c r="N62" s="114">
        <f>N49</f>
        <v>182733896</v>
      </c>
      <c r="O62" s="16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thickBot="1" x14ac:dyDescent="0.25">
      <c r="A63" s="36"/>
      <c r="B63" s="109" t="s">
        <v>65</v>
      </c>
      <c r="C63" s="121"/>
      <c r="D63" s="122"/>
      <c r="E63" s="122"/>
      <c r="F63" s="123"/>
      <c r="G63" s="123"/>
      <c r="H63" s="123"/>
      <c r="I63" s="123"/>
      <c r="J63" s="123"/>
      <c r="K63" s="123"/>
      <c r="L63" s="125"/>
      <c r="M63" s="125"/>
      <c r="N63" s="126">
        <f>ROUND(N62*0.19,0)</f>
        <v>34719440</v>
      </c>
      <c r="O63" s="16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thickBot="1" x14ac:dyDescent="0.25">
      <c r="A64" s="36"/>
      <c r="B64" s="115" t="s">
        <v>67</v>
      </c>
      <c r="C64" s="127"/>
      <c r="D64" s="127"/>
      <c r="E64" s="127"/>
      <c r="F64" s="128"/>
      <c r="G64" s="128"/>
      <c r="H64" s="128"/>
      <c r="I64" s="128"/>
      <c r="J64" s="128"/>
      <c r="K64" s="128"/>
      <c r="L64" s="116"/>
      <c r="M64" s="116"/>
      <c r="N64" s="117">
        <f>N62+N63</f>
        <v>217453336</v>
      </c>
      <c r="O64" s="16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thickBot="1" x14ac:dyDescent="0.25">
      <c r="A65" s="36"/>
      <c r="B65" s="129"/>
      <c r="C65" s="130"/>
      <c r="D65" s="130"/>
      <c r="E65" s="130"/>
      <c r="F65" s="131"/>
      <c r="G65" s="131"/>
      <c r="H65" s="131"/>
      <c r="I65" s="131"/>
      <c r="J65" s="131"/>
      <c r="K65" s="131"/>
      <c r="L65" s="132"/>
      <c r="M65" s="132"/>
      <c r="N65" s="132"/>
      <c r="O65" s="16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thickBot="1" x14ac:dyDescent="0.25">
      <c r="A66" s="1"/>
      <c r="B66" s="133" t="s">
        <v>68</v>
      </c>
      <c r="C66" s="134"/>
      <c r="D66" s="134"/>
      <c r="E66" s="134"/>
      <c r="F66" s="135"/>
      <c r="G66" s="135"/>
      <c r="H66" s="135"/>
      <c r="I66" s="135"/>
      <c r="J66" s="135"/>
      <c r="K66" s="135"/>
      <c r="L66" s="136"/>
      <c r="M66" s="137"/>
      <c r="N66" s="138">
        <f>N64+N59</f>
        <v>1100839912</v>
      </c>
      <c r="O66" s="169">
        <f>N66/1315240053</f>
        <v>0.83698782552206841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39"/>
      <c r="C67" s="19"/>
      <c r="D67" s="19"/>
      <c r="E67" s="19"/>
      <c r="F67" s="18"/>
      <c r="G67" s="18"/>
      <c r="H67" s="18"/>
      <c r="I67" s="18"/>
      <c r="J67" s="18"/>
      <c r="K67" s="18"/>
      <c r="L67" s="19"/>
      <c r="M67" s="19"/>
      <c r="N67" s="19"/>
      <c r="O67" s="17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39"/>
      <c r="C68" s="19"/>
      <c r="D68" s="19"/>
      <c r="E68" s="19"/>
      <c r="F68" s="18"/>
      <c r="G68" s="18"/>
      <c r="H68" s="18"/>
      <c r="I68" s="18"/>
      <c r="J68" s="18"/>
      <c r="K68" s="18"/>
      <c r="L68" s="19"/>
      <c r="M68" s="19"/>
      <c r="N68" s="19"/>
      <c r="O68" s="15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39"/>
      <c r="C69" s="19"/>
      <c r="D69" s="19"/>
      <c r="E69" s="19"/>
      <c r="F69" s="18"/>
      <c r="G69" s="18"/>
      <c r="H69" s="18"/>
      <c r="I69" s="18"/>
      <c r="J69" s="18"/>
      <c r="K69" s="18"/>
      <c r="L69" s="19"/>
      <c r="M69" s="19"/>
      <c r="N69" s="19"/>
      <c r="O69" s="15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39"/>
      <c r="C70" s="19"/>
      <c r="D70" s="19"/>
      <c r="E70" s="19"/>
      <c r="F70" s="18"/>
      <c r="G70" s="140"/>
      <c r="H70" s="18"/>
      <c r="I70" s="18"/>
      <c r="J70" s="18"/>
      <c r="K70" s="18"/>
      <c r="L70" s="19"/>
      <c r="M70" s="19"/>
      <c r="N70" s="19"/>
      <c r="O70" s="15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39"/>
      <c r="C71" s="19"/>
      <c r="D71" s="19"/>
      <c r="E71" s="19"/>
      <c r="F71" s="18"/>
      <c r="G71" s="18"/>
      <c r="H71" s="18"/>
      <c r="I71" s="18"/>
      <c r="J71" s="18"/>
      <c r="K71" s="18"/>
      <c r="L71" s="19"/>
      <c r="M71" s="19"/>
      <c r="N71" s="19"/>
      <c r="O71" s="15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39"/>
      <c r="C72" s="19"/>
      <c r="D72" s="19"/>
      <c r="E72" s="19"/>
      <c r="F72" s="18"/>
      <c r="G72" s="18"/>
      <c r="H72" s="18"/>
      <c r="I72" s="18"/>
      <c r="J72" s="18"/>
      <c r="K72" s="18"/>
      <c r="L72" s="19"/>
      <c r="M72" s="19"/>
      <c r="N72" s="19"/>
      <c r="O72" s="15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39"/>
      <c r="C73" s="141" t="s">
        <v>69</v>
      </c>
      <c r="D73" s="142"/>
      <c r="E73" s="142"/>
      <c r="F73" s="142"/>
      <c r="G73" s="142"/>
      <c r="H73" s="142"/>
      <c r="I73" s="143"/>
      <c r="J73" s="143"/>
      <c r="K73" s="143"/>
      <c r="L73" s="144"/>
      <c r="M73" s="142"/>
      <c r="N73" s="19"/>
      <c r="O73" s="15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39"/>
      <c r="C74" s="145"/>
      <c r="D74" s="5"/>
      <c r="E74" s="5"/>
      <c r="F74" s="5"/>
      <c r="G74" s="5"/>
      <c r="H74" s="5"/>
      <c r="I74" s="143"/>
      <c r="J74" s="143"/>
      <c r="K74" s="143"/>
      <c r="L74" s="146"/>
      <c r="M74" s="5"/>
      <c r="N74" s="19"/>
      <c r="O74" s="15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39"/>
      <c r="C75" s="19"/>
      <c r="D75" s="19"/>
      <c r="E75" s="19"/>
      <c r="F75" s="147"/>
      <c r="G75" s="147"/>
      <c r="H75" s="147"/>
      <c r="I75" s="147"/>
      <c r="J75" s="147"/>
      <c r="K75" s="147"/>
      <c r="L75" s="148"/>
      <c r="M75" s="148"/>
      <c r="N75" s="148"/>
      <c r="O75" s="17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"/>
      <c r="O76" s="17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7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7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7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7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7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7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7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7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7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7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7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1"/>
      <c r="M88" s="1"/>
      <c r="N88" s="1"/>
      <c r="O88" s="15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1"/>
      <c r="M89" s="1"/>
      <c r="N89" s="1"/>
      <c r="O89" s="15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1"/>
      <c r="M90" s="1"/>
      <c r="N90" s="1"/>
      <c r="O90" s="15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1"/>
      <c r="M91" s="1"/>
      <c r="N91" s="1"/>
      <c r="O91" s="15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1"/>
      <c r="M92" s="1"/>
      <c r="N92" s="1"/>
      <c r="O92" s="15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1"/>
      <c r="M93" s="1"/>
      <c r="N93" s="1"/>
      <c r="O93" s="15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1"/>
      <c r="M94" s="1"/>
      <c r="N94" s="1"/>
      <c r="O94" s="15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1"/>
      <c r="M95" s="1"/>
      <c r="N95" s="1"/>
      <c r="O95" s="15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1"/>
      <c r="M96" s="1"/>
      <c r="N96" s="1"/>
      <c r="O96" s="15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1"/>
      <c r="M97" s="1"/>
      <c r="N97" s="1"/>
      <c r="O97" s="15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1"/>
      <c r="M98" s="1"/>
      <c r="N98" s="1"/>
      <c r="O98" s="15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1"/>
      <c r="M99" s="1"/>
      <c r="N99" s="1"/>
      <c r="O99" s="15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1"/>
      <c r="M100" s="1"/>
      <c r="N100" s="1"/>
      <c r="O100" s="150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1"/>
      <c r="M101" s="1"/>
      <c r="N101" s="1"/>
      <c r="O101" s="150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1"/>
      <c r="M102" s="1"/>
      <c r="N102" s="1"/>
      <c r="O102" s="150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1"/>
      <c r="M103" s="1"/>
      <c r="N103" s="1"/>
      <c r="O103" s="150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1"/>
      <c r="M104" s="1"/>
      <c r="N104" s="1"/>
      <c r="O104" s="15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1"/>
      <c r="M105" s="1"/>
      <c r="N105" s="1"/>
      <c r="O105" s="150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1"/>
      <c r="M106" s="1"/>
      <c r="N106" s="1"/>
      <c r="O106" s="15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1"/>
      <c r="M107" s="1"/>
      <c r="N107" s="1"/>
      <c r="O107" s="15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1"/>
      <c r="M108" s="1"/>
      <c r="N108" s="1"/>
      <c r="O108" s="15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1"/>
      <c r="M109" s="1"/>
      <c r="N109" s="1"/>
      <c r="O109" s="15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1"/>
      <c r="M110" s="1"/>
      <c r="N110" s="1"/>
      <c r="O110" s="15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1"/>
      <c r="M111" s="1"/>
      <c r="N111" s="1"/>
      <c r="O111" s="15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1"/>
      <c r="M112" s="1"/>
      <c r="N112" s="1"/>
      <c r="O112" s="15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1"/>
      <c r="M113" s="1"/>
      <c r="N113" s="1"/>
      <c r="O113" s="150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1"/>
      <c r="M114" s="1"/>
      <c r="N114" s="1"/>
      <c r="O114" s="150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1"/>
      <c r="M115" s="1"/>
      <c r="N115" s="1"/>
      <c r="O115" s="150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1"/>
      <c r="M116" s="1"/>
      <c r="N116" s="1"/>
      <c r="O116" s="150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1"/>
      <c r="M117" s="1"/>
      <c r="N117" s="1"/>
      <c r="O117" s="15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1"/>
      <c r="M118" s="1"/>
      <c r="N118" s="1"/>
      <c r="O118" s="15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1"/>
      <c r="M119" s="1"/>
      <c r="N119" s="1"/>
      <c r="O119" s="15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1"/>
      <c r="M120" s="1"/>
      <c r="N120" s="1"/>
      <c r="O120" s="15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1"/>
      <c r="M121" s="1"/>
      <c r="N121" s="1"/>
      <c r="O121" s="15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1"/>
      <c r="M122" s="1"/>
      <c r="N122" s="1"/>
      <c r="O122" s="150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1"/>
      <c r="M123" s="1"/>
      <c r="N123" s="1"/>
      <c r="O123" s="15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1"/>
      <c r="M124" s="1"/>
      <c r="N124" s="1"/>
      <c r="O124" s="15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1"/>
      <c r="M125" s="1"/>
      <c r="N125" s="1"/>
      <c r="O125" s="15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1"/>
      <c r="M126" s="1"/>
      <c r="N126" s="1"/>
      <c r="O126" s="15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1"/>
      <c r="M127" s="1"/>
      <c r="N127" s="1"/>
      <c r="O127" s="150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1"/>
      <c r="M128" s="1"/>
      <c r="N128" s="1"/>
      <c r="O128" s="150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1"/>
      <c r="M129" s="1"/>
      <c r="N129" s="1"/>
      <c r="O129" s="150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1"/>
      <c r="M130" s="1"/>
      <c r="N130" s="1"/>
      <c r="O130" s="150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1"/>
      <c r="M131" s="1"/>
      <c r="N131" s="1"/>
      <c r="O131" s="150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1"/>
      <c r="M132" s="1"/>
      <c r="N132" s="1"/>
      <c r="O132" s="150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1"/>
      <c r="M133" s="1"/>
      <c r="N133" s="1"/>
      <c r="O133" s="150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1"/>
      <c r="M134" s="1"/>
      <c r="N134" s="1"/>
      <c r="O134" s="150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1"/>
      <c r="M135" s="1"/>
      <c r="N135" s="1"/>
      <c r="O135" s="150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1"/>
      <c r="M136" s="1"/>
      <c r="N136" s="1"/>
      <c r="O136" s="150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1"/>
      <c r="M137" s="1"/>
      <c r="N137" s="1"/>
      <c r="O137" s="150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1"/>
      <c r="M138" s="1"/>
      <c r="N138" s="1"/>
      <c r="O138" s="15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1"/>
      <c r="M139" s="1"/>
      <c r="N139" s="1"/>
      <c r="O139" s="15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1"/>
      <c r="M140" s="1"/>
      <c r="N140" s="1"/>
      <c r="O140" s="15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1"/>
      <c r="M141" s="1"/>
      <c r="N141" s="1"/>
      <c r="O141" s="15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1"/>
      <c r="M142" s="1"/>
      <c r="N142" s="1"/>
      <c r="O142" s="15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1"/>
      <c r="M143" s="1"/>
      <c r="N143" s="1"/>
      <c r="O143" s="15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1"/>
      <c r="M144" s="1"/>
      <c r="N144" s="1"/>
      <c r="O144" s="15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1"/>
      <c r="M145" s="1"/>
      <c r="N145" s="1"/>
      <c r="O145" s="15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1"/>
      <c r="M146" s="1"/>
      <c r="N146" s="1"/>
      <c r="O146" s="15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1"/>
      <c r="M147" s="1"/>
      <c r="N147" s="1"/>
      <c r="O147" s="15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1"/>
      <c r="M148" s="1"/>
      <c r="N148" s="1"/>
      <c r="O148" s="150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1"/>
      <c r="M149" s="1"/>
      <c r="N149" s="1"/>
      <c r="O149" s="15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1"/>
      <c r="M150" s="1"/>
      <c r="N150" s="1"/>
      <c r="O150" s="15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1"/>
      <c r="M151" s="1"/>
      <c r="N151" s="1"/>
      <c r="O151" s="15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1"/>
      <c r="M152" s="1"/>
      <c r="N152" s="1"/>
      <c r="O152" s="15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1"/>
      <c r="M153" s="1"/>
      <c r="N153" s="1"/>
      <c r="O153" s="15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1"/>
      <c r="M154" s="1"/>
      <c r="N154" s="1"/>
      <c r="O154" s="15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1"/>
      <c r="M155" s="1"/>
      <c r="N155" s="1"/>
      <c r="O155" s="15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1"/>
      <c r="M156" s="1"/>
      <c r="N156" s="1"/>
      <c r="O156" s="15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1"/>
      <c r="M157" s="1"/>
      <c r="N157" s="1"/>
      <c r="O157" s="15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1"/>
      <c r="M158" s="1"/>
      <c r="N158" s="1"/>
      <c r="O158" s="15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1"/>
      <c r="M159" s="1"/>
      <c r="N159" s="1"/>
      <c r="O159" s="15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1"/>
      <c r="M160" s="1"/>
      <c r="N160" s="1"/>
      <c r="O160" s="15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1"/>
      <c r="M161" s="1"/>
      <c r="N161" s="1"/>
      <c r="O161" s="15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1"/>
      <c r="M162" s="1"/>
      <c r="N162" s="1"/>
      <c r="O162" s="15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1"/>
      <c r="M163" s="1"/>
      <c r="N163" s="1"/>
      <c r="O163" s="15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1"/>
      <c r="M164" s="1"/>
      <c r="N164" s="1"/>
      <c r="O164" s="15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1"/>
      <c r="M165" s="1"/>
      <c r="N165" s="1"/>
      <c r="O165" s="15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1"/>
      <c r="M166" s="1"/>
      <c r="N166" s="1"/>
      <c r="O166" s="150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1"/>
      <c r="M167" s="1"/>
      <c r="N167" s="1"/>
      <c r="O167" s="15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1"/>
      <c r="M168" s="1"/>
      <c r="N168" s="1"/>
      <c r="O168" s="150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1"/>
      <c r="M169" s="1"/>
      <c r="N169" s="1"/>
      <c r="O169" s="150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1"/>
      <c r="M170" s="1"/>
      <c r="N170" s="1"/>
      <c r="O170" s="150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1"/>
      <c r="M171" s="1"/>
      <c r="N171" s="1"/>
      <c r="O171" s="15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1"/>
      <c r="M172" s="1"/>
      <c r="N172" s="1"/>
      <c r="O172" s="15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1"/>
      <c r="M173" s="1"/>
      <c r="N173" s="1"/>
      <c r="O173" s="15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1"/>
      <c r="M174" s="1"/>
      <c r="N174" s="1"/>
      <c r="O174" s="15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1"/>
      <c r="M175" s="1"/>
      <c r="N175" s="1"/>
      <c r="O175" s="15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1"/>
      <c r="M176" s="1"/>
      <c r="N176" s="1"/>
      <c r="O176" s="15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1"/>
      <c r="M177" s="1"/>
      <c r="N177" s="1"/>
      <c r="O177" s="15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1"/>
      <c r="M178" s="1"/>
      <c r="N178" s="1"/>
      <c r="O178" s="15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1"/>
      <c r="M179" s="1"/>
      <c r="N179" s="1"/>
      <c r="O179" s="15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1"/>
      <c r="M180" s="1"/>
      <c r="N180" s="1"/>
      <c r="O180" s="15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1"/>
      <c r="M181" s="1"/>
      <c r="N181" s="1"/>
      <c r="O181" s="15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1"/>
      <c r="M182" s="1"/>
      <c r="N182" s="1"/>
      <c r="O182" s="15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1"/>
      <c r="M183" s="1"/>
      <c r="N183" s="1"/>
      <c r="O183" s="15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1"/>
      <c r="M184" s="1"/>
      <c r="N184" s="1"/>
      <c r="O184" s="15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1"/>
      <c r="M185" s="1"/>
      <c r="N185" s="1"/>
      <c r="O185" s="15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1"/>
      <c r="M186" s="1"/>
      <c r="N186" s="1"/>
      <c r="O186" s="15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1"/>
      <c r="M187" s="1"/>
      <c r="N187" s="1"/>
      <c r="O187" s="15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1"/>
      <c r="M188" s="1"/>
      <c r="N188" s="1"/>
      <c r="O188" s="15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1"/>
      <c r="M189" s="1"/>
      <c r="N189" s="1"/>
      <c r="O189" s="15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1"/>
      <c r="M190" s="1"/>
      <c r="N190" s="1"/>
      <c r="O190" s="15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1"/>
      <c r="M191" s="1"/>
      <c r="N191" s="1"/>
      <c r="O191" s="15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1"/>
      <c r="M192" s="1"/>
      <c r="N192" s="1"/>
      <c r="O192" s="15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1"/>
      <c r="M193" s="1"/>
      <c r="N193" s="1"/>
      <c r="O193" s="15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1"/>
      <c r="M194" s="1"/>
      <c r="N194" s="1"/>
      <c r="O194" s="15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1"/>
      <c r="M195" s="1"/>
      <c r="N195" s="1"/>
      <c r="O195" s="15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1"/>
      <c r="M196" s="1"/>
      <c r="N196" s="1"/>
      <c r="O196" s="15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1"/>
      <c r="M197" s="1"/>
      <c r="N197" s="1"/>
      <c r="O197" s="15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1"/>
      <c r="M198" s="1"/>
      <c r="N198" s="1"/>
      <c r="O198" s="15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1"/>
      <c r="M199" s="1"/>
      <c r="N199" s="1"/>
      <c r="O199" s="15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1"/>
      <c r="M200" s="1"/>
      <c r="N200" s="1"/>
      <c r="O200" s="15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1"/>
      <c r="M201" s="1"/>
      <c r="N201" s="1"/>
      <c r="O201" s="15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1"/>
      <c r="M202" s="1"/>
      <c r="N202" s="1"/>
      <c r="O202" s="15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1"/>
      <c r="M203" s="1"/>
      <c r="N203" s="1"/>
      <c r="O203" s="15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1"/>
      <c r="M204" s="1"/>
      <c r="N204" s="1"/>
      <c r="O204" s="15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1"/>
      <c r="M205" s="1"/>
      <c r="N205" s="1"/>
      <c r="O205" s="15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1"/>
      <c r="M206" s="1"/>
      <c r="N206" s="1"/>
      <c r="O206" s="15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1"/>
      <c r="M207" s="1"/>
      <c r="N207" s="1"/>
      <c r="O207" s="15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1"/>
      <c r="M208" s="1"/>
      <c r="N208" s="1"/>
      <c r="O208" s="15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1"/>
      <c r="M209" s="1"/>
      <c r="N209" s="1"/>
      <c r="O209" s="15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1"/>
      <c r="M210" s="1"/>
      <c r="N210" s="1"/>
      <c r="O210" s="15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1"/>
      <c r="M211" s="1"/>
      <c r="N211" s="1"/>
      <c r="O211" s="15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1"/>
      <c r="M212" s="1"/>
      <c r="N212" s="1"/>
      <c r="O212" s="15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1"/>
      <c r="M213" s="1"/>
      <c r="N213" s="1"/>
      <c r="O213" s="15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1"/>
      <c r="M214" s="1"/>
      <c r="N214" s="1"/>
      <c r="O214" s="15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1"/>
      <c r="M215" s="1"/>
      <c r="N215" s="1"/>
      <c r="O215" s="15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1"/>
      <c r="M216" s="1"/>
      <c r="N216" s="1"/>
      <c r="O216" s="15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1"/>
      <c r="M217" s="1"/>
      <c r="N217" s="1"/>
      <c r="O217" s="15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1"/>
      <c r="M218" s="1"/>
      <c r="N218" s="1"/>
      <c r="O218" s="15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1"/>
      <c r="M219" s="1"/>
      <c r="N219" s="1"/>
      <c r="O219" s="15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1"/>
      <c r="M220" s="1"/>
      <c r="N220" s="1"/>
      <c r="O220" s="15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1"/>
      <c r="M221" s="1"/>
      <c r="N221" s="1"/>
      <c r="O221" s="15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1"/>
      <c r="M222" s="1"/>
      <c r="N222" s="1"/>
      <c r="O222" s="15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1"/>
      <c r="M223" s="1"/>
      <c r="N223" s="1"/>
      <c r="O223" s="15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1"/>
      <c r="M224" s="1"/>
      <c r="N224" s="1"/>
      <c r="O224" s="15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1"/>
      <c r="M225" s="1"/>
      <c r="N225" s="1"/>
      <c r="O225" s="15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1"/>
      <c r="M226" s="1"/>
      <c r="N226" s="1"/>
      <c r="O226" s="15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1"/>
      <c r="M227" s="1"/>
      <c r="N227" s="1"/>
      <c r="O227" s="15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1"/>
      <c r="M228" s="1"/>
      <c r="N228" s="1"/>
      <c r="O228" s="15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1"/>
      <c r="M229" s="1"/>
      <c r="N229" s="1"/>
      <c r="O229" s="15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1"/>
      <c r="M230" s="1"/>
      <c r="N230" s="1"/>
      <c r="O230" s="15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1"/>
      <c r="M231" s="1"/>
      <c r="N231" s="1"/>
      <c r="O231" s="15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1"/>
      <c r="M232" s="1"/>
      <c r="N232" s="1"/>
      <c r="O232" s="150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1"/>
      <c r="M233" s="1"/>
      <c r="N233" s="1"/>
      <c r="O233" s="15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1"/>
      <c r="M234" s="1"/>
      <c r="N234" s="1"/>
      <c r="O234" s="150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1"/>
      <c r="M235" s="1"/>
      <c r="N235" s="1"/>
      <c r="O235" s="150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1"/>
      <c r="M236" s="1"/>
      <c r="N236" s="1"/>
      <c r="O236" s="15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1"/>
      <c r="M237" s="1"/>
      <c r="N237" s="1"/>
      <c r="O237" s="15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1"/>
      <c r="M238" s="1"/>
      <c r="N238" s="1"/>
      <c r="O238" s="15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1"/>
      <c r="M239" s="1"/>
      <c r="N239" s="1"/>
      <c r="O239" s="15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1"/>
      <c r="M240" s="1"/>
      <c r="N240" s="1"/>
      <c r="O240" s="150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1"/>
      <c r="M241" s="1"/>
      <c r="N241" s="1"/>
      <c r="O241" s="150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1"/>
      <c r="M242" s="1"/>
      <c r="N242" s="1"/>
      <c r="O242" s="150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1"/>
      <c r="M243" s="1"/>
      <c r="N243" s="1"/>
      <c r="O243" s="150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1"/>
      <c r="M244" s="1"/>
      <c r="N244" s="1"/>
      <c r="O244" s="150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1"/>
      <c r="M245" s="1"/>
      <c r="N245" s="1"/>
      <c r="O245" s="15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1"/>
      <c r="M246" s="1"/>
      <c r="N246" s="1"/>
      <c r="O246" s="150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1"/>
      <c r="M247" s="1"/>
      <c r="N247" s="1"/>
      <c r="O247" s="150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1"/>
      <c r="M248" s="1"/>
      <c r="N248" s="1"/>
      <c r="O248" s="150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1"/>
      <c r="M249" s="1"/>
      <c r="N249" s="1"/>
      <c r="O249" s="150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1"/>
      <c r="M250" s="1"/>
      <c r="N250" s="1"/>
      <c r="O250" s="150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1"/>
      <c r="M251" s="1"/>
      <c r="N251" s="1"/>
      <c r="O251" s="150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1"/>
      <c r="M252" s="1"/>
      <c r="N252" s="1"/>
      <c r="O252" s="15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1"/>
      <c r="M253" s="1"/>
      <c r="N253" s="1"/>
      <c r="O253" s="15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1"/>
      <c r="M254" s="1"/>
      <c r="N254" s="1"/>
      <c r="O254" s="15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1"/>
      <c r="M255" s="1"/>
      <c r="N255" s="1"/>
      <c r="O255" s="15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1"/>
      <c r="M256" s="1"/>
      <c r="N256" s="1"/>
      <c r="O256" s="150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1"/>
      <c r="M257" s="1"/>
      <c r="N257" s="1"/>
      <c r="O257" s="150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1"/>
      <c r="M258" s="1"/>
      <c r="N258" s="1"/>
      <c r="O258" s="150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1"/>
      <c r="M259" s="1"/>
      <c r="N259" s="1"/>
      <c r="O259" s="150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1"/>
      <c r="M260" s="1"/>
      <c r="N260" s="1"/>
      <c r="O260" s="150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1"/>
      <c r="M261" s="1"/>
      <c r="N261" s="1"/>
      <c r="O261" s="150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1"/>
      <c r="M262" s="1"/>
      <c r="N262" s="1"/>
      <c r="O262" s="150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1"/>
      <c r="M263" s="1"/>
      <c r="N263" s="1"/>
      <c r="O263" s="150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1"/>
      <c r="M264" s="1"/>
      <c r="N264" s="1"/>
      <c r="O264" s="150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1"/>
      <c r="M265" s="1"/>
      <c r="N265" s="1"/>
      <c r="O265" s="150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1"/>
      <c r="M266" s="1"/>
      <c r="N266" s="1"/>
      <c r="O266" s="150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1"/>
      <c r="M267" s="1"/>
      <c r="N267" s="1"/>
      <c r="O267" s="150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1"/>
      <c r="M268" s="1"/>
      <c r="N268" s="1"/>
      <c r="O268" s="150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1"/>
      <c r="M269" s="1"/>
      <c r="N269" s="1"/>
      <c r="O269" s="15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1"/>
      <c r="M270" s="1"/>
      <c r="N270" s="1"/>
      <c r="O270" s="15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1"/>
      <c r="M271" s="1"/>
      <c r="N271" s="1"/>
      <c r="O271" s="15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1"/>
      <c r="M272" s="1"/>
      <c r="N272" s="1"/>
      <c r="O272" s="150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1"/>
      <c r="M273" s="1"/>
      <c r="N273" s="1"/>
      <c r="O273" s="150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/>
    <row r="275" spans="1:26" ht="15.75" customHeight="1" x14ac:dyDescent="0.2"/>
    <row r="276" spans="1:26" ht="15.75" customHeight="1" x14ac:dyDescent="0.2"/>
    <row r="277" spans="1:26" ht="15.75" customHeight="1" x14ac:dyDescent="0.2"/>
    <row r="278" spans="1:26" ht="15.75" customHeight="1" x14ac:dyDescent="0.2"/>
    <row r="279" spans="1:26" ht="15.75" customHeight="1" x14ac:dyDescent="0.2"/>
    <row r="280" spans="1:26" ht="15.75" customHeight="1" x14ac:dyDescent="0.2"/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C9:D9"/>
    <mergeCell ref="B10:B11"/>
    <mergeCell ref="C10:C11"/>
    <mergeCell ref="C73:H73"/>
    <mergeCell ref="L73:M73"/>
    <mergeCell ref="C74:H74"/>
    <mergeCell ref="L74:M74"/>
    <mergeCell ref="B2:N2"/>
    <mergeCell ref="B3:N3"/>
    <mergeCell ref="B4:N4"/>
    <mergeCell ref="B5:B6"/>
    <mergeCell ref="C5:M6"/>
    <mergeCell ref="C8:D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CONSULTORIA MURO M-10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cvpe4306</dc:creator>
  <cp:lastModifiedBy>cvpe4306</cp:lastModifiedBy>
  <dcterms:created xsi:type="dcterms:W3CDTF">2023-10-20T20:05:10Z</dcterms:created>
  <dcterms:modified xsi:type="dcterms:W3CDTF">2023-10-20T20:08:12Z</dcterms:modified>
</cp:coreProperties>
</file>